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colociotti/Desktop/Progetto-Web-scraping/"/>
    </mc:Choice>
  </mc:AlternateContent>
  <xr:revisionPtr revIDLastSave="0" documentId="8_{2FF89073-D3E6-C447-98F6-385CBB79B314}" xr6:coauthVersionLast="47" xr6:coauthVersionMax="47" xr10:uidLastSave="{00000000-0000-0000-0000-000000000000}"/>
  <bookViews>
    <workbookView xWindow="0" yWindow="500" windowWidth="28800" windowHeight="16440" xr2:uid="{AD5774D0-BA68-7142-BF35-11F3F3BD6DB7}"/>
  </bookViews>
  <sheets>
    <sheet name="Risultat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</calcChain>
</file>

<file path=xl/sharedStrings.xml><?xml version="1.0" encoding="utf-8"?>
<sst xmlns="http://schemas.openxmlformats.org/spreadsheetml/2006/main" count="52890" uniqueCount="31118">
  <si>
    <t>1.</t>
  </si>
  <si>
    <t>2.</t>
  </si>
  <si>
    <t>3.</t>
  </si>
  <si>
    <t>Ragione sociale</t>
  </si>
  <si>
    <t>Partita IVA</t>
  </si>
  <si>
    <t>Codice fiscale</t>
  </si>
  <si>
    <t>BvD ID number</t>
  </si>
  <si>
    <t>ATECO 2007
codice</t>
  </si>
  <si>
    <t>Provincia</t>
  </si>
  <si>
    <t>Indirizzo sede legale - Regione</t>
  </si>
  <si>
    <t>Website</t>
  </si>
  <si>
    <t>Ricavi vendite e prestazioni
migl EUR
Ultimo anno disp.</t>
  </si>
  <si>
    <t>Ricavi vendite e prestazioni
migl EUR
2023</t>
  </si>
  <si>
    <t>Ricavi vendite e prestazioni
migl EUR
2022</t>
  </si>
  <si>
    <t>UTILE/PERDITA DI ESERCIZIO
migl EUR
Ultimo anno disp.</t>
  </si>
  <si>
    <t>UTILE/PERDITA DI ESERCIZIO
migl EUR
2023</t>
  </si>
  <si>
    <t>UTILE/PERDITA DI ESERCIZIO
migl EUR
2022</t>
  </si>
  <si>
    <t>Dipendenti
Ultimo anno disp.</t>
  </si>
  <si>
    <t>Dipendenti
2023</t>
  </si>
  <si>
    <t>Dipendenti
2022</t>
  </si>
  <si>
    <t>GUCCIO GUCCI S.P.A.</t>
  </si>
  <si>
    <t>04294710480</t>
  </si>
  <si>
    <t>03031300159</t>
  </si>
  <si>
    <t>IT03031300159</t>
  </si>
  <si>
    <t>151209</t>
  </si>
  <si>
    <t>Firenze</t>
  </si>
  <si>
    <t>Toscana</t>
  </si>
  <si>
    <t>GUCCI LOGISTICA SOCIETA' PER AZIONI</t>
  </si>
  <si>
    <t>04773230489</t>
  </si>
  <si>
    <t>IT04773230489</t>
  </si>
  <si>
    <t>INDUSTRIES S.P.A.</t>
  </si>
  <si>
    <t>04804070961</t>
  </si>
  <si>
    <t>IT04804070961</t>
  </si>
  <si>
    <t>141310</t>
  </si>
  <si>
    <t>Milano</t>
  </si>
  <si>
    <t>Lombardia</t>
  </si>
  <si>
    <t>4.</t>
  </si>
  <si>
    <t>DOLCE &amp; GABBANA S.R.L.</t>
  </si>
  <si>
    <t>09297890155</t>
  </si>
  <si>
    <t>IT09297890155</t>
  </si>
  <si>
    <t>5.</t>
  </si>
  <si>
    <t>BOTTEGA VENETA S.R.L.</t>
  </si>
  <si>
    <t>01824610248</t>
  </si>
  <si>
    <t>07078730152</t>
  </si>
  <si>
    <t>IT07078730152</t>
  </si>
  <si>
    <t>Vicenza</t>
  </si>
  <si>
    <t>Veneto</t>
  </si>
  <si>
    <t>6.</t>
  </si>
  <si>
    <t>LORO PIANA S.P.A.</t>
  </si>
  <si>
    <t>01611400027</t>
  </si>
  <si>
    <t>08075900152</t>
  </si>
  <si>
    <t>IT08075900152</t>
  </si>
  <si>
    <t>141000</t>
  </si>
  <si>
    <t>Vercelli</t>
  </si>
  <si>
    <t>Piemonte</t>
  </si>
  <si>
    <t>7.</t>
  </si>
  <si>
    <t>MAX MARA S.R.L.</t>
  </si>
  <si>
    <t>01397620350</t>
  </si>
  <si>
    <t>IT01397620350</t>
  </si>
  <si>
    <t>Reggio nell'Emilia</t>
  </si>
  <si>
    <t>Emilia-Romagna</t>
  </si>
  <si>
    <t>8.</t>
  </si>
  <si>
    <t>SALVATORE FERRAGAMO S.P.A.</t>
  </si>
  <si>
    <t>02175200480</t>
  </si>
  <si>
    <t>IT02175200480</t>
  </si>
  <si>
    <t>152010</t>
  </si>
  <si>
    <t>9.</t>
  </si>
  <si>
    <t>YVES SAINT LAURENT MANIFATTURE S.R.L.</t>
  </si>
  <si>
    <t>06196900481</t>
  </si>
  <si>
    <t>IT06196900481</t>
  </si>
  <si>
    <t>10.</t>
  </si>
  <si>
    <t>TOD'S S.P.A.</t>
  </si>
  <si>
    <t>01113570442</t>
  </si>
  <si>
    <t>IT01113570442</t>
  </si>
  <si>
    <t>Fermo</t>
  </si>
  <si>
    <t>Marche</t>
  </si>
  <si>
    <t>11.</t>
  </si>
  <si>
    <t>BALENCIAGA LOGISTICA S.R.L.</t>
  </si>
  <si>
    <t>06196910480</t>
  </si>
  <si>
    <t>IT06196910480</t>
  </si>
  <si>
    <t>12.</t>
  </si>
  <si>
    <t>BRUNELLO CUCINELLI S.P.A.</t>
  </si>
  <si>
    <t>01886120540</t>
  </si>
  <si>
    <t>IT01886120540</t>
  </si>
  <si>
    <t>143900</t>
  </si>
  <si>
    <t>Perugia</t>
  </si>
  <si>
    <t>Umbria</t>
  </si>
  <si>
    <t>13.</t>
  </si>
  <si>
    <t>GEOX S.P.A.</t>
  </si>
  <si>
    <t>03348440268</t>
  </si>
  <si>
    <t>IT03348440268</t>
  </si>
  <si>
    <t>Treviso</t>
  </si>
  <si>
    <t>14.</t>
  </si>
  <si>
    <t>STAFF INTERNATIONAL S.P.A.</t>
  </si>
  <si>
    <t>00482290244</t>
  </si>
  <si>
    <t>IT00482290244</t>
  </si>
  <si>
    <t>15.</t>
  </si>
  <si>
    <t>DIESEL-S.P.A.</t>
  </si>
  <si>
    <t>00642650246</t>
  </si>
  <si>
    <t>IT00642650246</t>
  </si>
  <si>
    <t>16.</t>
  </si>
  <si>
    <t>GOLDEN GOOSE S.P.A.</t>
  </si>
  <si>
    <t>08347090964</t>
  </si>
  <si>
    <t>IT08347090964</t>
  </si>
  <si>
    <t>17.</t>
  </si>
  <si>
    <t>EXELITE S.P.A</t>
  </si>
  <si>
    <t>02322360369</t>
  </si>
  <si>
    <t>IT02322360369</t>
  </si>
  <si>
    <t>Modena</t>
  </si>
  <si>
    <t>18.</t>
  </si>
  <si>
    <t>DEDIMAX S.R.L.</t>
  </si>
  <si>
    <t>01322820356</t>
  </si>
  <si>
    <t>IT01322820356</t>
  </si>
  <si>
    <t>19.</t>
  </si>
  <si>
    <t>ALEXANDER MCQUEEN LOGISTICA S.R.L.</t>
  </si>
  <si>
    <t>06577540484</t>
  </si>
  <si>
    <t>IT06577540484</t>
  </si>
  <si>
    <t>20.</t>
  </si>
  <si>
    <t>SPORTSWEAR COMPANY - S.P.A. (IN SIGLA SPW S.P.A.)</t>
  </si>
  <si>
    <t>01046470371</t>
  </si>
  <si>
    <t>IT01046470371</t>
  </si>
  <si>
    <t>Bologna</t>
  </si>
  <si>
    <t>21.</t>
  </si>
  <si>
    <t>CONCERIA PASUBIO S.P.A.</t>
  </si>
  <si>
    <t>00165480245</t>
  </si>
  <si>
    <t>IT00165480245</t>
  </si>
  <si>
    <t>151100</t>
  </si>
  <si>
    <t>22.</t>
  </si>
  <si>
    <t>IN.CO - INDUSTRIA CONFEZIONI S.P.A.</t>
  </si>
  <si>
    <t>00124240037</t>
  </si>
  <si>
    <t>IT00124240037</t>
  </si>
  <si>
    <t>Biella</t>
  </si>
  <si>
    <t>23.</t>
  </si>
  <si>
    <t>GRUPPO MASTROTTO S.P.A.</t>
  </si>
  <si>
    <t>02629600244</t>
  </si>
  <si>
    <t>IT02629600244</t>
  </si>
  <si>
    <t>24.</t>
  </si>
  <si>
    <t>ALPINESTARS S.P.A.</t>
  </si>
  <si>
    <t>01171110263</t>
  </si>
  <si>
    <t>IT01171110263</t>
  </si>
  <si>
    <t>25.</t>
  </si>
  <si>
    <t>RINO MASTROTTO GROUP S.P.A.</t>
  </si>
  <si>
    <t>02723000242</t>
  </si>
  <si>
    <t>01402740060</t>
  </si>
  <si>
    <t>IT01402740060</t>
  </si>
  <si>
    <t>26.</t>
  </si>
  <si>
    <t>F.LLI CAMPAGNOLO S.P.A.</t>
  </si>
  <si>
    <t>00170620249</t>
  </si>
  <si>
    <t>IT00170620249</t>
  </si>
  <si>
    <t>27.</t>
  </si>
  <si>
    <t>FASHION BOX S.P.A.</t>
  </si>
  <si>
    <t>03676290269</t>
  </si>
  <si>
    <t>IT03676290269</t>
  </si>
  <si>
    <t>28.</t>
  </si>
  <si>
    <t>CELINE PRODUCTION S.R.L. -</t>
  </si>
  <si>
    <t>01667950487</t>
  </si>
  <si>
    <t>IT01667950487</t>
  </si>
  <si>
    <t>29.</t>
  </si>
  <si>
    <t>DAINESE S.P.A.</t>
  </si>
  <si>
    <t>03924090248</t>
  </si>
  <si>
    <t>IT03924090248</t>
  </si>
  <si>
    <t>141929</t>
  </si>
  <si>
    <t>30.</t>
  </si>
  <si>
    <t>FALCONERI S.R.L.</t>
  </si>
  <si>
    <t>02016450229</t>
  </si>
  <si>
    <t>IT02016450229</t>
  </si>
  <si>
    <t>Trento</t>
  </si>
  <si>
    <t>Trentino-Alto Adige/Südtirol</t>
  </si>
  <si>
    <t>31.</t>
  </si>
  <si>
    <t>LEO SHOES S.R.L.</t>
  </si>
  <si>
    <t>04338410758</t>
  </si>
  <si>
    <t>IT04338410758</t>
  </si>
  <si>
    <t>Lecce</t>
  </si>
  <si>
    <t>Puglia</t>
  </si>
  <si>
    <t>32.</t>
  </si>
  <si>
    <t>RENATO CORTI S.P.A.</t>
  </si>
  <si>
    <t>06248980960</t>
  </si>
  <si>
    <t>IT06248980960</t>
  </si>
  <si>
    <t>151209</t>
  </si>
  <si>
    <t>Milano</t>
  </si>
  <si>
    <t>Lombardia</t>
  </si>
  <si>
    <t>33.</t>
  </si>
  <si>
    <t>CRIS CONF. S.P.A.</t>
  </si>
  <si>
    <t>01516210349</t>
  </si>
  <si>
    <t>IT01516210349</t>
  </si>
  <si>
    <t>141000</t>
  </si>
  <si>
    <t>Parma</t>
  </si>
  <si>
    <t>Emilia-Romagna</t>
  </si>
  <si>
    <t>34.</t>
  </si>
  <si>
    <t>IMAC S.P.A.</t>
  </si>
  <si>
    <t>00985500446</t>
  </si>
  <si>
    <t>IT00985500446</t>
  </si>
  <si>
    <t>152010</t>
  </si>
  <si>
    <t>Ascoli Piceno</t>
  </si>
  <si>
    <t>Marche</t>
  </si>
  <si>
    <t>35.</t>
  </si>
  <si>
    <t>GRISPORT S.P.A.</t>
  </si>
  <si>
    <t>00541850269</t>
  </si>
  <si>
    <t>IT00541850269</t>
  </si>
  <si>
    <t>Treviso</t>
  </si>
  <si>
    <t>Veneto</t>
  </si>
  <si>
    <t>36.</t>
  </si>
  <si>
    <t>TWINSET S.P.A.</t>
  </si>
  <si>
    <t>07889180969</t>
  </si>
  <si>
    <t>IT07889180969</t>
  </si>
  <si>
    <t>143900</t>
  </si>
  <si>
    <t>Modena</t>
  </si>
  <si>
    <t>37.</t>
  </si>
  <si>
    <t>ORIGINAL MARINES S.P.A.</t>
  </si>
  <si>
    <t>01303501215</t>
  </si>
  <si>
    <t>03728680632</t>
  </si>
  <si>
    <t>IT03728680632</t>
  </si>
  <si>
    <t>141310</t>
  </si>
  <si>
    <t>Napoli</t>
  </si>
  <si>
    <t>Campania</t>
  </si>
  <si>
    <t>38.</t>
  </si>
  <si>
    <t>MABI INTERNATIONAL S.R.L.</t>
  </si>
  <si>
    <t>01428220303</t>
  </si>
  <si>
    <t>IT01428220303</t>
  </si>
  <si>
    <t>Udine</t>
  </si>
  <si>
    <t>Friuli-Venezia Giulia</t>
  </si>
  <si>
    <t>39.</t>
  </si>
  <si>
    <t>DIADORA S.P.A.</t>
  </si>
  <si>
    <t>04308510264</t>
  </si>
  <si>
    <t>IT04308510264</t>
  </si>
  <si>
    <t>40.</t>
  </si>
  <si>
    <t>FAEDA S.P.A.</t>
  </si>
  <si>
    <t>03209700248</t>
  </si>
  <si>
    <t>IT03209700248</t>
  </si>
  <si>
    <t>151100</t>
  </si>
  <si>
    <t>Vicenza</t>
  </si>
  <si>
    <t>41.</t>
  </si>
  <si>
    <t>GOLDEN LADY COMPANY SOCIETA' PER AZIONI</t>
  </si>
  <si>
    <t>00961470424</t>
  </si>
  <si>
    <t>00152090205</t>
  </si>
  <si>
    <t>IT00152090205</t>
  </si>
  <si>
    <t>143100</t>
  </si>
  <si>
    <t>Mantova</t>
  </si>
  <si>
    <t>42.</t>
  </si>
  <si>
    <t>CALZATURIFICIO S.C.A.R.P.A. S.P.A.</t>
  </si>
  <si>
    <t>00173370263</t>
  </si>
  <si>
    <t>IT00173370263</t>
  </si>
  <si>
    <t>43.</t>
  </si>
  <si>
    <t>SWINGER INTERNATIONAL S.P.A.</t>
  </si>
  <si>
    <t>00881950232</t>
  </si>
  <si>
    <t>00531950202</t>
  </si>
  <si>
    <t>IT00531950202</t>
  </si>
  <si>
    <t>Verona</t>
  </si>
  <si>
    <t>44.</t>
  </si>
  <si>
    <t>POLLINI S.P.A.</t>
  </si>
  <si>
    <t>02589540406</t>
  </si>
  <si>
    <t>03527510154</t>
  </si>
  <si>
    <t>IT03527510154</t>
  </si>
  <si>
    <t>Forlì-Cesena</t>
  </si>
  <si>
    <t>45.</t>
  </si>
  <si>
    <t>IMAX - S.R.L.</t>
  </si>
  <si>
    <t>01146320351</t>
  </si>
  <si>
    <t>IT01146320351</t>
  </si>
  <si>
    <t>Reggio nell'Emilia</t>
  </si>
  <si>
    <t>46.</t>
  </si>
  <si>
    <t>MARNI GROUP S.R.L.</t>
  </si>
  <si>
    <t>08028300963</t>
  </si>
  <si>
    <t>IT08028300963</t>
  </si>
  <si>
    <t>47.</t>
  </si>
  <si>
    <t>DANI S.P.A.</t>
  </si>
  <si>
    <t>00552430985</t>
  </si>
  <si>
    <t>00300010170</t>
  </si>
  <si>
    <t>IT00300010170</t>
  </si>
  <si>
    <t>48.</t>
  </si>
  <si>
    <t>COFRA S.R.L.</t>
  </si>
  <si>
    <t>02850580727</t>
  </si>
  <si>
    <t>IT02850580727</t>
  </si>
  <si>
    <t>Barletta-Andria-Trani</t>
  </si>
  <si>
    <t>Puglia</t>
  </si>
  <si>
    <t>49.</t>
  </si>
  <si>
    <t>CALZATURIFICIO GENSI GROUP S.R.L.</t>
  </si>
  <si>
    <t>01775460676</t>
  </si>
  <si>
    <t>IT01775460676</t>
  </si>
  <si>
    <t>Teramo</t>
  </si>
  <si>
    <t>Abruzzo</t>
  </si>
  <si>
    <t>50.</t>
  </si>
  <si>
    <t>CANALI S.P.A.</t>
  </si>
  <si>
    <t>00694880964</t>
  </si>
  <si>
    <t>00807810155</t>
  </si>
  <si>
    <t>IT00807810155</t>
  </si>
  <si>
    <t>Monza e della Brianza</t>
  </si>
  <si>
    <t>51.</t>
  </si>
  <si>
    <t>HERNO S.P.A.</t>
  </si>
  <si>
    <t>00080630031</t>
  </si>
  <si>
    <t>IT00080630031</t>
  </si>
  <si>
    <t>Novara</t>
  </si>
  <si>
    <t>Piemonte</t>
  </si>
  <si>
    <t>52.</t>
  </si>
  <si>
    <t>FONTANA PELLETTERIE S.P.A.</t>
  </si>
  <si>
    <t>00833190150</t>
  </si>
  <si>
    <t>IT00833190150</t>
  </si>
  <si>
    <t>53.</t>
  </si>
  <si>
    <t>B.A.G. S.P.A.</t>
  </si>
  <si>
    <t>01485570442</t>
  </si>
  <si>
    <t>IT01485570442</t>
  </si>
  <si>
    <t>Fermo</t>
  </si>
  <si>
    <t>54.</t>
  </si>
  <si>
    <t>JIL SANDER S.P.A.</t>
  </si>
  <si>
    <t>10513210962</t>
  </si>
  <si>
    <t>IT10513210962</t>
  </si>
  <si>
    <t>55.</t>
  </si>
  <si>
    <t>DAMA S.P.A.</t>
  </si>
  <si>
    <t>01910560125</t>
  </si>
  <si>
    <t>IT01910560125</t>
  </si>
  <si>
    <t>Varese</t>
  </si>
  <si>
    <t>56.</t>
  </si>
  <si>
    <t>MANIFATTURA VALCISMON S.P.A.</t>
  </si>
  <si>
    <t>00023370257</t>
  </si>
  <si>
    <t>IT00023370257</t>
  </si>
  <si>
    <t>141910</t>
  </si>
  <si>
    <t>Belluno</t>
  </si>
  <si>
    <t>n.d.</t>
  </si>
  <si>
    <t>57.</t>
  </si>
  <si>
    <t>LUISA SPAGNOLI S.P.A.</t>
  </si>
  <si>
    <t>02742760545</t>
  </si>
  <si>
    <t>IT02742760545</t>
  </si>
  <si>
    <t>Perugia</t>
  </si>
  <si>
    <t>Umbria</t>
  </si>
  <si>
    <t>58.</t>
  </si>
  <si>
    <t>LOWA R&amp;D S.R.L.</t>
  </si>
  <si>
    <t>00625550264</t>
  </si>
  <si>
    <t>IT00625550264</t>
  </si>
  <si>
    <t>152000</t>
  </si>
  <si>
    <t>59.</t>
  </si>
  <si>
    <t>MANIFATTURA MARIO COLOMBO &amp; C. S.P.A.</t>
  </si>
  <si>
    <t>00691110969</t>
  </si>
  <si>
    <t>00763670155</t>
  </si>
  <si>
    <t>IT00763670155</t>
  </si>
  <si>
    <t>141929</t>
  </si>
  <si>
    <t>60.</t>
  </si>
  <si>
    <t>OWENSCORP ITALIA S.P.A.</t>
  </si>
  <si>
    <t>07725270016</t>
  </si>
  <si>
    <t>IT07725270016</t>
  </si>
  <si>
    <t>Torino</t>
  </si>
  <si>
    <t>61.</t>
  </si>
  <si>
    <t>ISA S.P.A.</t>
  </si>
  <si>
    <t>00736650151</t>
  </si>
  <si>
    <t>IT00736650151</t>
  </si>
  <si>
    <t>141400</t>
  </si>
  <si>
    <t>62.</t>
  </si>
  <si>
    <t>CIRO PAONE S.P.A.</t>
  </si>
  <si>
    <t>06034520632</t>
  </si>
  <si>
    <t>IT06034520632</t>
  </si>
  <si>
    <t>63.</t>
  </si>
  <si>
    <t>STEFANO RICCI - S.P.A.</t>
  </si>
  <si>
    <t>01674990484</t>
  </si>
  <si>
    <t>IT01674990484</t>
  </si>
  <si>
    <t>Firenze</t>
  </si>
  <si>
    <t>Toscana</t>
  </si>
  <si>
    <t>64.</t>
  </si>
  <si>
    <t>ROVEDA SRL</t>
  </si>
  <si>
    <t>12197290153</t>
  </si>
  <si>
    <t>IT12197290153</t>
  </si>
  <si>
    <t>152010</t>
  </si>
  <si>
    <t>Milano</t>
  </si>
  <si>
    <t>Lombardia</t>
  </si>
  <si>
    <t>65.</t>
  </si>
  <si>
    <t>TESSILFORM S.P.A.</t>
  </si>
  <si>
    <t>01580850970</t>
  </si>
  <si>
    <t>IT01580850970</t>
  </si>
  <si>
    <t>141000</t>
  </si>
  <si>
    <t>Firenze</t>
  </si>
  <si>
    <t>Toscana</t>
  </si>
  <si>
    <t>66.</t>
  </si>
  <si>
    <t>MARIO LEVI S.P.A.</t>
  </si>
  <si>
    <t>05285410014</t>
  </si>
  <si>
    <t>IT05285410014</t>
  </si>
  <si>
    <t>151100</t>
  </si>
  <si>
    <t>Torino</t>
  </si>
  <si>
    <t>Piemonte</t>
  </si>
  <si>
    <t>67.</t>
  </si>
  <si>
    <t>DIAMANT S.R.L.</t>
  </si>
  <si>
    <t>02922140237</t>
  </si>
  <si>
    <t>IT02922140237</t>
  </si>
  <si>
    <t>Verona</t>
  </si>
  <si>
    <t>Veneto</t>
  </si>
  <si>
    <t>68.</t>
  </si>
  <si>
    <t>SANTONI SOCIETA' PER AZIONI</t>
  </si>
  <si>
    <t>01806460430</t>
  </si>
  <si>
    <t>IT01806460430</t>
  </si>
  <si>
    <t>69.</t>
  </si>
  <si>
    <t>LAMIPEL-S.P.A.</t>
  </si>
  <si>
    <t>01259430500</t>
  </si>
  <si>
    <t>00666520507</t>
  </si>
  <si>
    <t>IT00666520507</t>
  </si>
  <si>
    <t>Pisa</t>
  </si>
  <si>
    <t>70.</t>
  </si>
  <si>
    <t>HARMONT &amp; BLAINE S.P.A.</t>
  </si>
  <si>
    <t>01392681217</t>
  </si>
  <si>
    <t>05123510637</t>
  </si>
  <si>
    <t>IT05123510637</t>
  </si>
  <si>
    <t>141310</t>
  </si>
  <si>
    <t>Napoli</t>
  </si>
  <si>
    <t>Campania</t>
  </si>
  <si>
    <t>71.</t>
  </si>
  <si>
    <t>AUTRY INTERNATIONAL S.P.A.</t>
  </si>
  <si>
    <t>05144670287</t>
  </si>
  <si>
    <t>IT05144670287</t>
  </si>
  <si>
    <t>72.</t>
  </si>
  <si>
    <t>FALC S.P.A.</t>
  </si>
  <si>
    <t>00347770430</t>
  </si>
  <si>
    <t>IT00347770430</t>
  </si>
  <si>
    <t>Macerata</t>
  </si>
  <si>
    <t>Marche</t>
  </si>
  <si>
    <t>73.</t>
  </si>
  <si>
    <t>GIANVITO ROSSI S.R.L.</t>
  </si>
  <si>
    <t>03591680404</t>
  </si>
  <si>
    <t>IT03591680404</t>
  </si>
  <si>
    <t>Forlì-Cesena</t>
  </si>
  <si>
    <t>Emilia-Romagna</t>
  </si>
  <si>
    <t>74.</t>
  </si>
  <si>
    <t>GUERRIERO PRODUZIONE PELLETTERIE S.R.L.</t>
  </si>
  <si>
    <t>06253000639</t>
  </si>
  <si>
    <t>IT06253000639</t>
  </si>
  <si>
    <t>151209</t>
  </si>
  <si>
    <t>75.</t>
  </si>
  <si>
    <t>PREMIATA SRL</t>
  </si>
  <si>
    <t>01467490445</t>
  </si>
  <si>
    <t>IT01467490445</t>
  </si>
  <si>
    <t>76.</t>
  </si>
  <si>
    <t>ROSSIMODA S.R.L.</t>
  </si>
  <si>
    <t>00350530283</t>
  </si>
  <si>
    <t>IT00350530283</t>
  </si>
  <si>
    <t>Padova</t>
  </si>
  <si>
    <t>77.</t>
  </si>
  <si>
    <t>CREST LEATHER ITALIA S.R.L.</t>
  </si>
  <si>
    <t>03906160241</t>
  </si>
  <si>
    <t>IT03906160241</t>
  </si>
  <si>
    <t>Vicenza</t>
  </si>
  <si>
    <t>78.</t>
  </si>
  <si>
    <t>AMA S.R.L.</t>
  </si>
  <si>
    <t>03395630159</t>
  </si>
  <si>
    <t>IT03395630159</t>
  </si>
  <si>
    <t>150000</t>
  </si>
  <si>
    <t>79.</t>
  </si>
  <si>
    <t>COCCINELLE S.P.A.</t>
  </si>
  <si>
    <t>00478330343</t>
  </si>
  <si>
    <t>IT00478330343</t>
  </si>
  <si>
    <t>Parma</t>
  </si>
  <si>
    <t>80.</t>
  </si>
  <si>
    <t>CONCERIA NUTI IVO - SOCIETA' PER AZIONI</t>
  </si>
  <si>
    <t>01600380503</t>
  </si>
  <si>
    <t>00231360504</t>
  </si>
  <si>
    <t>IT00231360504</t>
  </si>
  <si>
    <t>81.</t>
  </si>
  <si>
    <t>ROBERTO CAVALLI S.P.A.</t>
  </si>
  <si>
    <t>05274340487</t>
  </si>
  <si>
    <t>IT05274340487</t>
  </si>
  <si>
    <t>141100</t>
  </si>
  <si>
    <t>82.</t>
  </si>
  <si>
    <t>TRIPEL DUE S.R.L.</t>
  </si>
  <si>
    <t>04718020482</t>
  </si>
  <si>
    <t>IT04718020482</t>
  </si>
  <si>
    <t>83.</t>
  </si>
  <si>
    <t>DSQUARED2 S.P.A.</t>
  </si>
  <si>
    <t>05377120968</t>
  </si>
  <si>
    <t>IT05377120968</t>
  </si>
  <si>
    <t>84.</t>
  </si>
  <si>
    <t>GAUDI' TRADE S.P.A.</t>
  </si>
  <si>
    <t>02292170368</t>
  </si>
  <si>
    <t>IT02292170368</t>
  </si>
  <si>
    <t>143900</t>
  </si>
  <si>
    <t>Modena</t>
  </si>
  <si>
    <t>85.</t>
  </si>
  <si>
    <t>PAIMA SOCIETA' PER AZIONI</t>
  </si>
  <si>
    <t>01371770429</t>
  </si>
  <si>
    <t>IT01371770429</t>
  </si>
  <si>
    <t>Ancona</t>
  </si>
  <si>
    <t>86.</t>
  </si>
  <si>
    <t>SIMONETTA - S.P.A.</t>
  </si>
  <si>
    <t>00203290424</t>
  </si>
  <si>
    <t>IT00203290424</t>
  </si>
  <si>
    <t>87.</t>
  </si>
  <si>
    <t>F G F INDUSTRY SPA</t>
  </si>
  <si>
    <t>03315890289</t>
  </si>
  <si>
    <t>IT03315890289</t>
  </si>
  <si>
    <t>141910</t>
  </si>
  <si>
    <t>88.</t>
  </si>
  <si>
    <t>PIQUADRO S.P.A.</t>
  </si>
  <si>
    <t>02554531208</t>
  </si>
  <si>
    <t>IT02554531208</t>
  </si>
  <si>
    <t>Bologna</t>
  </si>
  <si>
    <t>89.</t>
  </si>
  <si>
    <t>NUMERO 8 S.R.L</t>
  </si>
  <si>
    <t>03591110279</t>
  </si>
  <si>
    <t>IT03591110279</t>
  </si>
  <si>
    <t>Venezia</t>
  </si>
  <si>
    <t>90.</t>
  </si>
  <si>
    <t>GIUSEPPE ZANOTTI S.P.A.</t>
  </si>
  <si>
    <t>02067600409</t>
  </si>
  <si>
    <t>IT02067600409</t>
  </si>
  <si>
    <t>91.</t>
  </si>
  <si>
    <t>PARAJUMPERS S.P.A.</t>
  </si>
  <si>
    <t>04630620278</t>
  </si>
  <si>
    <t>IT04630620278</t>
  </si>
  <si>
    <t>92.</t>
  </si>
  <si>
    <t>TRERE' INNOVATION S.R.L.</t>
  </si>
  <si>
    <t>01661460202</t>
  </si>
  <si>
    <t>IT01661460202</t>
  </si>
  <si>
    <t>143100</t>
  </si>
  <si>
    <t>Mantova</t>
  </si>
  <si>
    <t>93.</t>
  </si>
  <si>
    <t>FREELAND S.R.L.</t>
  </si>
  <si>
    <t>05031920480</t>
  </si>
  <si>
    <t>IT05031920480</t>
  </si>
  <si>
    <t>94.</t>
  </si>
  <si>
    <t>GGZ S.R.L.</t>
  </si>
  <si>
    <t>01767000282</t>
  </si>
  <si>
    <t>IT01767000282</t>
  </si>
  <si>
    <t>95.</t>
  </si>
  <si>
    <t>BRAVE KID S.R.L.</t>
  </si>
  <si>
    <t>02792340248</t>
  </si>
  <si>
    <t>IT02792340248</t>
  </si>
  <si>
    <t>96.</t>
  </si>
  <si>
    <t>FABIANA FILIPPI S.P.A.</t>
  </si>
  <si>
    <t>02676310549</t>
  </si>
  <si>
    <t>IT02676310549</t>
  </si>
  <si>
    <t>143900</t>
  </si>
  <si>
    <t>Perugia</t>
  </si>
  <si>
    <t>Umbria</t>
  </si>
  <si>
    <t>97.</t>
  </si>
  <si>
    <t>MINICONF S.P.A.</t>
  </si>
  <si>
    <t>00249390519</t>
  </si>
  <si>
    <t>IT00249390519</t>
  </si>
  <si>
    <t>141400</t>
  </si>
  <si>
    <t>Arezzo</t>
  </si>
  <si>
    <t>Toscana</t>
  </si>
  <si>
    <t>98.</t>
  </si>
  <si>
    <t>LOVABLE ITALY S.R.L.</t>
  </si>
  <si>
    <t>05066040964</t>
  </si>
  <si>
    <t>IT05066040964</t>
  </si>
  <si>
    <t>Bergamo</t>
  </si>
  <si>
    <t>Lombardia</t>
  </si>
  <si>
    <t>99.</t>
  </si>
  <si>
    <t>PELLETTERIE PALLADIO S.R.L. DI LANGELLA</t>
  </si>
  <si>
    <t>02295070243</t>
  </si>
  <si>
    <t>IT02295070243</t>
  </si>
  <si>
    <t>151209</t>
  </si>
  <si>
    <t>Vicenza</t>
  </si>
  <si>
    <t>Veneto</t>
  </si>
  <si>
    <t>100.</t>
  </si>
  <si>
    <t>ARTISANS SHOES S.R.L.</t>
  </si>
  <si>
    <t>00360830442</t>
  </si>
  <si>
    <t>IT00360830442</t>
  </si>
  <si>
    <t>152010</t>
  </si>
  <si>
    <t>Fermo</t>
  </si>
  <si>
    <t>Marche</t>
  </si>
  <si>
    <t>101.</t>
  </si>
  <si>
    <t>CONFEZIONI PESERICO SOCIETA' PER AZIONI</t>
  </si>
  <si>
    <t>00655390243</t>
  </si>
  <si>
    <t>IT00655390243</t>
  </si>
  <si>
    <t>141000</t>
  </si>
  <si>
    <t>102.</t>
  </si>
  <si>
    <t>BONAUDO S.P.A.</t>
  </si>
  <si>
    <t>00474700010</t>
  </si>
  <si>
    <t>IT00474700010</t>
  </si>
  <si>
    <t>151100</t>
  </si>
  <si>
    <t>Milano</t>
  </si>
  <si>
    <t>103.</t>
  </si>
  <si>
    <t>INDUSTRIA CONFEZIONI MONTECATINI IN.CO.M. - S.P.A.</t>
  </si>
  <si>
    <t>00286820972</t>
  </si>
  <si>
    <t>03076400484</t>
  </si>
  <si>
    <t>IT03076400484</t>
  </si>
  <si>
    <t>141310</t>
  </si>
  <si>
    <t>Pistoia</t>
  </si>
  <si>
    <t>104.</t>
  </si>
  <si>
    <t>ERREA' SPORT S.P.A.</t>
  </si>
  <si>
    <t>01629560341</t>
  </si>
  <si>
    <t>IT01629560341</t>
  </si>
  <si>
    <t>141929</t>
  </si>
  <si>
    <t>Parma</t>
  </si>
  <si>
    <t>Emilia-Romagna</t>
  </si>
  <si>
    <t>105.</t>
  </si>
  <si>
    <t>RUSSO DI CASANDRINO S.P.A.</t>
  </si>
  <si>
    <t>01238111213</t>
  </si>
  <si>
    <t>00268250636</t>
  </si>
  <si>
    <t>IT00268250636</t>
  </si>
  <si>
    <t>Napoli</t>
  </si>
  <si>
    <t>Campania</t>
  </si>
  <si>
    <t>106.</t>
  </si>
  <si>
    <t>A.M.F. S.P.A.</t>
  </si>
  <si>
    <t>06256010965</t>
  </si>
  <si>
    <t>IT06256010965</t>
  </si>
  <si>
    <t>141910</t>
  </si>
  <si>
    <t>107.</t>
  </si>
  <si>
    <t>MAGLIFICIO GRAN SASSO S.P.A.</t>
  </si>
  <si>
    <t>00061560678</t>
  </si>
  <si>
    <t>IT00061560678</t>
  </si>
  <si>
    <t>Teramo</t>
  </si>
  <si>
    <t>Abruzzo</t>
  </si>
  <si>
    <t>108.</t>
  </si>
  <si>
    <t>CONCERIA CRISTINA S.P.A. - UNIPERSONALE</t>
  </si>
  <si>
    <t>02441120249</t>
  </si>
  <si>
    <t>01951260247</t>
  </si>
  <si>
    <t>IT01951260247</t>
  </si>
  <si>
    <t>109.</t>
  </si>
  <si>
    <t>LARDINI SOCIETA' PER AZIONI</t>
  </si>
  <si>
    <t>00517670428</t>
  </si>
  <si>
    <t>IT00517670428</t>
  </si>
  <si>
    <t>Ancona</t>
  </si>
  <si>
    <t>110.</t>
  </si>
  <si>
    <t>PEUTEREY SOCIETA' A RESPONSABILITA' LIMITATA</t>
  </si>
  <si>
    <t>09700210967</t>
  </si>
  <si>
    <t>IT09700210967</t>
  </si>
  <si>
    <t>111.</t>
  </si>
  <si>
    <t>SEVEN S.P.A.</t>
  </si>
  <si>
    <t>00963330014</t>
  </si>
  <si>
    <t>IT00963330014</t>
  </si>
  <si>
    <t>Torino</t>
  </si>
  <si>
    <t>Piemonte</t>
  </si>
  <si>
    <t>112.</t>
  </si>
  <si>
    <t>ABRAHAM INDUSTRIES S.R.L.</t>
  </si>
  <si>
    <t>01729810406</t>
  </si>
  <si>
    <t>IT01729810406</t>
  </si>
  <si>
    <t>Rimini</t>
  </si>
  <si>
    <t>113.</t>
  </si>
  <si>
    <t>CALZATURIFICIO JUMBO S.P.A.</t>
  </si>
  <si>
    <t>01279690232</t>
  </si>
  <si>
    <t>IT01279690232</t>
  </si>
  <si>
    <t>Verona</t>
  </si>
  <si>
    <t>114.</t>
  </si>
  <si>
    <t>EUROSUOLE - S.P.A.</t>
  </si>
  <si>
    <t>00252600432</t>
  </si>
  <si>
    <t>IT00252600432</t>
  </si>
  <si>
    <t>152020</t>
  </si>
  <si>
    <t>Macerata</t>
  </si>
  <si>
    <t>115.</t>
  </si>
  <si>
    <t>ARCADIA S.R.L.</t>
  </si>
  <si>
    <t>06710600963</t>
  </si>
  <si>
    <t>IT06710600963</t>
  </si>
  <si>
    <t>116.</t>
  </si>
  <si>
    <t>OLIP ITALIA S.P.A.</t>
  </si>
  <si>
    <t>00384170239</t>
  </si>
  <si>
    <t>IT00384170239</t>
  </si>
  <si>
    <t>117.</t>
  </si>
  <si>
    <t>MAULI S.P.A.</t>
  </si>
  <si>
    <t>00184930048</t>
  </si>
  <si>
    <t>IT00184930048</t>
  </si>
  <si>
    <t>Cuneo</t>
  </si>
  <si>
    <t>118.</t>
  </si>
  <si>
    <t>MARBELLA PELLAMI SPA</t>
  </si>
  <si>
    <t>00481840502</t>
  </si>
  <si>
    <t>IT00481840502</t>
  </si>
  <si>
    <t>Pisa</t>
  </si>
  <si>
    <t>119.</t>
  </si>
  <si>
    <t>MANIFATTURA BERLUTI S.R.L.</t>
  </si>
  <si>
    <t>11351490153</t>
  </si>
  <si>
    <t>01171340381</t>
  </si>
  <si>
    <t>IT01171340381</t>
  </si>
  <si>
    <t>Ferrara</t>
  </si>
  <si>
    <t>120.</t>
  </si>
  <si>
    <t>ROMAN STYLE S.P.A.</t>
  </si>
  <si>
    <t>01942400688</t>
  </si>
  <si>
    <t>IT01942400688</t>
  </si>
  <si>
    <t>Pescara</t>
  </si>
  <si>
    <t>121.</t>
  </si>
  <si>
    <t>MONTURA S.R.L.</t>
  </si>
  <si>
    <t>04376610244</t>
  </si>
  <si>
    <t>IT04376610244</t>
  </si>
  <si>
    <t>122.</t>
  </si>
  <si>
    <t>LOTTO SPORT ITALIA S.P.A.</t>
  </si>
  <si>
    <t>03456770266</t>
  </si>
  <si>
    <t>00634100937</t>
  </si>
  <si>
    <t>IT00634100937</t>
  </si>
  <si>
    <t>Treviso</t>
  </si>
  <si>
    <t>123.</t>
  </si>
  <si>
    <t>GENTILI MOSCONI S.P.A.</t>
  </si>
  <si>
    <t>01768380139</t>
  </si>
  <si>
    <t>IT01768380139</t>
  </si>
  <si>
    <t>Como</t>
  </si>
  <si>
    <t>124.</t>
  </si>
  <si>
    <t>POMPEA S.P.A.</t>
  </si>
  <si>
    <t>01789800206</t>
  </si>
  <si>
    <t>04659140489</t>
  </si>
  <si>
    <t>IT04659140489</t>
  </si>
  <si>
    <t>143100</t>
  </si>
  <si>
    <t>Mantova</t>
  </si>
  <si>
    <t>125.</t>
  </si>
  <si>
    <t>ALVIERO MARTINI S.P.A.</t>
  </si>
  <si>
    <t>10271720152</t>
  </si>
  <si>
    <t>IT10271720152</t>
  </si>
  <si>
    <t>126.</t>
  </si>
  <si>
    <t>MASONI INDUSTRIA CONCIARIA S.P.A.</t>
  </si>
  <si>
    <t>01592920506</t>
  </si>
  <si>
    <t>IT01592920506</t>
  </si>
  <si>
    <t>127.</t>
  </si>
  <si>
    <t>DERNAMARIA S.R.L.</t>
  </si>
  <si>
    <t>05441650487</t>
  </si>
  <si>
    <t>IT05441650487</t>
  </si>
  <si>
    <t>Firenze</t>
  </si>
  <si>
    <t>128.</t>
  </si>
  <si>
    <t>BASE PROTECTION S.R.L.</t>
  </si>
  <si>
    <t>06617940728</t>
  </si>
  <si>
    <t>IT06617940728</t>
  </si>
  <si>
    <t>152010</t>
  </si>
  <si>
    <t>Barletta-Andria-Trani</t>
  </si>
  <si>
    <t>Puglia</t>
  </si>
  <si>
    <t>129.</t>
  </si>
  <si>
    <t>GRUPPO CONCIARIO C.M.C. INTERNATIONAL S.P.A. SOCIETA' BENEFIT</t>
  </si>
  <si>
    <t>01086720503</t>
  </si>
  <si>
    <t>IT01086720503</t>
  </si>
  <si>
    <t>151100</t>
  </si>
  <si>
    <t>Pisa</t>
  </si>
  <si>
    <t>Toscana</t>
  </si>
  <si>
    <t>130.</t>
  </si>
  <si>
    <t>NILLAB MANIFATTURE ITALIANE S.P.A.</t>
  </si>
  <si>
    <t>04610220271</t>
  </si>
  <si>
    <t>IT04610220271</t>
  </si>
  <si>
    <t>Venezia</t>
  </si>
  <si>
    <t>Veneto</t>
  </si>
  <si>
    <t>131.</t>
  </si>
  <si>
    <t>UNO MAGLIA S.P.A.</t>
  </si>
  <si>
    <t>01215660513</t>
  </si>
  <si>
    <t>IT01215660513</t>
  </si>
  <si>
    <t>141310</t>
  </si>
  <si>
    <t>Arezzo</t>
  </si>
  <si>
    <t>132.</t>
  </si>
  <si>
    <t>SIRP S.R.L.</t>
  </si>
  <si>
    <t>02999870245</t>
  </si>
  <si>
    <t>IT02999870245</t>
  </si>
  <si>
    <t>Vicenza</t>
  </si>
  <si>
    <t>133.</t>
  </si>
  <si>
    <t>CONCERIA ANTIBA S.P.A.</t>
  </si>
  <si>
    <t>01015070509</t>
  </si>
  <si>
    <t>IT01015070509</t>
  </si>
  <si>
    <t>134.</t>
  </si>
  <si>
    <t>GRASSI S.P.A.</t>
  </si>
  <si>
    <t>00182620120</t>
  </si>
  <si>
    <t>IT00182620120</t>
  </si>
  <si>
    <t>141200</t>
  </si>
  <si>
    <t>Varese</t>
  </si>
  <si>
    <t>Lombardia</t>
  </si>
  <si>
    <t>135.</t>
  </si>
  <si>
    <t>THE BRIDGE S.P.A.</t>
  </si>
  <si>
    <t>04253320487</t>
  </si>
  <si>
    <t>IT04253320487</t>
  </si>
  <si>
    <t>151209</t>
  </si>
  <si>
    <t>Firenze</t>
  </si>
  <si>
    <t>136.</t>
  </si>
  <si>
    <t>CALZIFICIO FAP S.P.A.</t>
  </si>
  <si>
    <t>00136960200</t>
  </si>
  <si>
    <t>IT00136960200</t>
  </si>
  <si>
    <t>143100</t>
  </si>
  <si>
    <t>Mantova</t>
  </si>
  <si>
    <t>137.</t>
  </si>
  <si>
    <t>DIMAR GROUP S.P.A.</t>
  </si>
  <si>
    <t>02202670564</t>
  </si>
  <si>
    <t>IT02202670564</t>
  </si>
  <si>
    <t>Viterbo</t>
  </si>
  <si>
    <t>Lazio</t>
  </si>
  <si>
    <t>138.</t>
  </si>
  <si>
    <t>CONCERIA INCAS SOCIETA' PER AZIONI</t>
  </si>
  <si>
    <t>00124880501</t>
  </si>
  <si>
    <t>IT00124880501</t>
  </si>
  <si>
    <t>139.</t>
  </si>
  <si>
    <t>TIVOLI GROUP - SOCIETA' PER AZIONI</t>
  </si>
  <si>
    <t>01349601003</t>
  </si>
  <si>
    <t>05063860588</t>
  </si>
  <si>
    <t>IT05063860588</t>
  </si>
  <si>
    <t>Roma</t>
  </si>
  <si>
    <t>140.</t>
  </si>
  <si>
    <t>NORMAN S.R.L.</t>
  </si>
  <si>
    <t>01338500190</t>
  </si>
  <si>
    <t>IT01338500190</t>
  </si>
  <si>
    <t>141910</t>
  </si>
  <si>
    <t>141.</t>
  </si>
  <si>
    <t>MENGHI SOCIETA' PER AZIONI OVVERO IN FORMA ABBREVIATA MENGHI S.P.A.</t>
  </si>
  <si>
    <t>09461340961</t>
  </si>
  <si>
    <t>IT09461340961</t>
  </si>
  <si>
    <t>Milano</t>
  </si>
  <si>
    <t>142.</t>
  </si>
  <si>
    <t>FINCO 1865 S.P.A.</t>
  </si>
  <si>
    <t>00785430240</t>
  </si>
  <si>
    <t>IT00785430240</t>
  </si>
  <si>
    <t>143.</t>
  </si>
  <si>
    <t>DREAM PROJECT S.P.A.</t>
  </si>
  <si>
    <t>06971910721</t>
  </si>
  <si>
    <t>IT06971910721</t>
  </si>
  <si>
    <t>144.</t>
  </si>
  <si>
    <t>PATTERN S.P.A.</t>
  </si>
  <si>
    <t>10072750010</t>
  </si>
  <si>
    <t>IT10072750010</t>
  </si>
  <si>
    <t>Torino</t>
  </si>
  <si>
    <t>Piemonte</t>
  </si>
  <si>
    <t>145.</t>
  </si>
  <si>
    <t>CONCERIA CADORE S.R.L.</t>
  </si>
  <si>
    <t>00656130242</t>
  </si>
  <si>
    <t>IT00656130242</t>
  </si>
  <si>
    <t>146.</t>
  </si>
  <si>
    <t>EMI - MAGLIA S.P.A.</t>
  </si>
  <si>
    <t>01009510288</t>
  </si>
  <si>
    <t>IT01009510288</t>
  </si>
  <si>
    <t>143900</t>
  </si>
  <si>
    <t>Padova</t>
  </si>
  <si>
    <t>147.</t>
  </si>
  <si>
    <t>DALBELLO S.R.L.</t>
  </si>
  <si>
    <t>01837220266</t>
  </si>
  <si>
    <t>IT01837220266</t>
  </si>
  <si>
    <t>Treviso</t>
  </si>
  <si>
    <t>148.</t>
  </si>
  <si>
    <t>GILMAR DIVISIONE INDUSTRIA S.P.A.</t>
  </si>
  <si>
    <t>03225310402</t>
  </si>
  <si>
    <t>10691850159</t>
  </si>
  <si>
    <t>IT10691850159</t>
  </si>
  <si>
    <t>141000</t>
  </si>
  <si>
    <t>Rimini</t>
  </si>
  <si>
    <t>Emilia-Romagna</t>
  </si>
  <si>
    <t>149.</t>
  </si>
  <si>
    <t>INTERNATIONAL PROMO STUDIO S.R.L.</t>
  </si>
  <si>
    <t>02675340414</t>
  </si>
  <si>
    <t>IT02675340414</t>
  </si>
  <si>
    <t>Pesaro e Urbino</t>
  </si>
  <si>
    <t>Marche</t>
  </si>
  <si>
    <t>150.</t>
  </si>
  <si>
    <t>DIXIE S.R.L.</t>
  </si>
  <si>
    <t>04715250488</t>
  </si>
  <si>
    <t>IT04715250488</t>
  </si>
  <si>
    <t>151.</t>
  </si>
  <si>
    <t>CONCERIA MONTEBELLO S.P.A.</t>
  </si>
  <si>
    <t>00584940241</t>
  </si>
  <si>
    <t>IT00584940241</t>
  </si>
  <si>
    <t>152.</t>
  </si>
  <si>
    <t>UVEX - CAGI S.R.L.</t>
  </si>
  <si>
    <t>00199840042</t>
  </si>
  <si>
    <t>IT00199840042</t>
  </si>
  <si>
    <t>Cuneo</t>
  </si>
  <si>
    <t>153.</t>
  </si>
  <si>
    <t>RENE' CAOVILLA S.P.A.</t>
  </si>
  <si>
    <t>00166690271</t>
  </si>
  <si>
    <t>IT00166690271</t>
  </si>
  <si>
    <t>154.</t>
  </si>
  <si>
    <t>SERGIO ROSSI SPA</t>
  </si>
  <si>
    <t>03132190400</t>
  </si>
  <si>
    <t>05820951001</t>
  </si>
  <si>
    <t>IT05820951001</t>
  </si>
  <si>
    <t>Forlì-Cesena</t>
  </si>
  <si>
    <t>155.</t>
  </si>
  <si>
    <t>CSP INTERNATIONAL FASHION GROUP S.P.A.</t>
  </si>
  <si>
    <t>00226290203</t>
  </si>
  <si>
    <t>IT00226290203</t>
  </si>
  <si>
    <t>156.</t>
  </si>
  <si>
    <t>MASPICA S.R.L.</t>
  </si>
  <si>
    <t>04009100282</t>
  </si>
  <si>
    <t>IT04009100282</t>
  </si>
  <si>
    <t>157.</t>
  </si>
  <si>
    <t>BALDININI - S.R.L.</t>
  </si>
  <si>
    <t>01727100404</t>
  </si>
  <si>
    <t>IT01727100404</t>
  </si>
  <si>
    <t>n.d.</t>
  </si>
  <si>
    <t>158.</t>
  </si>
  <si>
    <t>ISAIA E ISAIA S.P.A.</t>
  </si>
  <si>
    <t>05212370638</t>
  </si>
  <si>
    <t>IT05212370638</t>
  </si>
  <si>
    <t>Napoli</t>
  </si>
  <si>
    <t>Campania</t>
  </si>
  <si>
    <t>159.</t>
  </si>
  <si>
    <t>BONIS S.P.A.</t>
  </si>
  <si>
    <t>00854160264</t>
  </si>
  <si>
    <t>IT00854160264</t>
  </si>
  <si>
    <t>160.</t>
  </si>
  <si>
    <t>ALTANA SOCIETA' BENEFIT SRL</t>
  </si>
  <si>
    <t>12131160157</t>
  </si>
  <si>
    <t>02222060135</t>
  </si>
  <si>
    <t>IT02222060135</t>
  </si>
  <si>
    <t>141000</t>
  </si>
  <si>
    <t>Treviso</t>
  </si>
  <si>
    <t>Veneto</t>
  </si>
  <si>
    <t>161.</t>
  </si>
  <si>
    <t>RENZO FAVERO S.R.L.</t>
  </si>
  <si>
    <t>01453790295</t>
  </si>
  <si>
    <t>IT01453790295</t>
  </si>
  <si>
    <t>152010</t>
  </si>
  <si>
    <t>Rovigo</t>
  </si>
  <si>
    <t>162.</t>
  </si>
  <si>
    <t>ELISABET SRL</t>
  </si>
  <si>
    <t>02208680443</t>
  </si>
  <si>
    <t>IT02208680443</t>
  </si>
  <si>
    <t>Fermo</t>
  </si>
  <si>
    <t>Marche</t>
  </si>
  <si>
    <t>163.</t>
  </si>
  <si>
    <t>MINORONZONI S.R.L.</t>
  </si>
  <si>
    <t>01638680163</t>
  </si>
  <si>
    <t>IT01638680163</t>
  </si>
  <si>
    <t>141910</t>
  </si>
  <si>
    <t>Bergamo</t>
  </si>
  <si>
    <t>Lombardia</t>
  </si>
  <si>
    <t>164.</t>
  </si>
  <si>
    <t>BRANDS INDUSTRY S.R.L.</t>
  </si>
  <si>
    <t>03759020237</t>
  </si>
  <si>
    <t>IT03759020237</t>
  </si>
  <si>
    <t>151209</t>
  </si>
  <si>
    <t>Padova</t>
  </si>
  <si>
    <t>165.</t>
  </si>
  <si>
    <t>HIDE S.P.A.</t>
  </si>
  <si>
    <t>01970080287</t>
  </si>
  <si>
    <t>IT01970080287</t>
  </si>
  <si>
    <t>151100</t>
  </si>
  <si>
    <t>166.</t>
  </si>
  <si>
    <t>ZAMASPORT SPA</t>
  </si>
  <si>
    <t>13174350150</t>
  </si>
  <si>
    <t>IT13174350150</t>
  </si>
  <si>
    <t>141310</t>
  </si>
  <si>
    <t>Milano</t>
  </si>
  <si>
    <t>167.</t>
  </si>
  <si>
    <t>VALMOR S.R.L.</t>
  </si>
  <si>
    <t>01175300431</t>
  </si>
  <si>
    <t>IT01175300431</t>
  </si>
  <si>
    <t>Macerata</t>
  </si>
  <si>
    <t>168.</t>
  </si>
  <si>
    <t>GARSPORT S.R.L.</t>
  </si>
  <si>
    <t>01917040261</t>
  </si>
  <si>
    <t>IT01917040261</t>
  </si>
  <si>
    <t>169.</t>
  </si>
  <si>
    <t>ALBERTO ASPESI &amp; C. S.P.A.</t>
  </si>
  <si>
    <t>02683610139</t>
  </si>
  <si>
    <t>IT02683610139</t>
  </si>
  <si>
    <t>141400</t>
  </si>
  <si>
    <t>170.</t>
  </si>
  <si>
    <t>CALZATURIFICIO CLAUDIA - SOCIETA' PER AZIONI</t>
  </si>
  <si>
    <t>00366950467</t>
  </si>
  <si>
    <t>IT00366950467</t>
  </si>
  <si>
    <t>Lucca</t>
  </si>
  <si>
    <t>Toscana</t>
  </si>
  <si>
    <t>171.</t>
  </si>
  <si>
    <t>LUBIAM, MODA PER L'UOMO S.P.A.</t>
  </si>
  <si>
    <t>01221630203</t>
  </si>
  <si>
    <t>IT01221630203</t>
  </si>
  <si>
    <t>Mantova</t>
  </si>
  <si>
    <t>172.</t>
  </si>
  <si>
    <t>CRISTIANO DI THIENE S.P.A.</t>
  </si>
  <si>
    <t>00721940245</t>
  </si>
  <si>
    <t>IT00721940245</t>
  </si>
  <si>
    <t>Vicenza</t>
  </si>
  <si>
    <t>173.</t>
  </si>
  <si>
    <t>CONCERIA SUPERIOR S.P.A.</t>
  </si>
  <si>
    <t>00104190509</t>
  </si>
  <si>
    <t>IT00104190509</t>
  </si>
  <si>
    <t>Pisa</t>
  </si>
  <si>
    <t>174.</t>
  </si>
  <si>
    <t>CALZATURIFICIO SKANDIA S.P.A.</t>
  </si>
  <si>
    <t>03580790263</t>
  </si>
  <si>
    <t>00712230267</t>
  </si>
  <si>
    <t>IT00712230267</t>
  </si>
  <si>
    <t>175.</t>
  </si>
  <si>
    <t>MSGM SRL</t>
  </si>
  <si>
    <t>08158820962</t>
  </si>
  <si>
    <t>IT08158820962</t>
  </si>
  <si>
    <t>176.</t>
  </si>
  <si>
    <t>CONFEZIONI E FACON S.R.L. CON SIGLA CIEFFE S.R.L.</t>
  </si>
  <si>
    <t>13399560153</t>
  </si>
  <si>
    <t>00819470196</t>
  </si>
  <si>
    <t>IT00819470196</t>
  </si>
  <si>
    <t>177.</t>
  </si>
  <si>
    <t>MONNALISA S.P.A.</t>
  </si>
  <si>
    <t>01163300518</t>
  </si>
  <si>
    <t>IT01163300518</t>
  </si>
  <si>
    <t>Arezzo</t>
  </si>
  <si>
    <t>n.d.</t>
  </si>
  <si>
    <t>178.</t>
  </si>
  <si>
    <t>BRIC'S INDUSTRIA VALIGERIA FINE - S.P.A. O, IN ABBREVIATO, BRIC'S S.P.A.</t>
  </si>
  <si>
    <t>00793550138</t>
  </si>
  <si>
    <t>IT00793550138</t>
  </si>
  <si>
    <t>Como</t>
  </si>
  <si>
    <t>179.</t>
  </si>
  <si>
    <t>PELLEMODA S.R.L. SOCIETA' BENEFIT</t>
  </si>
  <si>
    <t>06244520489</t>
  </si>
  <si>
    <t>IT06244520489</t>
  </si>
  <si>
    <t>141100</t>
  </si>
  <si>
    <t>Firenze</t>
  </si>
  <si>
    <t>180.</t>
  </si>
  <si>
    <t>BULGARI ACCESSORI S.R.L.</t>
  </si>
  <si>
    <t>05571910487</t>
  </si>
  <si>
    <t>IT05571910487</t>
  </si>
  <si>
    <t>181.</t>
  </si>
  <si>
    <t>SLOWEAR SPA</t>
  </si>
  <si>
    <t>04246660288</t>
  </si>
  <si>
    <t>IT04246660288</t>
  </si>
  <si>
    <t>182.</t>
  </si>
  <si>
    <t>CONCERIA STEFANIA S.P.A.</t>
  </si>
  <si>
    <t>04879720151</t>
  </si>
  <si>
    <t>IT04879720151</t>
  </si>
  <si>
    <t>183.</t>
  </si>
  <si>
    <t>FRATELLI ROSSETTI S.P.A.</t>
  </si>
  <si>
    <t>10791930158</t>
  </si>
  <si>
    <t>00437460074</t>
  </si>
  <si>
    <t>IT00437460074</t>
  </si>
  <si>
    <t>184.</t>
  </si>
  <si>
    <t>VALIGERIA RONCATO S.P.A.</t>
  </si>
  <si>
    <t>00332950286</t>
  </si>
  <si>
    <t>IT00332950286</t>
  </si>
  <si>
    <t>185.</t>
  </si>
  <si>
    <t>MAN SOCKS ITALIA SRL</t>
  </si>
  <si>
    <t>02090940178</t>
  </si>
  <si>
    <t>IT02090940178</t>
  </si>
  <si>
    <t>143100</t>
  </si>
  <si>
    <t>186.</t>
  </si>
  <si>
    <t>B.C.N. CONCERIE S.P.A.</t>
  </si>
  <si>
    <t>00294820501</t>
  </si>
  <si>
    <t>IT00294820501</t>
  </si>
  <si>
    <t>187.</t>
  </si>
  <si>
    <t>CALZATURIFICIO PETRA - S.R.L.</t>
  </si>
  <si>
    <t>00435100482</t>
  </si>
  <si>
    <t>IT00435100482</t>
  </si>
  <si>
    <t>188.</t>
  </si>
  <si>
    <t>CALZATURIFICIO ORION S.P.A.</t>
  </si>
  <si>
    <t>02018450284</t>
  </si>
  <si>
    <t>IT02018450284</t>
  </si>
  <si>
    <t>189.</t>
  </si>
  <si>
    <t>DANIEL - S.R.L.</t>
  </si>
  <si>
    <t>03140880489</t>
  </si>
  <si>
    <t>IT03140880489</t>
  </si>
  <si>
    <t>Prato</t>
  </si>
  <si>
    <t>190.</t>
  </si>
  <si>
    <t>CALZATURIFICIO CARMENS S.P.A.</t>
  </si>
  <si>
    <t>01502380288</t>
  </si>
  <si>
    <t>IT01502380288</t>
  </si>
  <si>
    <t>191.</t>
  </si>
  <si>
    <t>CARRERA S.P.A.</t>
  </si>
  <si>
    <t>00463030239</t>
  </si>
  <si>
    <t>IT00463030239</t>
  </si>
  <si>
    <t>Verona</t>
  </si>
  <si>
    <t>192.</t>
  </si>
  <si>
    <t>WAYCAP S.P.A.</t>
  </si>
  <si>
    <t>04457310276</t>
  </si>
  <si>
    <t>IT04457310276</t>
  </si>
  <si>
    <t>141310</t>
  </si>
  <si>
    <t>Venezia</t>
  </si>
  <si>
    <t>Veneto</t>
  </si>
  <si>
    <t>193.</t>
  </si>
  <si>
    <t>SELLE ITALIA S.R.L.</t>
  </si>
  <si>
    <t>00652320243</t>
  </si>
  <si>
    <t>IT00652320243</t>
  </si>
  <si>
    <t>151200</t>
  </si>
  <si>
    <t>Treviso</t>
  </si>
  <si>
    <t>194.</t>
  </si>
  <si>
    <t>CONCERIA ZUMA PELLI PREGIATE SRL</t>
  </si>
  <si>
    <t>02184430508</t>
  </si>
  <si>
    <t>IT02184430508</t>
  </si>
  <si>
    <t>151100</t>
  </si>
  <si>
    <t>Pisa</t>
  </si>
  <si>
    <t>Toscana</t>
  </si>
  <si>
    <t>195.</t>
  </si>
  <si>
    <t>PM S.R.L.</t>
  </si>
  <si>
    <t>04364240277</t>
  </si>
  <si>
    <t>IT04364240277</t>
  </si>
  <si>
    <t>152010</t>
  </si>
  <si>
    <t>Padova</t>
  </si>
  <si>
    <t>196.</t>
  </si>
  <si>
    <t>CALZATURIFICIO RODOLFO ZENGARINI - S.R.L.</t>
  </si>
  <si>
    <t>00780760443</t>
  </si>
  <si>
    <t>IT00780760443</t>
  </si>
  <si>
    <t>Fermo</t>
  </si>
  <si>
    <t>Marche</t>
  </si>
  <si>
    <t>197.</t>
  </si>
  <si>
    <t>SEYMECHAMLOU S.R.L.</t>
  </si>
  <si>
    <t>13417980151</t>
  </si>
  <si>
    <t>IT13417980151</t>
  </si>
  <si>
    <t>Milano</t>
  </si>
  <si>
    <t>Lombardia</t>
  </si>
  <si>
    <t>198.</t>
  </si>
  <si>
    <t>CALZATURIFICIO STELLA S.R.L.</t>
  </si>
  <si>
    <t>00429790488</t>
  </si>
  <si>
    <t>IT00429790488</t>
  </si>
  <si>
    <t>Firenze</t>
  </si>
  <si>
    <t>199.</t>
  </si>
  <si>
    <t>INTIMO ARTU' S.R.L.</t>
  </si>
  <si>
    <t>04724350725</t>
  </si>
  <si>
    <t>IT04724350725</t>
  </si>
  <si>
    <t>141400</t>
  </si>
  <si>
    <t>Barletta-Andria-Trani</t>
  </si>
  <si>
    <t>Puglia</t>
  </si>
  <si>
    <t>200.</t>
  </si>
  <si>
    <t>C.B.F. BALDUCCI GROUP S.P.A.</t>
  </si>
  <si>
    <t>00909040438</t>
  </si>
  <si>
    <t>IT00909040438</t>
  </si>
  <si>
    <t>141200</t>
  </si>
  <si>
    <t>Macerata</t>
  </si>
  <si>
    <t>201.</t>
  </si>
  <si>
    <t>RRD ROBERTO RICCI DESIGNS S.P.A.</t>
  </si>
  <si>
    <t>01178780530</t>
  </si>
  <si>
    <t>IT01178780530</t>
  </si>
  <si>
    <t>141000</t>
  </si>
  <si>
    <t>Grosseto</t>
  </si>
  <si>
    <t>202.</t>
  </si>
  <si>
    <t>GRUPPO PERETTI S.P.A.</t>
  </si>
  <si>
    <t>01924290248</t>
  </si>
  <si>
    <t>IT01924290248</t>
  </si>
  <si>
    <t>Vicenza</t>
  </si>
  <si>
    <t>203.</t>
  </si>
  <si>
    <t>MOORER S.P.A.</t>
  </si>
  <si>
    <t>02951700232</t>
  </si>
  <si>
    <t>IT02951700232</t>
  </si>
  <si>
    <t>Verona</t>
  </si>
  <si>
    <t>204.</t>
  </si>
  <si>
    <t>GDA S.R.L.</t>
  </si>
  <si>
    <t>04179290756</t>
  </si>
  <si>
    <t>IT04179290756</t>
  </si>
  <si>
    <t>141910</t>
  </si>
  <si>
    <t>Lecce</t>
  </si>
  <si>
    <t>205.</t>
  </si>
  <si>
    <t>CARAVEL PELLI PREGIATE S.P.A.</t>
  </si>
  <si>
    <t>05143740487</t>
  </si>
  <si>
    <t>IT05143740487</t>
  </si>
  <si>
    <t>206.</t>
  </si>
  <si>
    <t>MANIFATTURE DADDATO S.R.L.</t>
  </si>
  <si>
    <t>05524450722</t>
  </si>
  <si>
    <t>IT05524450722</t>
  </si>
  <si>
    <t>207.</t>
  </si>
  <si>
    <t>CAPRI FOOTWEAR INDUSTRIES S.R.L.</t>
  </si>
  <si>
    <t>00484600473</t>
  </si>
  <si>
    <t>00777140500</t>
  </si>
  <si>
    <t>IT00777140500</t>
  </si>
  <si>
    <t>Pistoia</t>
  </si>
  <si>
    <t>208.</t>
  </si>
  <si>
    <t>DEK MANIFATTURE SRL</t>
  </si>
  <si>
    <t>06667441213</t>
  </si>
  <si>
    <t>IT06667441213</t>
  </si>
  <si>
    <t>Napoli</t>
  </si>
  <si>
    <t>Campania</t>
  </si>
  <si>
    <t>209.</t>
  </si>
  <si>
    <t>CONCERIA SETTEBELLO S.P.A.</t>
  </si>
  <si>
    <t>00205010507</t>
  </si>
  <si>
    <t>00125360503</t>
  </si>
  <si>
    <t>IT00125360503</t>
  </si>
  <si>
    <t>210.</t>
  </si>
  <si>
    <t>CONCERIA GAIERA GIOVANNI S.R.L.</t>
  </si>
  <si>
    <t>00693030157</t>
  </si>
  <si>
    <t>IT00693030157</t>
  </si>
  <si>
    <t>211.</t>
  </si>
  <si>
    <t>SPIRALE S.R.L.</t>
  </si>
  <si>
    <t>01802460228</t>
  </si>
  <si>
    <t>IT01802460228</t>
  </si>
  <si>
    <t>Trento</t>
  </si>
  <si>
    <t>Trentino-Alto Adige/Südtirol</t>
  </si>
  <si>
    <t>212.</t>
  </si>
  <si>
    <t>NORTHWAVE S.R.L.</t>
  </si>
  <si>
    <t>01572560991</t>
  </si>
  <si>
    <t>IT01572560991</t>
  </si>
  <si>
    <t>213.</t>
  </si>
  <si>
    <t>SIDI SPORT S.R.L.</t>
  </si>
  <si>
    <t>00317780260</t>
  </si>
  <si>
    <t>IT00317780260</t>
  </si>
  <si>
    <t>214.</t>
  </si>
  <si>
    <t>PELLETTERIA ALMAX S.R.L.</t>
  </si>
  <si>
    <t>03772260489</t>
  </si>
  <si>
    <t>IT03772260489</t>
  </si>
  <si>
    <t>151209</t>
  </si>
  <si>
    <t>215.</t>
  </si>
  <si>
    <t>INDUSTRIAL STARTER S.P.A.</t>
  </si>
  <si>
    <t>00619090244</t>
  </si>
  <si>
    <t>IT00619090244</t>
  </si>
  <si>
    <t>216.</t>
  </si>
  <si>
    <t>I.C.A. - INDUSTRIA CONCIARIA ARZIGNANESE S.P.A.</t>
  </si>
  <si>
    <t>00142300243</t>
  </si>
  <si>
    <t>IT00142300243</t>
  </si>
  <si>
    <t>217.</t>
  </si>
  <si>
    <t>MANIFATTURA CORONA S.R.L.</t>
  </si>
  <si>
    <t>04606690289</t>
  </si>
  <si>
    <t>IT04606690289</t>
  </si>
  <si>
    <t>218.</t>
  </si>
  <si>
    <t>COTONELLA S.P.A.</t>
  </si>
  <si>
    <t>00627440985</t>
  </si>
  <si>
    <t>01455000172</t>
  </si>
  <si>
    <t>IT01455000172</t>
  </si>
  <si>
    <t>Brescia</t>
  </si>
  <si>
    <t>219.</t>
  </si>
  <si>
    <t>HOSTAGE S.R.L.</t>
  </si>
  <si>
    <t>05720610483</t>
  </si>
  <si>
    <t>IT05720610483</t>
  </si>
  <si>
    <t>220.</t>
  </si>
  <si>
    <t>V.M.C. S.R.L.</t>
  </si>
  <si>
    <t>01732530207</t>
  </si>
  <si>
    <t>10886950152</t>
  </si>
  <si>
    <t>IT10886950152</t>
  </si>
  <si>
    <t>143100</t>
  </si>
  <si>
    <t>221.</t>
  </si>
  <si>
    <t>CRISPI SPORT S.R.L.</t>
  </si>
  <si>
    <t>01760300267</t>
  </si>
  <si>
    <t>IT01760300267</t>
  </si>
  <si>
    <t>222.</t>
  </si>
  <si>
    <t>CONFEZIONI LERARIO S.R.L.</t>
  </si>
  <si>
    <t>00941890733</t>
  </si>
  <si>
    <t>IT00941890733</t>
  </si>
  <si>
    <t>Taranto</t>
  </si>
  <si>
    <t>223.</t>
  </si>
  <si>
    <t>FRASSON S.P.A.</t>
  </si>
  <si>
    <t>03397900261</t>
  </si>
  <si>
    <t>IT03397900261</t>
  </si>
  <si>
    <t>224.</t>
  </si>
  <si>
    <t>EXENA SRL</t>
  </si>
  <si>
    <t>01336080435</t>
  </si>
  <si>
    <t>IT01336080435</t>
  </si>
  <si>
    <t>152010</t>
  </si>
  <si>
    <t>Macerata</t>
  </si>
  <si>
    <t>Marche</t>
  </si>
  <si>
    <t>225.</t>
  </si>
  <si>
    <t>C.F.B. S.P.A.</t>
  </si>
  <si>
    <t>01582290134</t>
  </si>
  <si>
    <t>IT01582290134</t>
  </si>
  <si>
    <t>141200</t>
  </si>
  <si>
    <t>Lecco</t>
  </si>
  <si>
    <t>Lombardia</t>
  </si>
  <si>
    <t>226.</t>
  </si>
  <si>
    <t>KOCCA S.R.L.</t>
  </si>
  <si>
    <t>04088251212</t>
  </si>
  <si>
    <t>IT04088251212</t>
  </si>
  <si>
    <t>141310</t>
  </si>
  <si>
    <t>Napoli</t>
  </si>
  <si>
    <t>Campania</t>
  </si>
  <si>
    <t>227.</t>
  </si>
  <si>
    <t>ESSENZA S.P.A.</t>
  </si>
  <si>
    <t>01742660168</t>
  </si>
  <si>
    <t>IT01742660168</t>
  </si>
  <si>
    <t>Bergamo</t>
  </si>
  <si>
    <t>228.</t>
  </si>
  <si>
    <t>NYKY S.R.L.</t>
  </si>
  <si>
    <t>04238650263</t>
  </si>
  <si>
    <t>IT04238650263</t>
  </si>
  <si>
    <t>141000</t>
  </si>
  <si>
    <t>Treviso</t>
  </si>
  <si>
    <t>Veneto</t>
  </si>
  <si>
    <t>229.</t>
  </si>
  <si>
    <t>IL BISONTE S.P.A.</t>
  </si>
  <si>
    <t>02076930482</t>
  </si>
  <si>
    <t>IT02076930482</t>
  </si>
  <si>
    <t>151209</t>
  </si>
  <si>
    <t>Firenze</t>
  </si>
  <si>
    <t>Toscana</t>
  </si>
  <si>
    <t>230.</t>
  </si>
  <si>
    <t>AESSE PROJECTS S.R.L.</t>
  </si>
  <si>
    <t>08294640019</t>
  </si>
  <si>
    <t>13179930154</t>
  </si>
  <si>
    <t>IT13179930154</t>
  </si>
  <si>
    <t>Rimini</t>
  </si>
  <si>
    <t>Emilia-Romagna</t>
  </si>
  <si>
    <t>231.</t>
  </si>
  <si>
    <t>ETHICA S.R.L.</t>
  </si>
  <si>
    <t>01378960429</t>
  </si>
  <si>
    <t>IT01378960429</t>
  </si>
  <si>
    <t>Ancona</t>
  </si>
  <si>
    <t>232.</t>
  </si>
  <si>
    <t>PRIMA EASTERN S.P.A.</t>
  </si>
  <si>
    <t>01539900694</t>
  </si>
  <si>
    <t>IT01539900694</t>
  </si>
  <si>
    <t>151200</t>
  </si>
  <si>
    <t>Chieti</t>
  </si>
  <si>
    <t>Abruzzo</t>
  </si>
  <si>
    <t>233.</t>
  </si>
  <si>
    <t>RIVER GROUP S.P.A.</t>
  </si>
  <si>
    <t>06595170488</t>
  </si>
  <si>
    <t>IT06595170488</t>
  </si>
  <si>
    <t>234.</t>
  </si>
  <si>
    <t>CONFEZIONI RAFFAELLA S.R.L.</t>
  </si>
  <si>
    <t>00859930265</t>
  </si>
  <si>
    <t>IT00859930265</t>
  </si>
  <si>
    <t>235.</t>
  </si>
  <si>
    <t>C. &amp; S. S.R.L.</t>
  </si>
  <si>
    <t>00715380549</t>
  </si>
  <si>
    <t>IT00715380549</t>
  </si>
  <si>
    <t>Perugia</t>
  </si>
  <si>
    <t>Umbria</t>
  </si>
  <si>
    <t>236.</t>
  </si>
  <si>
    <t>AIRON S.R.L.</t>
  </si>
  <si>
    <t>06096830721</t>
  </si>
  <si>
    <t>IT06096830721</t>
  </si>
  <si>
    <t>Barletta-Andria-Trani</t>
  </si>
  <si>
    <t>Puglia</t>
  </si>
  <si>
    <t>237.</t>
  </si>
  <si>
    <t>S.M.T. - SOCIETA' MANIFATTURA TESSILE S.P.A.</t>
  </si>
  <si>
    <t>01182020352</t>
  </si>
  <si>
    <t>IT01182020352</t>
  </si>
  <si>
    <t>Reggio nell'Emilia</t>
  </si>
  <si>
    <t>238.</t>
  </si>
  <si>
    <t>BENIT S.R.L.</t>
  </si>
  <si>
    <t>04698840487</t>
  </si>
  <si>
    <t>IT04698840487</t>
  </si>
  <si>
    <t>239.</t>
  </si>
  <si>
    <t>FOSTER - S.P.A.</t>
  </si>
  <si>
    <t>00156900458</t>
  </si>
  <si>
    <t>IT00156900458</t>
  </si>
  <si>
    <t>Massa-Carrara</t>
  </si>
  <si>
    <t>240.</t>
  </si>
  <si>
    <t>RAFFAELE CARUSO S.P.A.</t>
  </si>
  <si>
    <t>00145290342</t>
  </si>
  <si>
    <t>IT00145290342</t>
  </si>
  <si>
    <t>Parma</t>
  </si>
  <si>
    <t>241.</t>
  </si>
  <si>
    <t>BLUE LINE EVOLUTION S.R.L.</t>
  </si>
  <si>
    <t>03450490408</t>
  </si>
  <si>
    <t>IT03450490408</t>
  </si>
  <si>
    <t>Milano</t>
  </si>
  <si>
    <t>242.</t>
  </si>
  <si>
    <t>CONCERIA VOLPIANA S.P.A.</t>
  </si>
  <si>
    <t>01521690246</t>
  </si>
  <si>
    <t>IT01521690246</t>
  </si>
  <si>
    <t>151100</t>
  </si>
  <si>
    <t>Vicenza</t>
  </si>
  <si>
    <t>243.</t>
  </si>
  <si>
    <t>BORBONESE S.P.A.</t>
  </si>
  <si>
    <t>01703261204</t>
  </si>
  <si>
    <t>80013140373</t>
  </si>
  <si>
    <t>IT80013140373</t>
  </si>
  <si>
    <t>244.</t>
  </si>
  <si>
    <t>BRUGI S.P.A. CREAZIONI SPORTIVE</t>
  </si>
  <si>
    <t>00880690235</t>
  </si>
  <si>
    <t>00514160241</t>
  </si>
  <si>
    <t>IT00514160241</t>
  </si>
  <si>
    <t>Verona</t>
  </si>
  <si>
    <t>245.</t>
  </si>
  <si>
    <t>GORETTI S.R.L.</t>
  </si>
  <si>
    <t>02783180421</t>
  </si>
  <si>
    <t>IT02783180421</t>
  </si>
  <si>
    <t>152020</t>
  </si>
  <si>
    <t>246.</t>
  </si>
  <si>
    <t>A.S.S.O. S.P.A.</t>
  </si>
  <si>
    <t>01125370443</t>
  </si>
  <si>
    <t>IT01125370443</t>
  </si>
  <si>
    <t>Fermo</t>
  </si>
  <si>
    <t>247.</t>
  </si>
  <si>
    <t>F.V.L. S.R.L.</t>
  </si>
  <si>
    <t>04220710240</t>
  </si>
  <si>
    <t>IT04220710240</t>
  </si>
  <si>
    <t>141910</t>
  </si>
  <si>
    <t>248.</t>
  </si>
  <si>
    <t>EMILIO PUCCI S.R.L.</t>
  </si>
  <si>
    <t>05063340482</t>
  </si>
  <si>
    <t>02921100968</t>
  </si>
  <si>
    <t>IT02921100968</t>
  </si>
  <si>
    <t>249.</t>
  </si>
  <si>
    <t>DOLMEN S.P.A.</t>
  </si>
  <si>
    <t>00459090502</t>
  </si>
  <si>
    <t>IT00459090502</t>
  </si>
  <si>
    <t>Pisa</t>
  </si>
  <si>
    <t>250.</t>
  </si>
  <si>
    <t>CONFEZIONI MARIO DE CECCO - S.P.A.</t>
  </si>
  <si>
    <t>00618260699</t>
  </si>
  <si>
    <t>IT00618260699</t>
  </si>
  <si>
    <t>251.</t>
  </si>
  <si>
    <t>GIANEL SHOES S.R.L.</t>
  </si>
  <si>
    <t>04317450759</t>
  </si>
  <si>
    <t>IT04317450759</t>
  </si>
  <si>
    <t>Lecce</t>
  </si>
  <si>
    <t>252.</t>
  </si>
  <si>
    <t>AKU ITALIA S.R.L.</t>
  </si>
  <si>
    <t>04295240263</t>
  </si>
  <si>
    <t>IT04295240263</t>
  </si>
  <si>
    <t>253.</t>
  </si>
  <si>
    <t>CALZIFICIO ILARY S.R.L.</t>
  </si>
  <si>
    <t>01936460987</t>
  </si>
  <si>
    <t>IT01936460987</t>
  </si>
  <si>
    <t>143100</t>
  </si>
  <si>
    <t>Brescia</t>
  </si>
  <si>
    <t>254.</t>
  </si>
  <si>
    <t>CARISMA - S.P.A.</t>
  </si>
  <si>
    <t>03406550651</t>
  </si>
  <si>
    <t>IT03406550651</t>
  </si>
  <si>
    <t>Salerno</t>
  </si>
  <si>
    <t>255.</t>
  </si>
  <si>
    <t>GARMONT INTERNATIONAL S.R.L.</t>
  </si>
  <si>
    <t>04643700265</t>
  </si>
  <si>
    <t>IT04643700265</t>
  </si>
  <si>
    <t>256.</t>
  </si>
  <si>
    <t>FEBOS S.R.L.</t>
  </si>
  <si>
    <t>03517220269</t>
  </si>
  <si>
    <t>IT03517220269</t>
  </si>
  <si>
    <t>152010</t>
  </si>
  <si>
    <t>Treviso</t>
  </si>
  <si>
    <t>Veneto</t>
  </si>
  <si>
    <t>257.</t>
  </si>
  <si>
    <t>FLY FLOT S.R.L.</t>
  </si>
  <si>
    <t>03277360982</t>
  </si>
  <si>
    <t>IT03277360982</t>
  </si>
  <si>
    <t>Brescia</t>
  </si>
  <si>
    <t>Lombardia</t>
  </si>
  <si>
    <t>258.</t>
  </si>
  <si>
    <t>INGROPELLI - SOCIETA' A RESPONSABILITA' LIMITATA SIGLABILE ANCHE INGROPELLI - S.R.L.</t>
  </si>
  <si>
    <t>03884570486</t>
  </si>
  <si>
    <t>IT03884570486</t>
  </si>
  <si>
    <t>151100</t>
  </si>
  <si>
    <t>Firenze</t>
  </si>
  <si>
    <t>Toscana</t>
  </si>
  <si>
    <t>n.d.</t>
  </si>
  <si>
    <t>259.</t>
  </si>
  <si>
    <t>STERNE INTERNATIONAL S.P.A.</t>
  </si>
  <si>
    <t>01913370548</t>
  </si>
  <si>
    <t>IT01913370548</t>
  </si>
  <si>
    <t>143900</t>
  </si>
  <si>
    <t>Milano</t>
  </si>
  <si>
    <t>260.</t>
  </si>
  <si>
    <t>COVER 50 S.P.A.</t>
  </si>
  <si>
    <t>08601590014</t>
  </si>
  <si>
    <t>IT08601590014</t>
  </si>
  <si>
    <t>141000</t>
  </si>
  <si>
    <t>Torino</t>
  </si>
  <si>
    <t>Piemonte</t>
  </si>
  <si>
    <t>261.</t>
  </si>
  <si>
    <t>ROBANS S.R.L.</t>
  </si>
  <si>
    <t>01555330503</t>
  </si>
  <si>
    <t>IT01555330503</t>
  </si>
  <si>
    <t>141100</t>
  </si>
  <si>
    <t>Pisa</t>
  </si>
  <si>
    <t>262.</t>
  </si>
  <si>
    <t>DEVICONCIA S.R.L.</t>
  </si>
  <si>
    <t>00230260648</t>
  </si>
  <si>
    <t>IT00230260648</t>
  </si>
  <si>
    <t>263.</t>
  </si>
  <si>
    <t>SANTINI S.P.A.</t>
  </si>
  <si>
    <t>01631560164</t>
  </si>
  <si>
    <t>IT01631560164</t>
  </si>
  <si>
    <t>141929</t>
  </si>
  <si>
    <t>Bergamo</t>
  </si>
  <si>
    <t>264.</t>
  </si>
  <si>
    <t>INDUSTRIA PELLAMI VALDARNO INTERNATIONAL S.P.A.</t>
  </si>
  <si>
    <t>01361360504</t>
  </si>
  <si>
    <t>IT01361360504</t>
  </si>
  <si>
    <t>265.</t>
  </si>
  <si>
    <t>ANTRESS INDUSTRY SPA ABBREVIABILE IN ANTRESS SPA</t>
  </si>
  <si>
    <t>02247270362</t>
  </si>
  <si>
    <t>01544220237</t>
  </si>
  <si>
    <t>IT01544220237</t>
  </si>
  <si>
    <t>141310</t>
  </si>
  <si>
    <t>Modena</t>
  </si>
  <si>
    <t>Emilia-Romagna</t>
  </si>
  <si>
    <t>266.</t>
  </si>
  <si>
    <t>MOA SPORT MANTOVANI VINCENZO S.R.L.</t>
  </si>
  <si>
    <t>01335840201</t>
  </si>
  <si>
    <t>IT01335840201</t>
  </si>
  <si>
    <t>Mantova</t>
  </si>
  <si>
    <t>267.</t>
  </si>
  <si>
    <t>FORTE FORTE SRL</t>
  </si>
  <si>
    <t>02976310249</t>
  </si>
  <si>
    <t>IT02976310249</t>
  </si>
  <si>
    <t>Vicenza</t>
  </si>
  <si>
    <t>268.</t>
  </si>
  <si>
    <t>A.P.G. S.R.L.</t>
  </si>
  <si>
    <t>01970810238</t>
  </si>
  <si>
    <t>01429780206</t>
  </si>
  <si>
    <t>IT01429780206</t>
  </si>
  <si>
    <t>Verona</t>
  </si>
  <si>
    <t>269.</t>
  </si>
  <si>
    <t>PESPOW ITALY S.R.L.</t>
  </si>
  <si>
    <t>05358220282</t>
  </si>
  <si>
    <t>IT05358220282</t>
  </si>
  <si>
    <t>Padova</t>
  </si>
  <si>
    <t>270.</t>
  </si>
  <si>
    <t>H.EICH S.R.L.</t>
  </si>
  <si>
    <t>05319320486</t>
  </si>
  <si>
    <t>IT05319320486</t>
  </si>
  <si>
    <t>271.</t>
  </si>
  <si>
    <t>G&amp;G SERVICE SRL</t>
  </si>
  <si>
    <t>03737770242</t>
  </si>
  <si>
    <t>IT03737770242</t>
  </si>
  <si>
    <t>272.</t>
  </si>
  <si>
    <t>CA' DA MOSTO S.P.A.</t>
  </si>
  <si>
    <t>02037210271</t>
  </si>
  <si>
    <t>IT02037210271</t>
  </si>
  <si>
    <t>Venezia</t>
  </si>
  <si>
    <t>273.</t>
  </si>
  <si>
    <t>ERREGI S.R.L.</t>
  </si>
  <si>
    <t>02972210542</t>
  </si>
  <si>
    <t>IT02972210542</t>
  </si>
  <si>
    <t>Perugia</t>
  </si>
  <si>
    <t>Umbria</t>
  </si>
  <si>
    <t>274.</t>
  </si>
  <si>
    <t>SIGGI GROUP S.P.A.</t>
  </si>
  <si>
    <t>00145890240</t>
  </si>
  <si>
    <t>IT00145890240</t>
  </si>
  <si>
    <t>141200</t>
  </si>
  <si>
    <t>275.</t>
  </si>
  <si>
    <t>CORRADO MARETTO S.R.L.</t>
  </si>
  <si>
    <t>03686750286</t>
  </si>
  <si>
    <t>IT03686750286</t>
  </si>
  <si>
    <t>276.</t>
  </si>
  <si>
    <t>ARTIGIANI VENEZIANI S.R.L.</t>
  </si>
  <si>
    <t>01499010278</t>
  </si>
  <si>
    <t>IT01499010278</t>
  </si>
  <si>
    <t>151209</t>
  </si>
  <si>
    <t>277.</t>
  </si>
  <si>
    <t>3 C - LAVORAZIONE PELLI S.R.L.</t>
  </si>
  <si>
    <t>01989660244</t>
  </si>
  <si>
    <t>IT01989660244</t>
  </si>
  <si>
    <t>278.</t>
  </si>
  <si>
    <t>GAB GROUP SRL</t>
  </si>
  <si>
    <t>05985700482</t>
  </si>
  <si>
    <t>IT05985700482</t>
  </si>
  <si>
    <t>279.</t>
  </si>
  <si>
    <t>EFFE 2 STUDIO E CONFEZIONI S.P.A. O, IN FORMA ABBREVIATA EFFE 2 S .P.A.</t>
  </si>
  <si>
    <t>01836790020</t>
  </si>
  <si>
    <t>IT01836790020</t>
  </si>
  <si>
    <t>Vercelli</t>
  </si>
  <si>
    <t>280.</t>
  </si>
  <si>
    <t>GREY MER S.P.A.</t>
  </si>
  <si>
    <t>01186220404</t>
  </si>
  <si>
    <t>IT01186220404</t>
  </si>
  <si>
    <t>Forlì-Cesena</t>
  </si>
  <si>
    <t>281.</t>
  </si>
  <si>
    <t>LA PATRIE S.R.L.</t>
  </si>
  <si>
    <t>02158950507</t>
  </si>
  <si>
    <t>IT02158950507</t>
  </si>
  <si>
    <t>282.</t>
  </si>
  <si>
    <t>PELLETTERIE SAGI S.R.L.</t>
  </si>
  <si>
    <t>03274540248</t>
  </si>
  <si>
    <t>IT03274540248</t>
  </si>
  <si>
    <t>283.</t>
  </si>
  <si>
    <t>MANIFATTURE 7 BELL S.P.A.</t>
  </si>
  <si>
    <t>00431820489</t>
  </si>
  <si>
    <t>IT00431820489</t>
  </si>
  <si>
    <t>284.</t>
  </si>
  <si>
    <t>ZERO &amp; COMPANY S.R.L.</t>
  </si>
  <si>
    <t>04481830729</t>
  </si>
  <si>
    <t>IT04481830729</t>
  </si>
  <si>
    <t>Bari</t>
  </si>
  <si>
    <t>Puglia</t>
  </si>
  <si>
    <t>285.</t>
  </si>
  <si>
    <t>INTERFASHION S.P.A.</t>
  </si>
  <si>
    <t>02402220269</t>
  </si>
  <si>
    <t>IT02402220269</t>
  </si>
  <si>
    <t>Rimini</t>
  </si>
  <si>
    <t>286.</t>
  </si>
  <si>
    <t>ATELIER EME' S.R.L.</t>
  </si>
  <si>
    <t>00157690207</t>
  </si>
  <si>
    <t>IT00157690207</t>
  </si>
  <si>
    <t>287.</t>
  </si>
  <si>
    <t>CONCERIA PRIANTE S.R.L.</t>
  </si>
  <si>
    <t>00803660240</t>
  </si>
  <si>
    <t>IT00803660240</t>
  </si>
  <si>
    <t>288.</t>
  </si>
  <si>
    <t>TWINS S.R.L.</t>
  </si>
  <si>
    <t>04919430480</t>
  </si>
  <si>
    <t>IT04919430480</t>
  </si>
  <si>
    <t>143900</t>
  </si>
  <si>
    <t>Firenze</t>
  </si>
  <si>
    <t>Toscana</t>
  </si>
  <si>
    <t>289.</t>
  </si>
  <si>
    <t>LA GRIFFE S.R.L.</t>
  </si>
  <si>
    <t>08408390964</t>
  </si>
  <si>
    <t>IT08408390964</t>
  </si>
  <si>
    <t>152010</t>
  </si>
  <si>
    <t>Milano</t>
  </si>
  <si>
    <t>Lombardia</t>
  </si>
  <si>
    <t>n.d.</t>
  </si>
  <si>
    <t>290.</t>
  </si>
  <si>
    <t>DI.CONF. S.R.L.</t>
  </si>
  <si>
    <t>06788290630</t>
  </si>
  <si>
    <t>IT06788290630</t>
  </si>
  <si>
    <t>141310</t>
  </si>
  <si>
    <t>Napoli</t>
  </si>
  <si>
    <t>Campania</t>
  </si>
  <si>
    <t>291.</t>
  </si>
  <si>
    <t>MANIFATTURA PAOLONI SRL</t>
  </si>
  <si>
    <t>00821720430</t>
  </si>
  <si>
    <t>IT00821720430</t>
  </si>
  <si>
    <t>Macerata</t>
  </si>
  <si>
    <t>Marche</t>
  </si>
  <si>
    <t>292.</t>
  </si>
  <si>
    <t>SIVA - INDUSTRIA PELLI S.R.L.</t>
  </si>
  <si>
    <t>01362490037</t>
  </si>
  <si>
    <t>IT01362490037</t>
  </si>
  <si>
    <t>151100</t>
  </si>
  <si>
    <t>Novara</t>
  </si>
  <si>
    <t>Piemonte</t>
  </si>
  <si>
    <t>293.</t>
  </si>
  <si>
    <t>SILVER 1 S.R.L.</t>
  </si>
  <si>
    <t>02525730392</t>
  </si>
  <si>
    <t>IT02525730392</t>
  </si>
  <si>
    <t>Ravenna</t>
  </si>
  <si>
    <t>Emilia-Romagna</t>
  </si>
  <si>
    <t>294.</t>
  </si>
  <si>
    <t>SPACE 2000 S.P.A.</t>
  </si>
  <si>
    <t>05414420017</t>
  </si>
  <si>
    <t>IT05414420017</t>
  </si>
  <si>
    <t>141000</t>
  </si>
  <si>
    <t>Torino</t>
  </si>
  <si>
    <t>295.</t>
  </si>
  <si>
    <t>STILEMA S.R.L.</t>
  </si>
  <si>
    <t>04421140015</t>
  </si>
  <si>
    <t>IT04421140015</t>
  </si>
  <si>
    <t>151209</t>
  </si>
  <si>
    <t>296.</t>
  </si>
  <si>
    <t>LASK S.R.L.</t>
  </si>
  <si>
    <t>09239870968</t>
  </si>
  <si>
    <t>IT09239870968</t>
  </si>
  <si>
    <t>141910</t>
  </si>
  <si>
    <t>297.</t>
  </si>
  <si>
    <t>CALZATURIFICIO CASADEI SOCIETA' PER AZIONI O IN FORMA ABBREVIAT A CALZATURIFICIO CASADEI S.P.A.</t>
  </si>
  <si>
    <t>00918440405</t>
  </si>
  <si>
    <t>IT00918440405</t>
  </si>
  <si>
    <t>Forlì-Cesena</t>
  </si>
  <si>
    <t>298.</t>
  </si>
  <si>
    <t>ATTILIO GIUSTI LEOMBRUNI S.P.A.</t>
  </si>
  <si>
    <t>01125410447</t>
  </si>
  <si>
    <t>IT01125410447</t>
  </si>
  <si>
    <t>Fermo</t>
  </si>
  <si>
    <t>299.</t>
  </si>
  <si>
    <t>RINALDI CONCERIA S.R.L. (SOCIETA' CON UNICO SOCIO)</t>
  </si>
  <si>
    <t>05853000486</t>
  </si>
  <si>
    <t>IT05853000486</t>
  </si>
  <si>
    <t>300.</t>
  </si>
  <si>
    <t>MANDARINA DUCK S.P.A.</t>
  </si>
  <si>
    <t>00820861201</t>
  </si>
  <si>
    <t>00153020029</t>
  </si>
  <si>
    <t>IT00153020029</t>
  </si>
  <si>
    <t>301.</t>
  </si>
  <si>
    <t>AFCF S.R.L.</t>
  </si>
  <si>
    <t>01531760989</t>
  </si>
  <si>
    <t>08068160152</t>
  </si>
  <si>
    <t>IT08068160152</t>
  </si>
  <si>
    <t>143100</t>
  </si>
  <si>
    <t>Brescia</t>
  </si>
  <si>
    <t>302.</t>
  </si>
  <si>
    <t>FORALL CONFEZIONI S.P.A.</t>
  </si>
  <si>
    <t>00170740245</t>
  </si>
  <si>
    <t>IT00170740245</t>
  </si>
  <si>
    <t>Vicenza</t>
  </si>
  <si>
    <t>Veneto</t>
  </si>
  <si>
    <t>303.</t>
  </si>
  <si>
    <t>CALZATURIFICIO DUCA DEL NORD S.R.L.</t>
  </si>
  <si>
    <t>01119660445</t>
  </si>
  <si>
    <t>IT01119660445</t>
  </si>
  <si>
    <t>304.</t>
  </si>
  <si>
    <t>GOLDEN SEASON S.R.L.</t>
  </si>
  <si>
    <t>03233670987</t>
  </si>
  <si>
    <t>IT03233670987</t>
  </si>
  <si>
    <t>305.</t>
  </si>
  <si>
    <t>OLMAR AND MIRTA S.P.A.</t>
  </si>
  <si>
    <t>01817070202</t>
  </si>
  <si>
    <t>IT01817070202</t>
  </si>
  <si>
    <t>Mantova</t>
  </si>
  <si>
    <t>306.</t>
  </si>
  <si>
    <t>LA.I.PE. - LAVORAZIONE ITALIANA PELLETTERIE - S.P.A.</t>
  </si>
  <si>
    <t>00334670437</t>
  </si>
  <si>
    <t>IT00334670437</t>
  </si>
  <si>
    <t>307.</t>
  </si>
  <si>
    <t>COLONNELLI 2 PUNTOZERO S.R.L.</t>
  </si>
  <si>
    <t>02113150672</t>
  </si>
  <si>
    <t>IT02113150672</t>
  </si>
  <si>
    <t>Roma</t>
  </si>
  <si>
    <t>Lazio</t>
  </si>
  <si>
    <t>308.</t>
  </si>
  <si>
    <t>MAGICORAL S.R.L.</t>
  </si>
  <si>
    <t>02615740285</t>
  </si>
  <si>
    <t>00356410290</t>
  </si>
  <si>
    <t>IT00356410290</t>
  </si>
  <si>
    <t>141100</t>
  </si>
  <si>
    <t>Padova</t>
  </si>
  <si>
    <t>309.</t>
  </si>
  <si>
    <t>GRUPPO VECCHIA TOSCANA S.P.A.</t>
  </si>
  <si>
    <t>03070480482</t>
  </si>
  <si>
    <t>00490830460</t>
  </si>
  <si>
    <t>IT00490830460</t>
  </si>
  <si>
    <t>310.</t>
  </si>
  <si>
    <t>INTIMA MODA S.R.L.</t>
  </si>
  <si>
    <t>01585570367</t>
  </si>
  <si>
    <t>IT01585570367</t>
  </si>
  <si>
    <t>141400</t>
  </si>
  <si>
    <t>Modena</t>
  </si>
  <si>
    <t>311.</t>
  </si>
  <si>
    <t>IN.PRO.DI - INGHIRAMI PRODUZIONE DISTRIBUZIONE S.P.A.</t>
  </si>
  <si>
    <t>04972520961</t>
  </si>
  <si>
    <t>IT04972520961</t>
  </si>
  <si>
    <t>312.</t>
  </si>
  <si>
    <t>PRESTIGE ITALIA S.P.A.</t>
  </si>
  <si>
    <t>03418460246</t>
  </si>
  <si>
    <t>IT03418460246</t>
  </si>
  <si>
    <t>313.</t>
  </si>
  <si>
    <t>CIAO S.R.L.</t>
  </si>
  <si>
    <t>02396780138</t>
  </si>
  <si>
    <t>IT02396780138</t>
  </si>
  <si>
    <t>141929</t>
  </si>
  <si>
    <t>314.</t>
  </si>
  <si>
    <t>MOOD S.R.L.</t>
  </si>
  <si>
    <t>12464040968</t>
  </si>
  <si>
    <t>IT12464040968</t>
  </si>
  <si>
    <t>315.</t>
  </si>
  <si>
    <t>CALZATURIFICIO ARKTE S.R.L.</t>
  </si>
  <si>
    <t>06917490150</t>
  </si>
  <si>
    <t>IT06917490150</t>
  </si>
  <si>
    <t>316.</t>
  </si>
  <si>
    <t>CONCERIA NUOVA IMPALA - S.R.L.</t>
  </si>
  <si>
    <t>01042520500</t>
  </si>
  <si>
    <t>IT01042520500</t>
  </si>
  <si>
    <t>Pisa</t>
  </si>
  <si>
    <t>317.</t>
  </si>
  <si>
    <t>PERIN SRL</t>
  </si>
  <si>
    <t>01882520248</t>
  </si>
  <si>
    <t>IT01882520248</t>
  </si>
  <si>
    <t>318.</t>
  </si>
  <si>
    <t>M.G.M. S.P.A.</t>
  </si>
  <si>
    <t>03084300171</t>
  </si>
  <si>
    <t>02941240174</t>
  </si>
  <si>
    <t>IT02941240174</t>
  </si>
  <si>
    <t>Treviso</t>
  </si>
  <si>
    <t>319.</t>
  </si>
  <si>
    <t>ASOLO S.R.L.</t>
  </si>
  <si>
    <t>03385130269</t>
  </si>
  <si>
    <t>IT03385130269</t>
  </si>
  <si>
    <t>152000</t>
  </si>
  <si>
    <t>320.</t>
  </si>
  <si>
    <t>RUTA FASHION GROUP S.R.L. (IN SIGLA RFG S.R.L.)</t>
  </si>
  <si>
    <t>06075910726</t>
  </si>
  <si>
    <t>IT06075910726</t>
  </si>
  <si>
    <t>141310</t>
  </si>
  <si>
    <t>Bari</t>
  </si>
  <si>
    <t>Puglia</t>
  </si>
  <si>
    <t>321.</t>
  </si>
  <si>
    <t>DE ROBERT CALZATURE S.R.L.</t>
  </si>
  <si>
    <t>02002930283</t>
  </si>
  <si>
    <t>IT02002930283</t>
  </si>
  <si>
    <t>152010</t>
  </si>
  <si>
    <t>Padova</t>
  </si>
  <si>
    <t>Veneto</t>
  </si>
  <si>
    <t>322.</t>
  </si>
  <si>
    <t>CAMPOMAGGI &amp; CATERINA LUCCHI S.P.A.</t>
  </si>
  <si>
    <t>03487580403</t>
  </si>
  <si>
    <t>IT03487580403</t>
  </si>
  <si>
    <t>151209</t>
  </si>
  <si>
    <t>Forlì-Cesena</t>
  </si>
  <si>
    <t>Emilia-Romagna</t>
  </si>
  <si>
    <t>323.</t>
  </si>
  <si>
    <t>GIEMME BRANDSCORPORATE S.R.L.</t>
  </si>
  <si>
    <t>00702060989</t>
  </si>
  <si>
    <t>02891650174</t>
  </si>
  <si>
    <t>IT02891650174</t>
  </si>
  <si>
    <t>141000</t>
  </si>
  <si>
    <t>Milano</t>
  </si>
  <si>
    <t>Lombardia</t>
  </si>
  <si>
    <t>324.</t>
  </si>
  <si>
    <t>CHIARA BONI S.P.A.</t>
  </si>
  <si>
    <t>12486270155</t>
  </si>
  <si>
    <t>IT12486270155</t>
  </si>
  <si>
    <t>325.</t>
  </si>
  <si>
    <t>CALZATURIFICIO FRAU S.P.A.</t>
  </si>
  <si>
    <t>00799810239</t>
  </si>
  <si>
    <t>IT00799810239</t>
  </si>
  <si>
    <t>Verona</t>
  </si>
  <si>
    <t>326.</t>
  </si>
  <si>
    <t>XACUS S.R.L.</t>
  </si>
  <si>
    <t>00297930240</t>
  </si>
  <si>
    <t>IT00297930240</t>
  </si>
  <si>
    <t>141400</t>
  </si>
  <si>
    <t>Vicenza</t>
  </si>
  <si>
    <t>327.</t>
  </si>
  <si>
    <t>GAERNE S.P.A.</t>
  </si>
  <si>
    <t>01833670266</t>
  </si>
  <si>
    <t>IT01833670266</t>
  </si>
  <si>
    <t>Treviso</t>
  </si>
  <si>
    <t>328.</t>
  </si>
  <si>
    <t>7 TO 7 S.R.L.</t>
  </si>
  <si>
    <t>03231000138</t>
  </si>
  <si>
    <t>IT03231000138</t>
  </si>
  <si>
    <t>Lecco</t>
  </si>
  <si>
    <t>329.</t>
  </si>
  <si>
    <t>TREND S.R.L.</t>
  </si>
  <si>
    <t>05379610487</t>
  </si>
  <si>
    <t>IT05379610487</t>
  </si>
  <si>
    <t>Firenze</t>
  </si>
  <si>
    <t>Toscana</t>
  </si>
  <si>
    <t>330.</t>
  </si>
  <si>
    <t>MEDUSA S.R.L.</t>
  </si>
  <si>
    <t>00964270292</t>
  </si>
  <si>
    <t>IT00964270292</t>
  </si>
  <si>
    <t>Rovigo</t>
  </si>
  <si>
    <t>331.</t>
  </si>
  <si>
    <t>CONCERIA GI. ELLE. EMME. S.P.A.</t>
  </si>
  <si>
    <t>00321050502</t>
  </si>
  <si>
    <t>IT00321050502</t>
  </si>
  <si>
    <t>151100</t>
  </si>
  <si>
    <t>Pisa</t>
  </si>
  <si>
    <t>332.</t>
  </si>
  <si>
    <t>SCIARADA INDUSTRIA CONCIARIA S.P.A.</t>
  </si>
  <si>
    <t>01047170509</t>
  </si>
  <si>
    <t>IT01047170509</t>
  </si>
  <si>
    <t>333.</t>
  </si>
  <si>
    <t>PELLETTERIE GIANCARLO S.R.L.</t>
  </si>
  <si>
    <t>01513630481</t>
  </si>
  <si>
    <t>IT01513630481</t>
  </si>
  <si>
    <t>334.</t>
  </si>
  <si>
    <t>STONEFLY SPA</t>
  </si>
  <si>
    <t>03282540263</t>
  </si>
  <si>
    <t>IT03282540263</t>
  </si>
  <si>
    <t>335.</t>
  </si>
  <si>
    <t>LINEA C GROUP S.R.L.</t>
  </si>
  <si>
    <t>03456370174</t>
  </si>
  <si>
    <t>01669260984</t>
  </si>
  <si>
    <t>IT01669260984</t>
  </si>
  <si>
    <t>Brescia</t>
  </si>
  <si>
    <t>336.</t>
  </si>
  <si>
    <t>VESTA CORPORATION S.P.A.</t>
  </si>
  <si>
    <t>01915730509</t>
  </si>
  <si>
    <t>IT01915730509</t>
  </si>
  <si>
    <t>337.</t>
  </si>
  <si>
    <t>CARAVELLE S.R.L.</t>
  </si>
  <si>
    <t>00166700278</t>
  </si>
  <si>
    <t>IT00166700278</t>
  </si>
  <si>
    <t>338.</t>
  </si>
  <si>
    <t>FORMIFICIO ROMAGNOLO - S.P.A.</t>
  </si>
  <si>
    <t>00139210405</t>
  </si>
  <si>
    <t>IT00139210405</t>
  </si>
  <si>
    <t>152020</t>
  </si>
  <si>
    <t>339.</t>
  </si>
  <si>
    <t>MF 1 SRL SOCIETA' BENEFIT</t>
  </si>
  <si>
    <t>03525480236</t>
  </si>
  <si>
    <t>IT03525480236</t>
  </si>
  <si>
    <t>143900</t>
  </si>
  <si>
    <t>340.</t>
  </si>
  <si>
    <t>LUIGI FEDELI E FIGLIO S.R.L.</t>
  </si>
  <si>
    <t>00699530960</t>
  </si>
  <si>
    <t>00897370151</t>
  </si>
  <si>
    <t>IT00897370151</t>
  </si>
  <si>
    <t>Monza e della Brianza</t>
  </si>
  <si>
    <t>341.</t>
  </si>
  <si>
    <t>FRATELLI GIACOMETTI SRL</t>
  </si>
  <si>
    <t>01518980246</t>
  </si>
  <si>
    <t>IT01518980246</t>
  </si>
  <si>
    <t>342.</t>
  </si>
  <si>
    <t>CONDOR TRADE S.R.L.</t>
  </si>
  <si>
    <t>01540490982</t>
  </si>
  <si>
    <t>IT01540490982</t>
  </si>
  <si>
    <t>343.</t>
  </si>
  <si>
    <t>CALZATURIFICIO SAN GIORGIO S.R.L.</t>
  </si>
  <si>
    <t>00162930507</t>
  </si>
  <si>
    <t>IT00162930507</t>
  </si>
  <si>
    <t>152000</t>
  </si>
  <si>
    <t>344.</t>
  </si>
  <si>
    <t>IL GUFO S.P.A.</t>
  </si>
  <si>
    <t>03450970268</t>
  </si>
  <si>
    <t>IT03450970268</t>
  </si>
  <si>
    <t>345.</t>
  </si>
  <si>
    <t>LAMONTI CUOIO S.P.A. SOCIETA' BENEFIT</t>
  </si>
  <si>
    <t>01294790504</t>
  </si>
  <si>
    <t>IT01294790504</t>
  </si>
  <si>
    <t>346.</t>
  </si>
  <si>
    <t>GIORGIO S.R.L.</t>
  </si>
  <si>
    <t>06051080726</t>
  </si>
  <si>
    <t>IT06051080726</t>
  </si>
  <si>
    <t>141929</t>
  </si>
  <si>
    <t>Barletta-Andria-Trani</t>
  </si>
  <si>
    <t>347.</t>
  </si>
  <si>
    <t>CHERVO' S.P.A.</t>
  </si>
  <si>
    <t>00866130214</t>
  </si>
  <si>
    <t>IT00866130214</t>
  </si>
  <si>
    <t>Bolzano/Bozen</t>
  </si>
  <si>
    <t>Trentino-Alto Adige/Südtirol</t>
  </si>
  <si>
    <t>348.</t>
  </si>
  <si>
    <t>CALZATURIFICIO 5 BI S.R.L.</t>
  </si>
  <si>
    <t>04056210729</t>
  </si>
  <si>
    <t>IT04056210729</t>
  </si>
  <si>
    <t>349.</t>
  </si>
  <si>
    <t>MARIO LEVI ITALIA S.R.L</t>
  </si>
  <si>
    <t>03099810248</t>
  </si>
  <si>
    <t>IT03099810248</t>
  </si>
  <si>
    <t>350.</t>
  </si>
  <si>
    <t>NEW MARBAS S.P.A.</t>
  </si>
  <si>
    <t>01378560161</t>
  </si>
  <si>
    <t>IT01378560161</t>
  </si>
  <si>
    <t>Bergamo</t>
  </si>
  <si>
    <t>351.</t>
  </si>
  <si>
    <t>PAUL - S.P.A.</t>
  </si>
  <si>
    <t>00896360427</t>
  </si>
  <si>
    <t>IT00896360427</t>
  </si>
  <si>
    <t>Ancona</t>
  </si>
  <si>
    <t>Marche</t>
  </si>
  <si>
    <t>352.</t>
  </si>
  <si>
    <t>TAM &amp; COMPANY S.P.A.</t>
  </si>
  <si>
    <t>01839530241</t>
  </si>
  <si>
    <t>IT01839530241</t>
  </si>
  <si>
    <t>143900</t>
  </si>
  <si>
    <t>Vicenza</t>
  </si>
  <si>
    <t>Veneto</t>
  </si>
  <si>
    <t>353.</t>
  </si>
  <si>
    <t>ELLEPI S.R.L.</t>
  </si>
  <si>
    <t>04411920269</t>
  </si>
  <si>
    <t>IT04411920269</t>
  </si>
  <si>
    <t>141400</t>
  </si>
  <si>
    <t>Treviso</t>
  </si>
  <si>
    <t>354.</t>
  </si>
  <si>
    <t>CONCERIA FERRARI S.R.L.</t>
  </si>
  <si>
    <t>01588520245</t>
  </si>
  <si>
    <t>IT01588520245</t>
  </si>
  <si>
    <t>151100</t>
  </si>
  <si>
    <t>355.</t>
  </si>
  <si>
    <t>BLUFIN S.P.A.</t>
  </si>
  <si>
    <t>01801930361</t>
  </si>
  <si>
    <t>IT01801930361</t>
  </si>
  <si>
    <t>141000</t>
  </si>
  <si>
    <t>Modena</t>
  </si>
  <si>
    <t>Emilia-Romagna</t>
  </si>
  <si>
    <t>356.</t>
  </si>
  <si>
    <t>CONCERIA SAN BIAGIO S.R.L.</t>
  </si>
  <si>
    <t>00922430244</t>
  </si>
  <si>
    <t>IT00922430244</t>
  </si>
  <si>
    <t>357.</t>
  </si>
  <si>
    <t>GIZETA CALZE S.R.L.</t>
  </si>
  <si>
    <t>00306870205</t>
  </si>
  <si>
    <t>IT00306870205</t>
  </si>
  <si>
    <t>143100</t>
  </si>
  <si>
    <t>Mantova</t>
  </si>
  <si>
    <t>Lombardia</t>
  </si>
  <si>
    <t>358.</t>
  </si>
  <si>
    <t>LORMAR S.R.L.</t>
  </si>
  <si>
    <t>02484000365</t>
  </si>
  <si>
    <t>IT02484000365</t>
  </si>
  <si>
    <t>359.</t>
  </si>
  <si>
    <t>CONCERIA PEGASO S.P.A.</t>
  </si>
  <si>
    <t>01158910503</t>
  </si>
  <si>
    <t>IT01158910503</t>
  </si>
  <si>
    <t>Firenze</t>
  </si>
  <si>
    <t>Toscana</t>
  </si>
  <si>
    <t>360.</t>
  </si>
  <si>
    <t>ATELIER HCI S.R.L.</t>
  </si>
  <si>
    <t>08866610960</t>
  </si>
  <si>
    <t>IT08866610960</t>
  </si>
  <si>
    <t>152010</t>
  </si>
  <si>
    <t>Milano</t>
  </si>
  <si>
    <t>361.</t>
  </si>
  <si>
    <t>FONPELLI - S.P.A.</t>
  </si>
  <si>
    <t>01705980249</t>
  </si>
  <si>
    <t>IT01705980249</t>
  </si>
  <si>
    <t>362.</t>
  </si>
  <si>
    <t>CALZATURIFICIO DEMA S.R.L.</t>
  </si>
  <si>
    <t>02742450618</t>
  </si>
  <si>
    <t>03589221211</t>
  </si>
  <si>
    <t>IT03589221211</t>
  </si>
  <si>
    <t>Caserta</t>
  </si>
  <si>
    <t>Campania</t>
  </si>
  <si>
    <t>363.</t>
  </si>
  <si>
    <t>LES FEMMES S.R.L.</t>
  </si>
  <si>
    <t>01681430441</t>
  </si>
  <si>
    <t>IT01681430441</t>
  </si>
  <si>
    <t>Fermo</t>
  </si>
  <si>
    <t>Marche</t>
  </si>
  <si>
    <t>364.</t>
  </si>
  <si>
    <t>DERMA SOCIETA' A RESPONSABILITA' LIMITATA</t>
  </si>
  <si>
    <t>00207330648</t>
  </si>
  <si>
    <t>IT00207330648</t>
  </si>
  <si>
    <t>Avellino</t>
  </si>
  <si>
    <t>365.</t>
  </si>
  <si>
    <t>CONCERIA ZONTA - S.P.A.</t>
  </si>
  <si>
    <t>00144240249</t>
  </si>
  <si>
    <t>IT00144240249</t>
  </si>
  <si>
    <t>366.</t>
  </si>
  <si>
    <t>OPERA S.R.L.</t>
  </si>
  <si>
    <t>01970310502</t>
  </si>
  <si>
    <t>IT01970310502</t>
  </si>
  <si>
    <t>Pisa</t>
  </si>
  <si>
    <t>367.</t>
  </si>
  <si>
    <t>S.G.L. S.R.L.</t>
  </si>
  <si>
    <t>06599910723</t>
  </si>
  <si>
    <t>IT06599910723</t>
  </si>
  <si>
    <t>141310</t>
  </si>
  <si>
    <t>Barletta-Andria-Trani</t>
  </si>
  <si>
    <t>Puglia</t>
  </si>
  <si>
    <t>368.</t>
  </si>
  <si>
    <t>BBM INTERNATIONAL S.R.L.</t>
  </si>
  <si>
    <t>11945150156</t>
  </si>
  <si>
    <t>IT11945150156</t>
  </si>
  <si>
    <t>369.</t>
  </si>
  <si>
    <t>BORGINI JERSEY S.R.L.</t>
  </si>
  <si>
    <t>07032090966</t>
  </si>
  <si>
    <t>IT07032090966</t>
  </si>
  <si>
    <t>370.</t>
  </si>
  <si>
    <t>LEMIE - S.P.A.</t>
  </si>
  <si>
    <t>00583700166</t>
  </si>
  <si>
    <t>IT00583700166</t>
  </si>
  <si>
    <t>151209</t>
  </si>
  <si>
    <t>Bergamo</t>
  </si>
  <si>
    <t>371.</t>
  </si>
  <si>
    <t>MODA EFFE S.R.L.</t>
  </si>
  <si>
    <t>05499510724</t>
  </si>
  <si>
    <t>IT05499510724</t>
  </si>
  <si>
    <t>372.</t>
  </si>
  <si>
    <t>HAERES EQUITA S.R.L.</t>
  </si>
  <si>
    <t>02471250064</t>
  </si>
  <si>
    <t>IT02471250064</t>
  </si>
  <si>
    <t>141910</t>
  </si>
  <si>
    <t>Alessandria</t>
  </si>
  <si>
    <t>Piemonte</t>
  </si>
  <si>
    <t>373.</t>
  </si>
  <si>
    <t>DA.MI. - S.R.L.</t>
  </si>
  <si>
    <t>00412840449</t>
  </si>
  <si>
    <t>IT00412840449</t>
  </si>
  <si>
    <t>152020</t>
  </si>
  <si>
    <t>374.</t>
  </si>
  <si>
    <t>CALZATURIFICIO PANDA SPORT</t>
  </si>
  <si>
    <t>00263440745</t>
  </si>
  <si>
    <t>IT00263440745</t>
  </si>
  <si>
    <t>152000</t>
  </si>
  <si>
    <t>Brindisi</t>
  </si>
  <si>
    <t>375.</t>
  </si>
  <si>
    <t>INDUTEX S.P.A.</t>
  </si>
  <si>
    <t>12865560150</t>
  </si>
  <si>
    <t>03574480103</t>
  </si>
  <si>
    <t>IT03574480103</t>
  </si>
  <si>
    <t>141200</t>
  </si>
  <si>
    <t>376.</t>
  </si>
  <si>
    <t>CALZATURIFICIO PATRIZIA S.R.L.</t>
  </si>
  <si>
    <t>00679350983</t>
  </si>
  <si>
    <t>02062450172</t>
  </si>
  <si>
    <t>IT02062450172</t>
  </si>
  <si>
    <t>Brescia</t>
  </si>
  <si>
    <t>377.</t>
  </si>
  <si>
    <t>DEPECHE S.R.L.</t>
  </si>
  <si>
    <t>03042600365</t>
  </si>
  <si>
    <t>IT03042600365</t>
  </si>
  <si>
    <t>378.</t>
  </si>
  <si>
    <t>CALZATURIFICIO ZAMBERLAN S.R.L.</t>
  </si>
  <si>
    <t>01274380243</t>
  </si>
  <si>
    <t>IT01274380243</t>
  </si>
  <si>
    <t>379.</t>
  </si>
  <si>
    <t>CAVALLERIA TOSCANA S.P.A.</t>
  </si>
  <si>
    <t>06456680484</t>
  </si>
  <si>
    <t>IT06456680484</t>
  </si>
  <si>
    <t>n.d.</t>
  </si>
  <si>
    <t>380.</t>
  </si>
  <si>
    <t>CALZATURIFICIO CALLEGARI S.R.L.</t>
  </si>
  <si>
    <t>00762630291</t>
  </si>
  <si>
    <t>IT00762630291</t>
  </si>
  <si>
    <t>Rovigo</t>
  </si>
  <si>
    <t>381.</t>
  </si>
  <si>
    <t>CONCERIA LA VENETA S.P.A.</t>
  </si>
  <si>
    <t>02721270243</t>
  </si>
  <si>
    <t>IT02721270243</t>
  </si>
  <si>
    <t>382.</t>
  </si>
  <si>
    <t>EMME 1972 SPA</t>
  </si>
  <si>
    <t>10147330962</t>
  </si>
  <si>
    <t>IT10147330962</t>
  </si>
  <si>
    <t>383.</t>
  </si>
  <si>
    <t>CURTIBA INDUSTRIA CONCIARIA SPA</t>
  </si>
  <si>
    <t>01419160500</t>
  </si>
  <si>
    <t>IT01419160500</t>
  </si>
  <si>
    <t>384.</t>
  </si>
  <si>
    <t>CARASCO S.P.A.</t>
  </si>
  <si>
    <t>01361760505</t>
  </si>
  <si>
    <t>IT01361760505</t>
  </si>
  <si>
    <t>151100</t>
  </si>
  <si>
    <t>Pisa</t>
  </si>
  <si>
    <t>Toscana</t>
  </si>
  <si>
    <t>385.</t>
  </si>
  <si>
    <t>MAGLIFICIO F.M.F. S.P.A.</t>
  </si>
  <si>
    <t>00297360976</t>
  </si>
  <si>
    <t>03333260481</t>
  </si>
  <si>
    <t>IT03333260481</t>
  </si>
  <si>
    <t>143000</t>
  </si>
  <si>
    <t>Prato</t>
  </si>
  <si>
    <t>386.</t>
  </si>
  <si>
    <t>ESAPEL - S.P.A.</t>
  </si>
  <si>
    <t>01235840244</t>
  </si>
  <si>
    <t>IT01235840244</t>
  </si>
  <si>
    <t>Vicenza</t>
  </si>
  <si>
    <t>Veneto</t>
  </si>
  <si>
    <t>387.</t>
  </si>
  <si>
    <t>MOSAICON SHOES S.R.L.</t>
  </si>
  <si>
    <t>03177461203</t>
  </si>
  <si>
    <t>IT03177461203</t>
  </si>
  <si>
    <t>152010</t>
  </si>
  <si>
    <t>Pavia</t>
  </si>
  <si>
    <t>Lombardia</t>
  </si>
  <si>
    <t>388.</t>
  </si>
  <si>
    <t>PRIMAL SOCIETA' A RESPONSABILITA' LIMITATA IN SINTESI PRIMAL S.R. L.</t>
  </si>
  <si>
    <t>05965090722</t>
  </si>
  <si>
    <t>IT05965090722</t>
  </si>
  <si>
    <t>141400</t>
  </si>
  <si>
    <t>Barletta-Andria-Trani</t>
  </si>
  <si>
    <t>Puglia</t>
  </si>
  <si>
    <t>389.</t>
  </si>
  <si>
    <t>DOUCAL'S S.R.L.</t>
  </si>
  <si>
    <t>01025590447</t>
  </si>
  <si>
    <t>IT01025590447</t>
  </si>
  <si>
    <t>Fermo</t>
  </si>
  <si>
    <t>Marche</t>
  </si>
  <si>
    <t>390.</t>
  </si>
  <si>
    <t>GGDB / SIRIO S.R.L.</t>
  </si>
  <si>
    <t>04095090611</t>
  </si>
  <si>
    <t>IT04095090611</t>
  </si>
  <si>
    <t>Napoli</t>
  </si>
  <si>
    <t>Campania</t>
  </si>
  <si>
    <t>391.</t>
  </si>
  <si>
    <t>MICA S.R.L.</t>
  </si>
  <si>
    <t>03481770265</t>
  </si>
  <si>
    <t>IT03481770265</t>
  </si>
  <si>
    <t>143900</t>
  </si>
  <si>
    <t>Treviso</t>
  </si>
  <si>
    <t>392.</t>
  </si>
  <si>
    <t>IDEE PARTNERS S.R.L.</t>
  </si>
  <si>
    <t>06165440964</t>
  </si>
  <si>
    <t>IT06165440964</t>
  </si>
  <si>
    <t>141910</t>
  </si>
  <si>
    <t>Firenze</t>
  </si>
  <si>
    <t>393.</t>
  </si>
  <si>
    <t>ZEIS EXCELSA S.P.A.</t>
  </si>
  <si>
    <t>00101700441</t>
  </si>
  <si>
    <t>IT00101700441</t>
  </si>
  <si>
    <t>394.</t>
  </si>
  <si>
    <t>LOVERS S.R.L.</t>
  </si>
  <si>
    <t>00235470135</t>
  </si>
  <si>
    <t>IT00235470135</t>
  </si>
  <si>
    <t>141000</t>
  </si>
  <si>
    <t>Lecco</t>
  </si>
  <si>
    <t>395.</t>
  </si>
  <si>
    <t>LA GRIFFE - S.R.L.</t>
  </si>
  <si>
    <t>01138420441</t>
  </si>
  <si>
    <t>IT01138420441</t>
  </si>
  <si>
    <t>Ascoli Piceno</t>
  </si>
  <si>
    <t>396.</t>
  </si>
  <si>
    <t>MANIFATTURE DI FILOTTRANO SRL</t>
  </si>
  <si>
    <t>01420370437</t>
  </si>
  <si>
    <t>IT01420370437</t>
  </si>
  <si>
    <t>141310</t>
  </si>
  <si>
    <t>Macerata</t>
  </si>
  <si>
    <t>397.</t>
  </si>
  <si>
    <t>FABERT S.R.L.</t>
  </si>
  <si>
    <t>07186390964</t>
  </si>
  <si>
    <t>IT07186390964</t>
  </si>
  <si>
    <t>Milano</t>
  </si>
  <si>
    <t>398.</t>
  </si>
  <si>
    <t>ISACCO S.R.L.</t>
  </si>
  <si>
    <t>04103220960</t>
  </si>
  <si>
    <t>IT04103220960</t>
  </si>
  <si>
    <t>141200</t>
  </si>
  <si>
    <t>Bergamo</t>
  </si>
  <si>
    <t>399.</t>
  </si>
  <si>
    <t>NEWAGE S.P.A.</t>
  </si>
  <si>
    <t>05063080724</t>
  </si>
  <si>
    <t>IT05063080724</t>
  </si>
  <si>
    <t>Bari</t>
  </si>
  <si>
    <t>400.</t>
  </si>
  <si>
    <t>CONFEZIONI SILUSI S.R.L.</t>
  </si>
  <si>
    <t>01573320163</t>
  </si>
  <si>
    <t>IT01573320163</t>
  </si>
  <si>
    <t>401.</t>
  </si>
  <si>
    <t>AREA B S.R.L.</t>
  </si>
  <si>
    <t>04638150286</t>
  </si>
  <si>
    <t>IT04638150286</t>
  </si>
  <si>
    <t>Padova</t>
  </si>
  <si>
    <t>402.</t>
  </si>
  <si>
    <t>CONCERIA TOLIO S.P.A.</t>
  </si>
  <si>
    <t>00164110249</t>
  </si>
  <si>
    <t>IT00164110249</t>
  </si>
  <si>
    <t>403.</t>
  </si>
  <si>
    <t>NUOVA OSBA S.R.L.</t>
  </si>
  <si>
    <t>04280220247</t>
  </si>
  <si>
    <t>IT04280220247</t>
  </si>
  <si>
    <t>n.d.</t>
  </si>
  <si>
    <t>404.</t>
  </si>
  <si>
    <t>VIGNOLA NOBILE S.P.A.</t>
  </si>
  <si>
    <t>02362030641</t>
  </si>
  <si>
    <t>IT02362030641</t>
  </si>
  <si>
    <t>Avellino</t>
  </si>
  <si>
    <t>405.</t>
  </si>
  <si>
    <t>STIVALI S.R.L.</t>
  </si>
  <si>
    <t>03223410279</t>
  </si>
  <si>
    <t>IT03223410279</t>
  </si>
  <si>
    <t>Venezia</t>
  </si>
  <si>
    <t>406.</t>
  </si>
  <si>
    <t>LUCA MAGLIERIE S.P.A.</t>
  </si>
  <si>
    <t>02180000362</t>
  </si>
  <si>
    <t>IT02180000362</t>
  </si>
  <si>
    <t>Modena</t>
  </si>
  <si>
    <t>Emilia-Romagna</t>
  </si>
  <si>
    <t>407.</t>
  </si>
  <si>
    <t>VICTORIA - S.R.L.</t>
  </si>
  <si>
    <t>01084560505</t>
  </si>
  <si>
    <t>IT01084560505</t>
  </si>
  <si>
    <t>408.</t>
  </si>
  <si>
    <t>REGINA SRL</t>
  </si>
  <si>
    <t>03489220263</t>
  </si>
  <si>
    <t>IT03489220263</t>
  </si>
  <si>
    <t>409.</t>
  </si>
  <si>
    <t>CLEO BOTTIER F.LLI MONDELLINI SRL</t>
  </si>
  <si>
    <t>00380580159</t>
  </si>
  <si>
    <t>IT00380580159</t>
  </si>
  <si>
    <t>410.</t>
  </si>
  <si>
    <t>MADEX S.R.L.</t>
  </si>
  <si>
    <t>05005680284</t>
  </si>
  <si>
    <t>IT05005680284</t>
  </si>
  <si>
    <t>411.</t>
  </si>
  <si>
    <t>THE CUT PRODUCTION SRL</t>
  </si>
  <si>
    <t>00918790528</t>
  </si>
  <si>
    <t>IT00918790528</t>
  </si>
  <si>
    <t>Siena</t>
  </si>
  <si>
    <t>412.</t>
  </si>
  <si>
    <t>PANTHER SRL</t>
  </si>
  <si>
    <t>04340280280</t>
  </si>
  <si>
    <t>IT04340280280</t>
  </si>
  <si>
    <t>413.</t>
  </si>
  <si>
    <t>ALBA &amp; N.S.R.L.</t>
  </si>
  <si>
    <t>06471190725</t>
  </si>
  <si>
    <t>IT06471190725</t>
  </si>
  <si>
    <t>414.</t>
  </si>
  <si>
    <t>M &amp; G SRL</t>
  </si>
  <si>
    <t>00692420268</t>
  </si>
  <si>
    <t>IT00692420268</t>
  </si>
  <si>
    <t>415.</t>
  </si>
  <si>
    <t>CALZATURIFICIO FRATELLI SOLDINI - S.P.A.</t>
  </si>
  <si>
    <t>00100020510</t>
  </si>
  <si>
    <t>IT00100020510</t>
  </si>
  <si>
    <t>Arezzo</t>
  </si>
  <si>
    <t>416.</t>
  </si>
  <si>
    <t>IGAM S.P.A.</t>
  </si>
  <si>
    <t>07225770721</t>
  </si>
  <si>
    <t>IT07225770721</t>
  </si>
  <si>
    <t>141400</t>
  </si>
  <si>
    <t>Barletta-Andria-Trani</t>
  </si>
  <si>
    <t>Puglia</t>
  </si>
  <si>
    <t>417.</t>
  </si>
  <si>
    <t>CALZATURIFICIO MARITAN S.P.A.</t>
  </si>
  <si>
    <t>02443890237</t>
  </si>
  <si>
    <t>IT02443890237</t>
  </si>
  <si>
    <t>152000</t>
  </si>
  <si>
    <t>Verona</t>
  </si>
  <si>
    <t>Veneto</t>
  </si>
  <si>
    <t>418.</t>
  </si>
  <si>
    <t>B.S.Z. S.R.L.</t>
  </si>
  <si>
    <t>00285570248</t>
  </si>
  <si>
    <t>IT00285570248</t>
  </si>
  <si>
    <t>151100</t>
  </si>
  <si>
    <t>Vicenza</t>
  </si>
  <si>
    <t>419.</t>
  </si>
  <si>
    <t>PANTYTEX S.P.A.</t>
  </si>
  <si>
    <t>07208520150</t>
  </si>
  <si>
    <t>IT07208520150</t>
  </si>
  <si>
    <t>143100</t>
  </si>
  <si>
    <t>Milano</t>
  </si>
  <si>
    <t>Lombardia</t>
  </si>
  <si>
    <t>420.</t>
  </si>
  <si>
    <t>CONCERIA FOIENI S.R.L.</t>
  </si>
  <si>
    <t>07997520155</t>
  </si>
  <si>
    <t>IT07997520155</t>
  </si>
  <si>
    <t>421.</t>
  </si>
  <si>
    <t>CORIUM LINE SRL</t>
  </si>
  <si>
    <t>02749870164</t>
  </si>
  <si>
    <t>IT02749870164</t>
  </si>
  <si>
    <t>151209</t>
  </si>
  <si>
    <t>Padova</t>
  </si>
  <si>
    <t>422.</t>
  </si>
  <si>
    <t>SINERGY GROUP S.R.L.</t>
  </si>
  <si>
    <t>01292760228</t>
  </si>
  <si>
    <t>IT01292760228</t>
  </si>
  <si>
    <t>141200</t>
  </si>
  <si>
    <t>Trento</t>
  </si>
  <si>
    <t>Trentino-Alto Adige/Südtirol</t>
  </si>
  <si>
    <t>423.</t>
  </si>
  <si>
    <t>SANLORENZO S.P.A.</t>
  </si>
  <si>
    <t>01510810508</t>
  </si>
  <si>
    <t>IT01510810508</t>
  </si>
  <si>
    <t>Pisa</t>
  </si>
  <si>
    <t>Toscana</t>
  </si>
  <si>
    <t>424.</t>
  </si>
  <si>
    <t>GIADA S.P.A.</t>
  </si>
  <si>
    <t>00822110292</t>
  </si>
  <si>
    <t>01313840249</t>
  </si>
  <si>
    <t>IT01313840249</t>
  </si>
  <si>
    <t>141000</t>
  </si>
  <si>
    <t>Rovigo</t>
  </si>
  <si>
    <t>425.</t>
  </si>
  <si>
    <t>R.B.S. S.R.L.</t>
  </si>
  <si>
    <t>00978190296</t>
  </si>
  <si>
    <t>IT00978190296</t>
  </si>
  <si>
    <t>141310</t>
  </si>
  <si>
    <t>426.</t>
  </si>
  <si>
    <t>MEETING GROUP S.P.A.</t>
  </si>
  <si>
    <t>02006610261</t>
  </si>
  <si>
    <t>IT02006610261</t>
  </si>
  <si>
    <t>141929</t>
  </si>
  <si>
    <t>Treviso</t>
  </si>
  <si>
    <t>427.</t>
  </si>
  <si>
    <t>ONLY FRANK S.R.L. - SOCIETA' A RESPONSABILITA' LIMITATA</t>
  </si>
  <si>
    <t>02203990649</t>
  </si>
  <si>
    <t>01158620623</t>
  </si>
  <si>
    <t>IT01158620623</t>
  </si>
  <si>
    <t>Salerno</t>
  </si>
  <si>
    <t>Campania</t>
  </si>
  <si>
    <t>428.</t>
  </si>
  <si>
    <t>DALLA BENETTA LUIGI S.R.L.</t>
  </si>
  <si>
    <t>01908730243</t>
  </si>
  <si>
    <t>IT01908730243</t>
  </si>
  <si>
    <t>429.</t>
  </si>
  <si>
    <t>SPIDI SPORT S.R.L.</t>
  </si>
  <si>
    <t>00871480240</t>
  </si>
  <si>
    <t>IT00871480240</t>
  </si>
  <si>
    <t>141910</t>
  </si>
  <si>
    <t>430.</t>
  </si>
  <si>
    <t>MATIA SRL</t>
  </si>
  <si>
    <t>00021880034</t>
  </si>
  <si>
    <t>IT00021880034</t>
  </si>
  <si>
    <t>143900</t>
  </si>
  <si>
    <t>Verbano-Cusio-Ossola</t>
  </si>
  <si>
    <t>Piemonte</t>
  </si>
  <si>
    <t>431.</t>
  </si>
  <si>
    <t>S.I.R.I.O. LAVORAZIONE CONCIARIA S.R.L.</t>
  </si>
  <si>
    <t>03028980484</t>
  </si>
  <si>
    <t>IT03028980484</t>
  </si>
  <si>
    <t>Firenze</t>
  </si>
  <si>
    <t>432.</t>
  </si>
  <si>
    <t>SANTONI S.R.L.</t>
  </si>
  <si>
    <t>01070290448</t>
  </si>
  <si>
    <t>IT01070290448</t>
  </si>
  <si>
    <t>Fermo</t>
  </si>
  <si>
    <t>Marche</t>
  </si>
  <si>
    <t>433.</t>
  </si>
  <si>
    <t>FORINT S.P.A.</t>
  </si>
  <si>
    <t>00167200245</t>
  </si>
  <si>
    <t>IT00167200245</t>
  </si>
  <si>
    <t>434.</t>
  </si>
  <si>
    <t>VOXI GROUP S.R.L.</t>
  </si>
  <si>
    <t>02194280976</t>
  </si>
  <si>
    <t>IT02194280976</t>
  </si>
  <si>
    <t>435.</t>
  </si>
  <si>
    <t>JERA S.R.L.</t>
  </si>
  <si>
    <t>03407490246</t>
  </si>
  <si>
    <t>IT03407490246</t>
  </si>
  <si>
    <t>436.</t>
  </si>
  <si>
    <t>POLETTO S.R.L.</t>
  </si>
  <si>
    <t>02626120246</t>
  </si>
  <si>
    <t>IT02626120246</t>
  </si>
  <si>
    <t>437.</t>
  </si>
  <si>
    <t>MSEM SRL</t>
  </si>
  <si>
    <t>01813400445</t>
  </si>
  <si>
    <t>IT01813400445</t>
  </si>
  <si>
    <t>438.</t>
  </si>
  <si>
    <t>LELLI KELLY - SOCIETA' PER AZIONI ABBREVIABILE IN: LELLI KELLY S.P.A.</t>
  </si>
  <si>
    <t>01063110462</t>
  </si>
  <si>
    <t>IT01063110462</t>
  </si>
  <si>
    <t>152010</t>
  </si>
  <si>
    <t>Lucca</t>
  </si>
  <si>
    <t>439.</t>
  </si>
  <si>
    <t>LINCLALOR - S.P.A.</t>
  </si>
  <si>
    <t>00149790065</t>
  </si>
  <si>
    <t>IT00149790065</t>
  </si>
  <si>
    <t>Alessandria</t>
  </si>
  <si>
    <t>440.</t>
  </si>
  <si>
    <t>LUCY'S LINE S.R.L.</t>
  </si>
  <si>
    <t>02078460249</t>
  </si>
  <si>
    <t>IT02078460249</t>
  </si>
  <si>
    <t>441.</t>
  </si>
  <si>
    <t>CYTECH S.R.L.</t>
  </si>
  <si>
    <t>03587250261</t>
  </si>
  <si>
    <t>IT03587250261</t>
  </si>
  <si>
    <t>442.</t>
  </si>
  <si>
    <t>GRUPPO SELLERIA EQUIPE S.P.A.</t>
  </si>
  <si>
    <t>02601230242</t>
  </si>
  <si>
    <t>IT02601230242</t>
  </si>
  <si>
    <t>443.</t>
  </si>
  <si>
    <t>CUNIAL - COMPONENTS S.R.L.</t>
  </si>
  <si>
    <t>04152250264</t>
  </si>
  <si>
    <t>IT04152250264</t>
  </si>
  <si>
    <t>444.</t>
  </si>
  <si>
    <t>A.B. FLORENCE S.R.L.</t>
  </si>
  <si>
    <t>02159880489</t>
  </si>
  <si>
    <t>IT02159880489</t>
  </si>
  <si>
    <t>445.</t>
  </si>
  <si>
    <t>CUOIFICIO BISONTE S.P.A.</t>
  </si>
  <si>
    <t>00115010506</t>
  </si>
  <si>
    <t>IT00115010506</t>
  </si>
  <si>
    <t>446.</t>
  </si>
  <si>
    <t>OVER TEAK S.R.L.</t>
  </si>
  <si>
    <t>04130560727</t>
  </si>
  <si>
    <t>IT04130560727</t>
  </si>
  <si>
    <t>447.</t>
  </si>
  <si>
    <t>MEET ITALIA SRL</t>
  </si>
  <si>
    <t>01843370261</t>
  </si>
  <si>
    <t>IT01843370261</t>
  </si>
  <si>
    <t>448.</t>
  </si>
  <si>
    <t>LORIBLU SPA</t>
  </si>
  <si>
    <t>02109250445</t>
  </si>
  <si>
    <t>IT02109250445</t>
  </si>
  <si>
    <t>152010</t>
  </si>
  <si>
    <t>Fermo</t>
  </si>
  <si>
    <t>Marche</t>
  </si>
  <si>
    <t>449.</t>
  </si>
  <si>
    <t>EURASIA S.R.L.</t>
  </si>
  <si>
    <t>02715810285</t>
  </si>
  <si>
    <t>IT02715810285</t>
  </si>
  <si>
    <t>Venezia</t>
  </si>
  <si>
    <t>Veneto</t>
  </si>
  <si>
    <t>450.</t>
  </si>
  <si>
    <t>GIASCO S.R.L.</t>
  </si>
  <si>
    <t>02442840241</t>
  </si>
  <si>
    <t>IT02442840241</t>
  </si>
  <si>
    <t>Vicenza</t>
  </si>
  <si>
    <t>451.</t>
  </si>
  <si>
    <t>CALZATURIFICIO DEI COLLI - S.R.L.</t>
  </si>
  <si>
    <t>00157830209</t>
  </si>
  <si>
    <t>IT00157830209</t>
  </si>
  <si>
    <t>Mantova</t>
  </si>
  <si>
    <t>Lombardia</t>
  </si>
  <si>
    <t>452.</t>
  </si>
  <si>
    <t>PELLICAN S.R.L.</t>
  </si>
  <si>
    <t>02238630483</t>
  </si>
  <si>
    <t>IT02238630483</t>
  </si>
  <si>
    <t>151100</t>
  </si>
  <si>
    <t>Firenze</t>
  </si>
  <si>
    <t>Toscana</t>
  </si>
  <si>
    <t>453.</t>
  </si>
  <si>
    <t>ONE COMPANY S.R.L.</t>
  </si>
  <si>
    <t>03982790242</t>
  </si>
  <si>
    <t>IT03982790242</t>
  </si>
  <si>
    <t>141400</t>
  </si>
  <si>
    <t>454.</t>
  </si>
  <si>
    <t>GHERARDI S.R.L.</t>
  </si>
  <si>
    <t>02250470545</t>
  </si>
  <si>
    <t>IT02250470545</t>
  </si>
  <si>
    <t>141000</t>
  </si>
  <si>
    <t>Arezzo</t>
  </si>
  <si>
    <t>455.</t>
  </si>
  <si>
    <t>CONCERIA TRIS SPA</t>
  </si>
  <si>
    <t>00163270242</t>
  </si>
  <si>
    <t>IT00163270242</t>
  </si>
  <si>
    <t>456.</t>
  </si>
  <si>
    <t>SUOLIFICIO NEGRO SRL</t>
  </si>
  <si>
    <t>03080020260</t>
  </si>
  <si>
    <t>IT03080020260</t>
  </si>
  <si>
    <t>152020</t>
  </si>
  <si>
    <t>Treviso</t>
  </si>
  <si>
    <t>457.</t>
  </si>
  <si>
    <t>CIOCCA S.P.A.</t>
  </si>
  <si>
    <t>00549760981</t>
  </si>
  <si>
    <t>00283120178</t>
  </si>
  <si>
    <t>IT00283120178</t>
  </si>
  <si>
    <t>143100</t>
  </si>
  <si>
    <t>Brescia</t>
  </si>
  <si>
    <t>458.</t>
  </si>
  <si>
    <t>PRIMORPELLI S.P.A.</t>
  </si>
  <si>
    <t>01112170509</t>
  </si>
  <si>
    <t>IT01112170509</t>
  </si>
  <si>
    <t>Pisa</t>
  </si>
  <si>
    <t>459.</t>
  </si>
  <si>
    <t>SICAP S.R.L.</t>
  </si>
  <si>
    <t>01537730440</t>
  </si>
  <si>
    <t>IT01537730440</t>
  </si>
  <si>
    <t>460.</t>
  </si>
  <si>
    <t>BOEMOS S.P.A. - INDUSTRIA CALZATURE</t>
  </si>
  <si>
    <t>04340070483</t>
  </si>
  <si>
    <t>IT04340070483</t>
  </si>
  <si>
    <t>461.</t>
  </si>
  <si>
    <t>NATCO S.P.A.</t>
  </si>
  <si>
    <t>04154010724</t>
  </si>
  <si>
    <t>IT04154010724</t>
  </si>
  <si>
    <t>Bari</t>
  </si>
  <si>
    <t>Puglia</t>
  </si>
  <si>
    <t>462.</t>
  </si>
  <si>
    <t>DEAN S.P.A.INDUSTRIA CONCIARIA PELLI</t>
  </si>
  <si>
    <t>07829160634</t>
  </si>
  <si>
    <t>03351490630</t>
  </si>
  <si>
    <t>IT03351490630</t>
  </si>
  <si>
    <t>Napoli</t>
  </si>
  <si>
    <t>Campania</t>
  </si>
  <si>
    <t>463.</t>
  </si>
  <si>
    <t>LEVA S.P.A.</t>
  </si>
  <si>
    <t>04848830016</t>
  </si>
  <si>
    <t>IT04848830016</t>
  </si>
  <si>
    <t>151209</t>
  </si>
  <si>
    <t>Torino</t>
  </si>
  <si>
    <t>Piemonte</t>
  </si>
  <si>
    <t>464.</t>
  </si>
  <si>
    <t>INDUSTRIA CONFEZIONI MODERNE - INCOM - STUDIO E CREAZIONI S.P.A.</t>
  </si>
  <si>
    <t>00112800412</t>
  </si>
  <si>
    <t>IT00112800412</t>
  </si>
  <si>
    <t>Pesaro e Urbino</t>
  </si>
  <si>
    <t>465.</t>
  </si>
  <si>
    <t>VOLPI CONCERIE S.P.A.</t>
  </si>
  <si>
    <t>01702320506</t>
  </si>
  <si>
    <t>IT01702320506</t>
  </si>
  <si>
    <t>466.</t>
  </si>
  <si>
    <t>VANILLA S.R.L.</t>
  </si>
  <si>
    <t>02132820974</t>
  </si>
  <si>
    <t>IT02132820974</t>
  </si>
  <si>
    <t>141910</t>
  </si>
  <si>
    <t>Prato</t>
  </si>
  <si>
    <t>467.</t>
  </si>
  <si>
    <t>ECOPELL 2000 S.R.L.</t>
  </si>
  <si>
    <t>01506490505</t>
  </si>
  <si>
    <t>IT01506490505</t>
  </si>
  <si>
    <t>468.</t>
  </si>
  <si>
    <t>LSM S.R.L.</t>
  </si>
  <si>
    <t>03546700612</t>
  </si>
  <si>
    <t>IT03546700612</t>
  </si>
  <si>
    <t>Caserta</t>
  </si>
  <si>
    <t>469.</t>
  </si>
  <si>
    <t>PREALPINA S.R.L.</t>
  </si>
  <si>
    <t>02630900245</t>
  </si>
  <si>
    <t>IT02630900245</t>
  </si>
  <si>
    <t>470.</t>
  </si>
  <si>
    <t>D.G. GROUP S.R.L.</t>
  </si>
  <si>
    <t>07394360726</t>
  </si>
  <si>
    <t>IT07394360726</t>
  </si>
  <si>
    <t>141310</t>
  </si>
  <si>
    <t>Barletta-Andria-Trani</t>
  </si>
  <si>
    <t>471.</t>
  </si>
  <si>
    <t>DENIM INN S.R.L.</t>
  </si>
  <si>
    <t>02101260442</t>
  </si>
  <si>
    <t>IT02101260442</t>
  </si>
  <si>
    <t>Ascoli Piceno</t>
  </si>
  <si>
    <t>n.d.</t>
  </si>
  <si>
    <t>472.</t>
  </si>
  <si>
    <t>URANIA FASHION S.R.L.</t>
  </si>
  <si>
    <t>03202670364</t>
  </si>
  <si>
    <t>IT03202670364</t>
  </si>
  <si>
    <t>Modena</t>
  </si>
  <si>
    <t>Emilia-Romagna</t>
  </si>
  <si>
    <t>473.</t>
  </si>
  <si>
    <t>GALIZIO TORRESI S.R.L.</t>
  </si>
  <si>
    <t>01713220430</t>
  </si>
  <si>
    <t>IT01713220430</t>
  </si>
  <si>
    <t>Macerata</t>
  </si>
  <si>
    <t>474.</t>
  </si>
  <si>
    <t>BELVEST S.P.A.</t>
  </si>
  <si>
    <t>00209380286</t>
  </si>
  <si>
    <t>IT00209380286</t>
  </si>
  <si>
    <t>Padova</t>
  </si>
  <si>
    <t>475.</t>
  </si>
  <si>
    <t>BAMBOLETTA - S.R.L.</t>
  </si>
  <si>
    <t>01096680432</t>
  </si>
  <si>
    <t>IT01096680432</t>
  </si>
  <si>
    <t>476.</t>
  </si>
  <si>
    <t>PUNTO AZZURRO S.R.L.</t>
  </si>
  <si>
    <t>01499480166</t>
  </si>
  <si>
    <t>IT01499480166</t>
  </si>
  <si>
    <t>141929</t>
  </si>
  <si>
    <t>Bergamo</t>
  </si>
  <si>
    <t>477.</t>
  </si>
  <si>
    <t>ZETATI - S.R.L.</t>
  </si>
  <si>
    <t>03225520489</t>
  </si>
  <si>
    <t>IT03225520489</t>
  </si>
  <si>
    <t>478.</t>
  </si>
  <si>
    <t>FOUR.TEN INDUSTRY S.R.L.</t>
  </si>
  <si>
    <t>07646531215</t>
  </si>
  <si>
    <t>IT07646531215</t>
  </si>
  <si>
    <t>479.</t>
  </si>
  <si>
    <t>CALZATURIFICIO EMMEGIEMME SHOES S.R.L.</t>
  </si>
  <si>
    <t>02649330756</t>
  </si>
  <si>
    <t>IT02649330756</t>
  </si>
  <si>
    <t>Lecce</t>
  </si>
  <si>
    <t>480.</t>
  </si>
  <si>
    <t>CONCERIA TRUST S.R.L.</t>
  </si>
  <si>
    <t>03702050240</t>
  </si>
  <si>
    <t>IT03702050240</t>
  </si>
  <si>
    <t>151100</t>
  </si>
  <si>
    <t>Vicenza</t>
  </si>
  <si>
    <t>Veneto</t>
  </si>
  <si>
    <t>481.</t>
  </si>
  <si>
    <t>SALMASO VENEZIA S.R.L.</t>
  </si>
  <si>
    <t>04600820270</t>
  </si>
  <si>
    <t>IT04600820270</t>
  </si>
  <si>
    <t>152010</t>
  </si>
  <si>
    <t>Venezia</t>
  </si>
  <si>
    <t>n.d.</t>
  </si>
  <si>
    <t>482.</t>
  </si>
  <si>
    <t>GEMINI ITALIA S.P.A.</t>
  </si>
  <si>
    <t>01362570184</t>
  </si>
  <si>
    <t>IT01362570184</t>
  </si>
  <si>
    <t>152000</t>
  </si>
  <si>
    <t>Brescia</t>
  </si>
  <si>
    <t>Lombardia</t>
  </si>
  <si>
    <t>483.</t>
  </si>
  <si>
    <t>TIESSE SRL</t>
  </si>
  <si>
    <t>03152120261</t>
  </si>
  <si>
    <t>00545190266</t>
  </si>
  <si>
    <t>IT00545190266</t>
  </si>
  <si>
    <t>Treviso</t>
  </si>
  <si>
    <t>484.</t>
  </si>
  <si>
    <t>MANIFATTURA BIG S.R.L. OVVERO MANIFATTURA BIG S.R.L. - SOCIETA' BENEFIT</t>
  </si>
  <si>
    <t>02451350975</t>
  </si>
  <si>
    <t>IT02451350975</t>
  </si>
  <si>
    <t>141910</t>
  </si>
  <si>
    <t>Prato</t>
  </si>
  <si>
    <t>Toscana</t>
  </si>
  <si>
    <t>485.</t>
  </si>
  <si>
    <t>ROBERTO COLLINA - S.R.L.</t>
  </si>
  <si>
    <t>00609841200</t>
  </si>
  <si>
    <t>03289120374</t>
  </si>
  <si>
    <t>IT03289120374</t>
  </si>
  <si>
    <t>143900</t>
  </si>
  <si>
    <t>Bologna</t>
  </si>
  <si>
    <t>Emilia-Romagna</t>
  </si>
  <si>
    <t>486.</t>
  </si>
  <si>
    <t>ANTONELLI FIRENZE S.R.L.</t>
  </si>
  <si>
    <t>05078450482</t>
  </si>
  <si>
    <t>IT05078450482</t>
  </si>
  <si>
    <t>141000</t>
  </si>
  <si>
    <t>Firenze</t>
  </si>
  <si>
    <t>487.</t>
  </si>
  <si>
    <t>CONCERIA LEONICA S.P.A.</t>
  </si>
  <si>
    <t>00168590248</t>
  </si>
  <si>
    <t>IT00168590248</t>
  </si>
  <si>
    <t>488.</t>
  </si>
  <si>
    <t>MUSTANG S.R.L.</t>
  </si>
  <si>
    <t>04013670486</t>
  </si>
  <si>
    <t>IT04013670486</t>
  </si>
  <si>
    <t>489.</t>
  </si>
  <si>
    <t>GIANO S.R.L.</t>
  </si>
  <si>
    <t>00733460448</t>
  </si>
  <si>
    <t>IT00733460448</t>
  </si>
  <si>
    <t>Fermo</t>
  </si>
  <si>
    <t>Marche</t>
  </si>
  <si>
    <t>490.</t>
  </si>
  <si>
    <t>ENRICO MANDELLI S.P.A.</t>
  </si>
  <si>
    <t>03227490137</t>
  </si>
  <si>
    <t>IT03227490137</t>
  </si>
  <si>
    <t>141100</t>
  </si>
  <si>
    <t>Lecco</t>
  </si>
  <si>
    <t>491.</t>
  </si>
  <si>
    <t>MARKET. INDUSTRIE - S.R.L.</t>
  </si>
  <si>
    <t>02974020360</t>
  </si>
  <si>
    <t>IT02974020360</t>
  </si>
  <si>
    <t>141310</t>
  </si>
  <si>
    <t>Modena</t>
  </si>
  <si>
    <t>492.</t>
  </si>
  <si>
    <t>L.C.B. COMPANY S.R.L.</t>
  </si>
  <si>
    <t>01689120234</t>
  </si>
  <si>
    <t>IT01689120234</t>
  </si>
  <si>
    <t>Verona</t>
  </si>
  <si>
    <t>493.</t>
  </si>
  <si>
    <t>F.G. 1936 S.R.L.</t>
  </si>
  <si>
    <t>01430650679</t>
  </si>
  <si>
    <t>IT01430650679</t>
  </si>
  <si>
    <t>Teramo</t>
  </si>
  <si>
    <t>Abruzzo</t>
  </si>
  <si>
    <t>494.</t>
  </si>
  <si>
    <t>RO - DEL S.P.A.</t>
  </si>
  <si>
    <t>03084360175</t>
  </si>
  <si>
    <t>01243080171</t>
  </si>
  <si>
    <t>IT01243080171</t>
  </si>
  <si>
    <t>495.</t>
  </si>
  <si>
    <t>PELLETTERIE BIANCHI E NARDI S.P.A.</t>
  </si>
  <si>
    <t>00385830484</t>
  </si>
  <si>
    <t>IT00385830484</t>
  </si>
  <si>
    <t>151209</t>
  </si>
  <si>
    <t>496.</t>
  </si>
  <si>
    <t>CONCERIA ITALIA S.P.A.</t>
  </si>
  <si>
    <t>00079430245</t>
  </si>
  <si>
    <t>IT00079430245</t>
  </si>
  <si>
    <t>497.</t>
  </si>
  <si>
    <t>SUOLIFICIO MAGONIO S.R.L.</t>
  </si>
  <si>
    <t>04515490482</t>
  </si>
  <si>
    <t>IT04515490482</t>
  </si>
  <si>
    <t>152020</t>
  </si>
  <si>
    <t>498.</t>
  </si>
  <si>
    <t>STYLAB S.R.L.</t>
  </si>
  <si>
    <t>03409870247</t>
  </si>
  <si>
    <t>IT03409870247</t>
  </si>
  <si>
    <t>499.</t>
  </si>
  <si>
    <t>MMW S.R.L.</t>
  </si>
  <si>
    <t>01928510385</t>
  </si>
  <si>
    <t>IT01928510385</t>
  </si>
  <si>
    <t>Milano</t>
  </si>
  <si>
    <t>500.</t>
  </si>
  <si>
    <t>CHIORINO TECHNOLOGY S.P.A.</t>
  </si>
  <si>
    <t>02181730025</t>
  </si>
  <si>
    <t>IT02181730025</t>
  </si>
  <si>
    <t>501.</t>
  </si>
  <si>
    <t>CONCERIA FERRERO - S.P.A.</t>
  </si>
  <si>
    <t>05831810014</t>
  </si>
  <si>
    <t>IT05831810014</t>
  </si>
  <si>
    <t>Torino</t>
  </si>
  <si>
    <t>Piemonte</t>
  </si>
  <si>
    <t>502.</t>
  </si>
  <si>
    <t>VIVOLO S.R.L.</t>
  </si>
  <si>
    <t>03270360377</t>
  </si>
  <si>
    <t>IT03270360377</t>
  </si>
  <si>
    <t>503.</t>
  </si>
  <si>
    <t>ARMILANO S.R.L.</t>
  </si>
  <si>
    <t>10893000967</t>
  </si>
  <si>
    <t>IT10893000967</t>
  </si>
  <si>
    <t>504.</t>
  </si>
  <si>
    <t>AKSOLUT S.R.L.</t>
  </si>
  <si>
    <t>03749900365</t>
  </si>
  <si>
    <t>IT03749900365</t>
  </si>
  <si>
    <t>505.</t>
  </si>
  <si>
    <t>EQUILINE S.R.L.</t>
  </si>
  <si>
    <t>02100420286</t>
  </si>
  <si>
    <t>IT02100420286</t>
  </si>
  <si>
    <t>141929</t>
  </si>
  <si>
    <t>Padova</t>
  </si>
  <si>
    <t>506.</t>
  </si>
  <si>
    <t>CAPPELLETTI S.R.L.</t>
  </si>
  <si>
    <t>01205600446</t>
  </si>
  <si>
    <t>IT01205600446</t>
  </si>
  <si>
    <t>507.</t>
  </si>
  <si>
    <t>CALZATURIFICIO ROMIT S.P.A.</t>
  </si>
  <si>
    <t>01218910444</t>
  </si>
  <si>
    <t>IT01218910444</t>
  </si>
  <si>
    <t>508.</t>
  </si>
  <si>
    <t>WENDY TRENDY SRL</t>
  </si>
  <si>
    <t>02287390971</t>
  </si>
  <si>
    <t>IT02287390971</t>
  </si>
  <si>
    <t>509.</t>
  </si>
  <si>
    <t>RODO FIRENZE SOCIETA' PER AZIONI</t>
  </si>
  <si>
    <t>01060350434</t>
  </si>
  <si>
    <t>04095580488</t>
  </si>
  <si>
    <t>IT04095580488</t>
  </si>
  <si>
    <t>Macerata</t>
  </si>
  <si>
    <t>510.</t>
  </si>
  <si>
    <t>COTTON S.R.L.</t>
  </si>
  <si>
    <t>02207100120</t>
  </si>
  <si>
    <t>IT02207100120</t>
  </si>
  <si>
    <t>511.</t>
  </si>
  <si>
    <t>CREAZIONI FUTURA SRL</t>
  </si>
  <si>
    <t>02459190241</t>
  </si>
  <si>
    <t>02442570236</t>
  </si>
  <si>
    <t>IT02442570236</t>
  </si>
  <si>
    <t>141200</t>
  </si>
  <si>
    <t>512.</t>
  </si>
  <si>
    <t>CASTOR S.R.L.</t>
  </si>
  <si>
    <t>02002070205</t>
  </si>
  <si>
    <t>IT02002070205</t>
  </si>
  <si>
    <t>141000</t>
  </si>
  <si>
    <t>Mantova</t>
  </si>
  <si>
    <t>Lombardia</t>
  </si>
  <si>
    <t>513.</t>
  </si>
  <si>
    <t>CESARE ATTOLINI S.P.A.</t>
  </si>
  <si>
    <t>04077711218</t>
  </si>
  <si>
    <t>IT04077711218</t>
  </si>
  <si>
    <t>141910</t>
  </si>
  <si>
    <t>Napoli</t>
  </si>
  <si>
    <t>Campania</t>
  </si>
  <si>
    <t>514.</t>
  </si>
  <si>
    <t>CONCERIA LABA S.R.L.</t>
  </si>
  <si>
    <t>02093530240</t>
  </si>
  <si>
    <t>IT02093530240</t>
  </si>
  <si>
    <t>151100</t>
  </si>
  <si>
    <t>Vicenza</t>
  </si>
  <si>
    <t>Veneto</t>
  </si>
  <si>
    <t>515.</t>
  </si>
  <si>
    <t>LA BIESSEUNO S.R.L.</t>
  </si>
  <si>
    <t>03178490235</t>
  </si>
  <si>
    <t>00613080233</t>
  </si>
  <si>
    <t>IT00613080233</t>
  </si>
  <si>
    <t>Verona</t>
  </si>
  <si>
    <t>516.</t>
  </si>
  <si>
    <t>MMMAR S.R.L.</t>
  </si>
  <si>
    <t>05115260480</t>
  </si>
  <si>
    <t>IT05115260480</t>
  </si>
  <si>
    <t>141310</t>
  </si>
  <si>
    <t>Firenze</t>
  </si>
  <si>
    <t>Toscana</t>
  </si>
  <si>
    <t>517.</t>
  </si>
  <si>
    <t>ARTIGIANA FARNESE S.R.L.</t>
  </si>
  <si>
    <t>01242860334</t>
  </si>
  <si>
    <t>IT01242860334</t>
  </si>
  <si>
    <t>151209</t>
  </si>
  <si>
    <t>Piacenza</t>
  </si>
  <si>
    <t>Emilia-Romagna</t>
  </si>
  <si>
    <t>518.</t>
  </si>
  <si>
    <t>JOLLY SCARPE S.P.A.</t>
  </si>
  <si>
    <t>01549260261</t>
  </si>
  <si>
    <t>IT01549260261</t>
  </si>
  <si>
    <t>152010</t>
  </si>
  <si>
    <t>Treviso</t>
  </si>
  <si>
    <t>519.</t>
  </si>
  <si>
    <t>OFFSHORE ITALIA S.P.A.</t>
  </si>
  <si>
    <t>00725430292</t>
  </si>
  <si>
    <t>IT00725430292</t>
  </si>
  <si>
    <t>Venezia</t>
  </si>
  <si>
    <t>520.</t>
  </si>
  <si>
    <t>FALCO S.R.L.</t>
  </si>
  <si>
    <t>02323210506</t>
  </si>
  <si>
    <t>IT02323210506</t>
  </si>
  <si>
    <t>Pisa</t>
  </si>
  <si>
    <t>521.</t>
  </si>
  <si>
    <t>LA SCARPA S.R.L.</t>
  </si>
  <si>
    <t>01827950500</t>
  </si>
  <si>
    <t>IT01827950500</t>
  </si>
  <si>
    <t>522.</t>
  </si>
  <si>
    <t>CRAZY S.R.L.</t>
  </si>
  <si>
    <t>00988040143</t>
  </si>
  <si>
    <t>IT00988040143</t>
  </si>
  <si>
    <t>141929</t>
  </si>
  <si>
    <t>Sondrio</t>
  </si>
  <si>
    <t>523.</t>
  </si>
  <si>
    <t>CONCERIA M2 S.R.L.</t>
  </si>
  <si>
    <t>00214710501</t>
  </si>
  <si>
    <t>IT00214710501</t>
  </si>
  <si>
    <t>524.</t>
  </si>
  <si>
    <t>CONCERIA CERVINIA S.P.A.</t>
  </si>
  <si>
    <t>00349110239</t>
  </si>
  <si>
    <t>IT00349110239</t>
  </si>
  <si>
    <t>525.</t>
  </si>
  <si>
    <t>SERGIO NATALINI S.R.L.</t>
  </si>
  <si>
    <t>01299680478</t>
  </si>
  <si>
    <t>IT01299680478</t>
  </si>
  <si>
    <t>Pistoia</t>
  </si>
  <si>
    <t>526.</t>
  </si>
  <si>
    <t>ITALPELLI S.R.L.</t>
  </si>
  <si>
    <t>00956680292</t>
  </si>
  <si>
    <t>00899110241</t>
  </si>
  <si>
    <t>IT00899110241</t>
  </si>
  <si>
    <t>527.</t>
  </si>
  <si>
    <t>EDEA S.R.L.</t>
  </si>
  <si>
    <t>03621080260</t>
  </si>
  <si>
    <t>IT03621080260</t>
  </si>
  <si>
    <t>528.</t>
  </si>
  <si>
    <t>VOLCAR S.R.L.</t>
  </si>
  <si>
    <t>00168550242</t>
  </si>
  <si>
    <t>IT00168550242</t>
  </si>
  <si>
    <t>143900</t>
  </si>
  <si>
    <t>529.</t>
  </si>
  <si>
    <t>ITALSFORM S.P.A.</t>
  </si>
  <si>
    <t>01641560402</t>
  </si>
  <si>
    <t>IT01641560402</t>
  </si>
  <si>
    <t>152020</t>
  </si>
  <si>
    <t>Forlì-Cesena</t>
  </si>
  <si>
    <t>530.</t>
  </si>
  <si>
    <t>CLAN S.R.L.</t>
  </si>
  <si>
    <t>01653360204</t>
  </si>
  <si>
    <t>IT01653360204</t>
  </si>
  <si>
    <t>531.</t>
  </si>
  <si>
    <t>BORSE &amp; BORSE S.R.L.</t>
  </si>
  <si>
    <t>02083480976</t>
  </si>
  <si>
    <t>IT02083480976</t>
  </si>
  <si>
    <t>532.</t>
  </si>
  <si>
    <t>NUOVA NICOL S.R.L.</t>
  </si>
  <si>
    <t>02675501205</t>
  </si>
  <si>
    <t>IT02675501205</t>
  </si>
  <si>
    <t>Bologna</t>
  </si>
  <si>
    <t>n.d.</t>
  </si>
  <si>
    <t>533.</t>
  </si>
  <si>
    <t>CABERG S.P.A.</t>
  </si>
  <si>
    <t>03483830166</t>
  </si>
  <si>
    <t>IT03483830166</t>
  </si>
  <si>
    <t>Bergamo</t>
  </si>
  <si>
    <t>534.</t>
  </si>
  <si>
    <t>SI-FUR S.P.A.</t>
  </si>
  <si>
    <t>01036910501</t>
  </si>
  <si>
    <t>IT01036910501</t>
  </si>
  <si>
    <t>535.</t>
  </si>
  <si>
    <t>ARZIGNANESE S.R.L.</t>
  </si>
  <si>
    <t>02306830247</t>
  </si>
  <si>
    <t>IT02306830247</t>
  </si>
  <si>
    <t>536.</t>
  </si>
  <si>
    <t>BOGLIOLI S.P.A.</t>
  </si>
  <si>
    <t>00564580983</t>
  </si>
  <si>
    <t>00460930175</t>
  </si>
  <si>
    <t>IT00460930175</t>
  </si>
  <si>
    <t>Brescia</t>
  </si>
  <si>
    <t>537.</t>
  </si>
  <si>
    <t>LUIS T. - S.R.L.</t>
  </si>
  <si>
    <t>02274840210</t>
  </si>
  <si>
    <t>IT02274840210</t>
  </si>
  <si>
    <t>Bolzano/Bozen</t>
  </si>
  <si>
    <t>Trentino-Alto Adige/Südtirol</t>
  </si>
  <si>
    <t>538.</t>
  </si>
  <si>
    <t>CALZIFICIO SCHINELLI S.R.L.</t>
  </si>
  <si>
    <t>02064780204</t>
  </si>
  <si>
    <t>IT02064780204</t>
  </si>
  <si>
    <t>143100</t>
  </si>
  <si>
    <t>539.</t>
  </si>
  <si>
    <t>LUCIANO BENELLI S.R.L.</t>
  </si>
  <si>
    <t>01918921204</t>
  </si>
  <si>
    <t>IT01918921204</t>
  </si>
  <si>
    <t>540.</t>
  </si>
  <si>
    <t>TRAMAROSSA S.R.L.</t>
  </si>
  <si>
    <t>03851840243</t>
  </si>
  <si>
    <t>IT03851840243</t>
  </si>
  <si>
    <t>541.</t>
  </si>
  <si>
    <t>VINGI SHOES S.R.L. CON SOCIO UNICO</t>
  </si>
  <si>
    <t>00844870725</t>
  </si>
  <si>
    <t>IT00844870725</t>
  </si>
  <si>
    <t>Barletta-Andria-Trani</t>
  </si>
  <si>
    <t>Puglia</t>
  </si>
  <si>
    <t>542.</t>
  </si>
  <si>
    <t>MONTANA S.P.A.</t>
  </si>
  <si>
    <t>01297280503</t>
  </si>
  <si>
    <t>IT01297280503</t>
  </si>
  <si>
    <t>543.</t>
  </si>
  <si>
    <t>BAW SRL</t>
  </si>
  <si>
    <t>08680520965</t>
  </si>
  <si>
    <t>IT08680520965</t>
  </si>
  <si>
    <t>Milano</t>
  </si>
  <si>
    <t>544.</t>
  </si>
  <si>
    <t>RODES &amp; STEFAN TRIKOT - S.P.A.</t>
  </si>
  <si>
    <t>01303170482</t>
  </si>
  <si>
    <t>IT01303170482</t>
  </si>
  <si>
    <t>143900</t>
  </si>
  <si>
    <t>Firenze</t>
  </si>
  <si>
    <t>Toscana</t>
  </si>
  <si>
    <t>545.</t>
  </si>
  <si>
    <t>CALZATURIFICIO BUTTERO S.R.L.</t>
  </si>
  <si>
    <t>03496950480</t>
  </si>
  <si>
    <t>IT03496950480</t>
  </si>
  <si>
    <t>152010</t>
  </si>
  <si>
    <t>546.</t>
  </si>
  <si>
    <t>CARLO PIGNATELLI S.R.L.</t>
  </si>
  <si>
    <t>05084910016</t>
  </si>
  <si>
    <t>IT05084910016</t>
  </si>
  <si>
    <t>141310</t>
  </si>
  <si>
    <t>Torino</t>
  </si>
  <si>
    <t>Piemonte</t>
  </si>
  <si>
    <t>n.d.</t>
  </si>
  <si>
    <t>547.</t>
  </si>
  <si>
    <t>P. &amp; C. S.R.L.</t>
  </si>
  <si>
    <t>04249361215</t>
  </si>
  <si>
    <t>IT04249361215</t>
  </si>
  <si>
    <t>151209</t>
  </si>
  <si>
    <t>Napoli</t>
  </si>
  <si>
    <t>Campania</t>
  </si>
  <si>
    <t>548.</t>
  </si>
  <si>
    <t>OTS S.R.L.</t>
  </si>
  <si>
    <t>04846780288</t>
  </si>
  <si>
    <t>IT04846780288</t>
  </si>
  <si>
    <t>141400</t>
  </si>
  <si>
    <t>Padova</t>
  </si>
  <si>
    <t>Veneto</t>
  </si>
  <si>
    <t>549.</t>
  </si>
  <si>
    <t>REFRIGIWEAR DISTRIBUTION S.R.L.</t>
  </si>
  <si>
    <t>12414321005</t>
  </si>
  <si>
    <t>IT12414321005</t>
  </si>
  <si>
    <t>Roma</t>
  </si>
  <si>
    <t>Lazio</t>
  </si>
  <si>
    <t>550.</t>
  </si>
  <si>
    <t>SIVA SOCIETA' A RESPONSABILITA' LIMITATA</t>
  </si>
  <si>
    <t>02704040423</t>
  </si>
  <si>
    <t>IT02704040423</t>
  </si>
  <si>
    <t>Ancona</t>
  </si>
  <si>
    <t>Marche</t>
  </si>
  <si>
    <t>551.</t>
  </si>
  <si>
    <t>BRUMS MILANO S.R.L.</t>
  </si>
  <si>
    <t>12273870969</t>
  </si>
  <si>
    <t>IT12273870969</t>
  </si>
  <si>
    <t>141910</t>
  </si>
  <si>
    <t>Milano</t>
  </si>
  <si>
    <t>Lombardia</t>
  </si>
  <si>
    <t>552.</t>
  </si>
  <si>
    <t>JACOB COHEN COMPANY S.P.A.</t>
  </si>
  <si>
    <t>08566980960</t>
  </si>
  <si>
    <t>IT08566980960</t>
  </si>
  <si>
    <t>553.</t>
  </si>
  <si>
    <t>INDUSTRIA CONCIARIA EUROPA S.P.A. IN SIGLA I.C.E. S.P.A.</t>
  </si>
  <si>
    <t>02033880242</t>
  </si>
  <si>
    <t>IT02033880242</t>
  </si>
  <si>
    <t>151100</t>
  </si>
  <si>
    <t>Vicenza</t>
  </si>
  <si>
    <t>554.</t>
  </si>
  <si>
    <t>ERREUNO S.R.L.</t>
  </si>
  <si>
    <t>01573520432</t>
  </si>
  <si>
    <t>IT01573520432</t>
  </si>
  <si>
    <t>Macerata</t>
  </si>
  <si>
    <t>555.</t>
  </si>
  <si>
    <t>FLOR ART ACCESSORI S.R.L.</t>
  </si>
  <si>
    <t>02695130167</t>
  </si>
  <si>
    <t>IT02695130167</t>
  </si>
  <si>
    <t>Bergamo</t>
  </si>
  <si>
    <t>556.</t>
  </si>
  <si>
    <t>GRUPPO F.B. S.R.L.</t>
  </si>
  <si>
    <t>03612621213</t>
  </si>
  <si>
    <t>IT03612621213</t>
  </si>
  <si>
    <t>557.</t>
  </si>
  <si>
    <t>CONCERIA PALLADIO S.P.A.</t>
  </si>
  <si>
    <t>02220950246</t>
  </si>
  <si>
    <t>IT02220950246</t>
  </si>
  <si>
    <t>558.</t>
  </si>
  <si>
    <t>FALIS 2014 SOCIETA' A RESPONSABILITA' LIMITATA</t>
  </si>
  <si>
    <t>13045321000</t>
  </si>
  <si>
    <t>IT13045321000</t>
  </si>
  <si>
    <t>141929</t>
  </si>
  <si>
    <t>559.</t>
  </si>
  <si>
    <t>HUGO BOSS SHOES &amp; ACCESSORIES ITALIA S.P.A.</t>
  </si>
  <si>
    <t>00627910433</t>
  </si>
  <si>
    <t>IT00627910433</t>
  </si>
  <si>
    <t>560.</t>
  </si>
  <si>
    <t>SILKY SOCIETA' A RESPONSABILITA' LIMITATA</t>
  </si>
  <si>
    <t>01922790991</t>
  </si>
  <si>
    <t>IT01922790991</t>
  </si>
  <si>
    <t>141000</t>
  </si>
  <si>
    <t>Genova</t>
  </si>
  <si>
    <t>Liguria</t>
  </si>
  <si>
    <t>561.</t>
  </si>
  <si>
    <t>OLANG S.R.L.</t>
  </si>
  <si>
    <t>01910710266</t>
  </si>
  <si>
    <t>IT01910710266</t>
  </si>
  <si>
    <t>Treviso</t>
  </si>
  <si>
    <t>562.</t>
  </si>
  <si>
    <t>CALZATURIFICIO MADAF S.R.L.</t>
  </si>
  <si>
    <t>00340830470</t>
  </si>
  <si>
    <t>IT00340830470</t>
  </si>
  <si>
    <t>152000</t>
  </si>
  <si>
    <t>Pistoia</t>
  </si>
  <si>
    <t>563.</t>
  </si>
  <si>
    <t>ITALIAN LEATHER GROUP S.P.A.</t>
  </si>
  <si>
    <t>04492910726</t>
  </si>
  <si>
    <t>IT04492910726</t>
  </si>
  <si>
    <t>Bari</t>
  </si>
  <si>
    <t>Puglia</t>
  </si>
  <si>
    <t>564.</t>
  </si>
  <si>
    <t>GIBLOR'S S.R.L.</t>
  </si>
  <si>
    <t>02610340362</t>
  </si>
  <si>
    <t>IT02610340362</t>
  </si>
  <si>
    <t>141200</t>
  </si>
  <si>
    <t>Modena</t>
  </si>
  <si>
    <t>Emilia-Romagna</t>
  </si>
  <si>
    <t>565.</t>
  </si>
  <si>
    <t>CONFEZIONI MARY S.R.L.</t>
  </si>
  <si>
    <t>01911090445</t>
  </si>
  <si>
    <t>IT01911090445</t>
  </si>
  <si>
    <t>566.</t>
  </si>
  <si>
    <t>ALYSI FASHION S.R.L.</t>
  </si>
  <si>
    <t>05159441004</t>
  </si>
  <si>
    <t>IT05159441004</t>
  </si>
  <si>
    <t>567.</t>
  </si>
  <si>
    <t>GEM S.R.L.</t>
  </si>
  <si>
    <t>01910570504</t>
  </si>
  <si>
    <t>IT01910570504</t>
  </si>
  <si>
    <t>Pisa</t>
  </si>
  <si>
    <t>568.</t>
  </si>
  <si>
    <t>CALZATURIFICIO MEXAS S.R.L.</t>
  </si>
  <si>
    <t>00934140294</t>
  </si>
  <si>
    <t>IT00934140294</t>
  </si>
  <si>
    <t>Rovigo</t>
  </si>
  <si>
    <t>569.</t>
  </si>
  <si>
    <t>CONFEZIONI SIMMY S.R.L.</t>
  </si>
  <si>
    <t>00230690166</t>
  </si>
  <si>
    <t>IT00230690166</t>
  </si>
  <si>
    <t>141320</t>
  </si>
  <si>
    <t>570.</t>
  </si>
  <si>
    <t>MAMIR S.R.L.</t>
  </si>
  <si>
    <t>02217850987</t>
  </si>
  <si>
    <t>IT02217850987</t>
  </si>
  <si>
    <t>Brescia</t>
  </si>
  <si>
    <t>571.</t>
  </si>
  <si>
    <t>MARINO INDUSTRIA CONFEZIONI S.R.L.</t>
  </si>
  <si>
    <t>05513120633</t>
  </si>
  <si>
    <t>IT05513120633</t>
  </si>
  <si>
    <t>572.</t>
  </si>
  <si>
    <t>ART LAB S.R.L.</t>
  </si>
  <si>
    <t>02102500507</t>
  </si>
  <si>
    <t>IT02102500507</t>
  </si>
  <si>
    <t>573.</t>
  </si>
  <si>
    <t>SARTORIA LATORRE S.R.L.</t>
  </si>
  <si>
    <t>05250450722</t>
  </si>
  <si>
    <t>IT05250450722</t>
  </si>
  <si>
    <t>574.</t>
  </si>
  <si>
    <t>GALLO TESSILE S.R.L.</t>
  </si>
  <si>
    <t>01786690188</t>
  </si>
  <si>
    <t>IT01786690188</t>
  </si>
  <si>
    <t>143000</t>
  </si>
  <si>
    <t>Mantova</t>
  </si>
  <si>
    <t>575.</t>
  </si>
  <si>
    <t>SNAM DI MARCIGAGLIA ANTONIO &amp; C. S.R.L.</t>
  </si>
  <si>
    <t>01778050243</t>
  </si>
  <si>
    <t>IT01778050243</t>
  </si>
  <si>
    <t>576.</t>
  </si>
  <si>
    <t>CONCERIA ERREPI S.R.L.</t>
  </si>
  <si>
    <t>00540160249</t>
  </si>
  <si>
    <t>IT00540160249</t>
  </si>
  <si>
    <t>151100</t>
  </si>
  <si>
    <t>Vicenza</t>
  </si>
  <si>
    <t>Veneto</t>
  </si>
  <si>
    <t>577.</t>
  </si>
  <si>
    <t>BONISTALLI &amp; STEFANELLI S.P.A.</t>
  </si>
  <si>
    <t>00114440506</t>
  </si>
  <si>
    <t>IT00114440506</t>
  </si>
  <si>
    <t>Pisa</t>
  </si>
  <si>
    <t>Toscana</t>
  </si>
  <si>
    <t>578.</t>
  </si>
  <si>
    <t>DIGIERRE MODA S.R.L.</t>
  </si>
  <si>
    <t>05662461218</t>
  </si>
  <si>
    <t>IT05662461218</t>
  </si>
  <si>
    <t>152010</t>
  </si>
  <si>
    <t>Napoli</t>
  </si>
  <si>
    <t>Campania</t>
  </si>
  <si>
    <t>579.</t>
  </si>
  <si>
    <t>CALZATURIFICIO LUPARENSE S.R.L.</t>
  </si>
  <si>
    <t>09607810158</t>
  </si>
  <si>
    <t>IT09607810158</t>
  </si>
  <si>
    <t>152000</t>
  </si>
  <si>
    <t>Padova</t>
  </si>
  <si>
    <t>580.</t>
  </si>
  <si>
    <t>DANESI EVOLUTION S.R.L.</t>
  </si>
  <si>
    <t>01152650527</t>
  </si>
  <si>
    <t>IT01152650527</t>
  </si>
  <si>
    <t>151209</t>
  </si>
  <si>
    <t>Siena</t>
  </si>
  <si>
    <t>581.</t>
  </si>
  <si>
    <t>CONCERIA ZABRI S.P.A.</t>
  </si>
  <si>
    <t>04147490488</t>
  </si>
  <si>
    <t>IT04147490488</t>
  </si>
  <si>
    <t>Firenze</t>
  </si>
  <si>
    <t>582.</t>
  </si>
  <si>
    <t>PELLETTERIE HAPPENING S.R.L.</t>
  </si>
  <si>
    <t>02077180483</t>
  </si>
  <si>
    <t>IT02077180483</t>
  </si>
  <si>
    <t>583.</t>
  </si>
  <si>
    <t>MAGLIFICIO FIORE - S.P.A.</t>
  </si>
  <si>
    <t>01277300248</t>
  </si>
  <si>
    <t>IT01277300248</t>
  </si>
  <si>
    <t>143900</t>
  </si>
  <si>
    <t>584.</t>
  </si>
  <si>
    <t>FERRANTE BRANDS SOCIETA' A RESPONSABILITA' LIMITATA</t>
  </si>
  <si>
    <t>01950320687</t>
  </si>
  <si>
    <t>IT01950320687</t>
  </si>
  <si>
    <t>Pescara</t>
  </si>
  <si>
    <t>Abruzzo</t>
  </si>
  <si>
    <t>585.</t>
  </si>
  <si>
    <t>EASY STYLE S.R.L.</t>
  </si>
  <si>
    <t>01945700506</t>
  </si>
  <si>
    <t>IT01945700506</t>
  </si>
  <si>
    <t>141310</t>
  </si>
  <si>
    <t>586.</t>
  </si>
  <si>
    <t>SUOLIFICIO ELEFANTE S.R.L.</t>
  </si>
  <si>
    <t>00367720430</t>
  </si>
  <si>
    <t>IT00367720430</t>
  </si>
  <si>
    <t>152020</t>
  </si>
  <si>
    <t>Macerata</t>
  </si>
  <si>
    <t>Marche</t>
  </si>
  <si>
    <t>587.</t>
  </si>
  <si>
    <t>G D M S.R.L. GROUP DESIGN MODA</t>
  </si>
  <si>
    <t>02109080404</t>
  </si>
  <si>
    <t>IT02109080404</t>
  </si>
  <si>
    <t>Forlì-Cesena</t>
  </si>
  <si>
    <t>Emilia-Romagna</t>
  </si>
  <si>
    <t>588.</t>
  </si>
  <si>
    <t>ALMINI S.R.L.</t>
  </si>
  <si>
    <t>01164230185</t>
  </si>
  <si>
    <t>IT01164230185</t>
  </si>
  <si>
    <t>Pavia</t>
  </si>
  <si>
    <t>Lombardia</t>
  </si>
  <si>
    <t>589.</t>
  </si>
  <si>
    <t>F.A.C.I.B. DI CORTESI &amp; C. S.P.A.</t>
  </si>
  <si>
    <t>00183920123</t>
  </si>
  <si>
    <t>IT00183920123</t>
  </si>
  <si>
    <t>Varese</t>
  </si>
  <si>
    <t>590.</t>
  </si>
  <si>
    <t>MAGLIFICIO DEGLI ANGELI SRL</t>
  </si>
  <si>
    <t>02189400423</t>
  </si>
  <si>
    <t>IT02189400423</t>
  </si>
  <si>
    <t>Ancona</t>
  </si>
  <si>
    <t>591.</t>
  </si>
  <si>
    <t>PEZZOL INDUSTRIES S.R.L.</t>
  </si>
  <si>
    <t>00269260725</t>
  </si>
  <si>
    <t>IT00269260725</t>
  </si>
  <si>
    <t>Barletta-Andria-Trani</t>
  </si>
  <si>
    <t>Puglia</t>
  </si>
  <si>
    <t>n.d.</t>
  </si>
  <si>
    <t>592.</t>
  </si>
  <si>
    <t>GIMO'S ITALIANA S.P.A.</t>
  </si>
  <si>
    <t>00403830284</t>
  </si>
  <si>
    <t>IT00403830284</t>
  </si>
  <si>
    <t>593.</t>
  </si>
  <si>
    <t>MONDIALTEX S.R.L.</t>
  </si>
  <si>
    <t>02487840239</t>
  </si>
  <si>
    <t>IT02487840239</t>
  </si>
  <si>
    <t>141200</t>
  </si>
  <si>
    <t>Verona</t>
  </si>
  <si>
    <t>594.</t>
  </si>
  <si>
    <t>BARBAROSA SRL</t>
  </si>
  <si>
    <t>02030670281</t>
  </si>
  <si>
    <t>IT02030670281</t>
  </si>
  <si>
    <t>595.</t>
  </si>
  <si>
    <t>MAGLIFICIO FERDINANDA DI FIORIN &amp; TOMASIN S.R.L.</t>
  </si>
  <si>
    <t>01115160267</t>
  </si>
  <si>
    <t>IT01115160267</t>
  </si>
  <si>
    <t>Treviso</t>
  </si>
  <si>
    <t>596.</t>
  </si>
  <si>
    <t>DYLOAN BOND FACTORY SRL</t>
  </si>
  <si>
    <t>01876580695</t>
  </si>
  <si>
    <t>IT01876580695</t>
  </si>
  <si>
    <t>141000</t>
  </si>
  <si>
    <t>Chieti</t>
  </si>
  <si>
    <t>597.</t>
  </si>
  <si>
    <t>SCHUBERTH PERFORMANCE SRL</t>
  </si>
  <si>
    <t>03555850241</t>
  </si>
  <si>
    <t>IT03555850241</t>
  </si>
  <si>
    <t>598.</t>
  </si>
  <si>
    <t>MAGLIFICIO G.B. S.R.L.</t>
  </si>
  <si>
    <t>00255970972</t>
  </si>
  <si>
    <t>01368460489</t>
  </si>
  <si>
    <t>IT01368460489</t>
  </si>
  <si>
    <t>143000</t>
  </si>
  <si>
    <t>Prato</t>
  </si>
  <si>
    <t>599.</t>
  </si>
  <si>
    <t>FUZZI S.R.L.</t>
  </si>
  <si>
    <t>00915020408</t>
  </si>
  <si>
    <t>IT00915020408</t>
  </si>
  <si>
    <t>Rimini</t>
  </si>
  <si>
    <t>600.</t>
  </si>
  <si>
    <t>MANIFATTURA MARIS SRL</t>
  </si>
  <si>
    <t>01651100206</t>
  </si>
  <si>
    <t>02128110174</t>
  </si>
  <si>
    <t>IT02128110174</t>
  </si>
  <si>
    <t>143100</t>
  </si>
  <si>
    <t>Brescia</t>
  </si>
  <si>
    <t>601.</t>
  </si>
  <si>
    <t>IRON SERVICE S.R.L.</t>
  </si>
  <si>
    <t>03207640123</t>
  </si>
  <si>
    <t>IT03207640123</t>
  </si>
  <si>
    <t>141910</t>
  </si>
  <si>
    <t>Milano</t>
  </si>
  <si>
    <t>602.</t>
  </si>
  <si>
    <t>ROBERTSON S.R.L.</t>
  </si>
  <si>
    <t>03591640960</t>
  </si>
  <si>
    <t>IT03591640960</t>
  </si>
  <si>
    <t>603.</t>
  </si>
  <si>
    <t>ARETEX S.P.A.</t>
  </si>
  <si>
    <t>01255620476</t>
  </si>
  <si>
    <t>IT01255620476</t>
  </si>
  <si>
    <t>Pistoia</t>
  </si>
  <si>
    <t>604.</t>
  </si>
  <si>
    <t>FORMABOOTS S.P.A.</t>
  </si>
  <si>
    <t>06729650967</t>
  </si>
  <si>
    <t>IT06729650967</t>
  </si>
  <si>
    <t>605.</t>
  </si>
  <si>
    <t>LIABEL S.R.L.</t>
  </si>
  <si>
    <t>00156490021</t>
  </si>
  <si>
    <t>IT00156490021</t>
  </si>
  <si>
    <t>Biella</t>
  </si>
  <si>
    <t>Piemonte</t>
  </si>
  <si>
    <t>606.</t>
  </si>
  <si>
    <t>MARCHETTO PELLAMI S.P.A.</t>
  </si>
  <si>
    <t>00980470298</t>
  </si>
  <si>
    <t>01976940245</t>
  </si>
  <si>
    <t>IT01976940245</t>
  </si>
  <si>
    <t>Roma</t>
  </si>
  <si>
    <t>Lazio</t>
  </si>
  <si>
    <t>607.</t>
  </si>
  <si>
    <t>CONCERIA 800 S.P.A.</t>
  </si>
  <si>
    <t>00113450506</t>
  </si>
  <si>
    <t>IT00113450506</t>
  </si>
  <si>
    <t>608.</t>
  </si>
  <si>
    <t>IDNA ITALIA S.R.L.</t>
  </si>
  <si>
    <t>04033760275</t>
  </si>
  <si>
    <t>IT04033760275</t>
  </si>
  <si>
    <t>151209</t>
  </si>
  <si>
    <t>Venezia</t>
  </si>
  <si>
    <t>Veneto</t>
  </si>
  <si>
    <t>609.</t>
  </si>
  <si>
    <t>FABI SPA</t>
  </si>
  <si>
    <t>01085710430</t>
  </si>
  <si>
    <t>IT01085710430</t>
  </si>
  <si>
    <t>152010</t>
  </si>
  <si>
    <t>Macerata</t>
  </si>
  <si>
    <t>Marche</t>
  </si>
  <si>
    <t>n.d.</t>
  </si>
  <si>
    <t>610.</t>
  </si>
  <si>
    <t>CONCERIA MASINI S.P.A.</t>
  </si>
  <si>
    <t>01922320500</t>
  </si>
  <si>
    <t>IT01922320500</t>
  </si>
  <si>
    <t>151100</t>
  </si>
  <si>
    <t>Pisa</t>
  </si>
  <si>
    <t>Toscana</t>
  </si>
  <si>
    <t>611.</t>
  </si>
  <si>
    <t>FEGI MANIFATTURE S.R.L.</t>
  </si>
  <si>
    <t>00684270671</t>
  </si>
  <si>
    <t>IT00684270671</t>
  </si>
  <si>
    <t>141000</t>
  </si>
  <si>
    <t>Teramo</t>
  </si>
  <si>
    <t>Abruzzo</t>
  </si>
  <si>
    <t>612.</t>
  </si>
  <si>
    <t>CRISDEN S.R.L.</t>
  </si>
  <si>
    <t>00616000352</t>
  </si>
  <si>
    <t>IT00616000352</t>
  </si>
  <si>
    <t>141910</t>
  </si>
  <si>
    <t>Reggio nell'Emilia</t>
  </si>
  <si>
    <t>Emilia-Romagna</t>
  </si>
  <si>
    <t>613.</t>
  </si>
  <si>
    <t>CIZETA MEDICALI S.P.A. PIU' BREVEMENTE DENOMINATA CZM S.P.A. OVVE RO CIZETA S.P.A.</t>
  </si>
  <si>
    <t>06626330150</t>
  </si>
  <si>
    <t>IT06626330150</t>
  </si>
  <si>
    <t>143100</t>
  </si>
  <si>
    <t>Milano</t>
  </si>
  <si>
    <t>Lombardia</t>
  </si>
  <si>
    <t>614.</t>
  </si>
  <si>
    <t>CALZATURIFICIO ELKA SRL</t>
  </si>
  <si>
    <t>02447050754</t>
  </si>
  <si>
    <t>IT02447050754</t>
  </si>
  <si>
    <t>Lecce</t>
  </si>
  <si>
    <t>Puglia</t>
  </si>
  <si>
    <t>615.</t>
  </si>
  <si>
    <t>PROPEL S.R.L.</t>
  </si>
  <si>
    <t>01833240474</t>
  </si>
  <si>
    <t>IT01833240474</t>
  </si>
  <si>
    <t>Firenze</t>
  </si>
  <si>
    <t>616.</t>
  </si>
  <si>
    <t>MISSARDI S.P.A.</t>
  </si>
  <si>
    <t>01117240471</t>
  </si>
  <si>
    <t>IT01117240471</t>
  </si>
  <si>
    <t>141100</t>
  </si>
  <si>
    <t>617.</t>
  </si>
  <si>
    <t>DMD SOLOFRA S.P.A.</t>
  </si>
  <si>
    <t>00261660641</t>
  </si>
  <si>
    <t>IT00261660641</t>
  </si>
  <si>
    <t>Avellino</t>
  </si>
  <si>
    <t>Campania</t>
  </si>
  <si>
    <t>618.</t>
  </si>
  <si>
    <t>POOL TREND S.R.L.</t>
  </si>
  <si>
    <t>01713670972</t>
  </si>
  <si>
    <t>IT01713670972</t>
  </si>
  <si>
    <t>Prato</t>
  </si>
  <si>
    <t>619.</t>
  </si>
  <si>
    <t>V. &amp; V. S.R.L. ITALIAN STYLE</t>
  </si>
  <si>
    <t>02027570163</t>
  </si>
  <si>
    <t>IT02027570163</t>
  </si>
  <si>
    <t>Bergamo</t>
  </si>
  <si>
    <t>620.</t>
  </si>
  <si>
    <t>FRANCO ROSSI S.R.L.</t>
  </si>
  <si>
    <t>03054940485</t>
  </si>
  <si>
    <t>IT03054940485</t>
  </si>
  <si>
    <t>143000</t>
  </si>
  <si>
    <t>621.</t>
  </si>
  <si>
    <t>MANIFATTURA DI S.MAURIZIO - S.R.L.</t>
  </si>
  <si>
    <t>01322830355</t>
  </si>
  <si>
    <t>IT01322830355</t>
  </si>
  <si>
    <t>141310</t>
  </si>
  <si>
    <t>622.</t>
  </si>
  <si>
    <t>LGM S.R.L.</t>
  </si>
  <si>
    <t>05181690750</t>
  </si>
  <si>
    <t>IT05181690750</t>
  </si>
  <si>
    <t>623.</t>
  </si>
  <si>
    <t>SABRY MAGLIERIA S.R.L.</t>
  </si>
  <si>
    <t>01443900434</t>
  </si>
  <si>
    <t>IT01443900434</t>
  </si>
  <si>
    <t>143900</t>
  </si>
  <si>
    <t>624.</t>
  </si>
  <si>
    <t>CONFEZIONI LAVIS S.R.L.</t>
  </si>
  <si>
    <t>01578770677</t>
  </si>
  <si>
    <t>IT01578770677</t>
  </si>
  <si>
    <t>141400</t>
  </si>
  <si>
    <t>625.</t>
  </si>
  <si>
    <t>FTG SAFETY SHOES S.R.L.</t>
  </si>
  <si>
    <t>00152390241</t>
  </si>
  <si>
    <t>IT00152390241</t>
  </si>
  <si>
    <t>Vicenza</t>
  </si>
  <si>
    <t>626.</t>
  </si>
  <si>
    <t>LA SOCIE'TE' S.R.L.</t>
  </si>
  <si>
    <t>02112720970</t>
  </si>
  <si>
    <t>IT02112720970</t>
  </si>
  <si>
    <t>627.</t>
  </si>
  <si>
    <t>RAFF S.R.L.</t>
  </si>
  <si>
    <t>02066230240</t>
  </si>
  <si>
    <t>IT02066230240</t>
  </si>
  <si>
    <t>628.</t>
  </si>
  <si>
    <t>CALZATURIFICIO MODA ITALIANA SRL</t>
  </si>
  <si>
    <t>02335940397</t>
  </si>
  <si>
    <t>IT02335940397</t>
  </si>
  <si>
    <t>Ravenna</t>
  </si>
  <si>
    <t>629.</t>
  </si>
  <si>
    <t>CONCERIA IL CIGNO S.R.L.</t>
  </si>
  <si>
    <t>00114880503</t>
  </si>
  <si>
    <t>IT00114880503</t>
  </si>
  <si>
    <t>630.</t>
  </si>
  <si>
    <t>EFFEMME SOCIETA' A RESPONSABILITA' LIMITATA ENUNCIABILE ANCHE EFFEMME S.R.L.</t>
  </si>
  <si>
    <t>01192170445</t>
  </si>
  <si>
    <t>IT01192170445</t>
  </si>
  <si>
    <t>Fermo</t>
  </si>
  <si>
    <t>631.</t>
  </si>
  <si>
    <t>MARA BINI S.R.L.</t>
  </si>
  <si>
    <t>02223770286</t>
  </si>
  <si>
    <t>IT02223770286</t>
  </si>
  <si>
    <t>152000</t>
  </si>
  <si>
    <t>Padova</t>
  </si>
  <si>
    <t>632.</t>
  </si>
  <si>
    <t>CONCERIA BENETTI S.R.L.</t>
  </si>
  <si>
    <t>00163130248</t>
  </si>
  <si>
    <t>IT00163130248</t>
  </si>
  <si>
    <t>633.</t>
  </si>
  <si>
    <t>BENGY &amp; COMPANY S.R.L</t>
  </si>
  <si>
    <t>04257380727</t>
  </si>
  <si>
    <t>IT04257380727</t>
  </si>
  <si>
    <t>Barletta-Andria-Trani</t>
  </si>
  <si>
    <t>634.</t>
  </si>
  <si>
    <t>PALLADIUM MODA S.R.L.</t>
  </si>
  <si>
    <t>01539840387</t>
  </si>
  <si>
    <t>02054631201</t>
  </si>
  <si>
    <t>IT02054631201</t>
  </si>
  <si>
    <t>Bologna</t>
  </si>
  <si>
    <t>635.</t>
  </si>
  <si>
    <t>P &amp; C SRL</t>
  </si>
  <si>
    <t>04136940261</t>
  </si>
  <si>
    <t>IT04136940261</t>
  </si>
  <si>
    <t>Treviso</t>
  </si>
  <si>
    <t>636.</t>
  </si>
  <si>
    <t>FRASSINETI S.R.L.</t>
  </si>
  <si>
    <t>02338430487</t>
  </si>
  <si>
    <t>IT02338430487</t>
  </si>
  <si>
    <t>151200</t>
  </si>
  <si>
    <t>637.</t>
  </si>
  <si>
    <t>POINT TRICOT SRL</t>
  </si>
  <si>
    <t>02272280427</t>
  </si>
  <si>
    <t>IT02272280427</t>
  </si>
  <si>
    <t>Ancona</t>
  </si>
  <si>
    <t>638.</t>
  </si>
  <si>
    <t>S.P.S. MANIFATTURE S.R.L.</t>
  </si>
  <si>
    <t>03537330759</t>
  </si>
  <si>
    <t>IT03537330759</t>
  </si>
  <si>
    <t>639.</t>
  </si>
  <si>
    <t>KNITALY S.R.L.</t>
  </si>
  <si>
    <t>02124450350</t>
  </si>
  <si>
    <t>IT02124450350</t>
  </si>
  <si>
    <t>640.</t>
  </si>
  <si>
    <t>CAMALEONTE S.P.A.</t>
  </si>
  <si>
    <t>00212660500</t>
  </si>
  <si>
    <t>IT00212660500</t>
  </si>
  <si>
    <t>151100</t>
  </si>
  <si>
    <t>Pisa</t>
  </si>
  <si>
    <t>Toscana</t>
  </si>
  <si>
    <t>641.</t>
  </si>
  <si>
    <t>MAGLIFICIO INNOCENTI S.P.A.</t>
  </si>
  <si>
    <t>00200300267</t>
  </si>
  <si>
    <t>IT00200300267</t>
  </si>
  <si>
    <t>143900</t>
  </si>
  <si>
    <t>Treviso</t>
  </si>
  <si>
    <t>Veneto</t>
  </si>
  <si>
    <t>642.</t>
  </si>
  <si>
    <t>MOST - S.R.L.</t>
  </si>
  <si>
    <t>01857760977</t>
  </si>
  <si>
    <t>IT01857760977</t>
  </si>
  <si>
    <t>141910</t>
  </si>
  <si>
    <t>Pistoia</t>
  </si>
  <si>
    <t>643.</t>
  </si>
  <si>
    <t>BETA - S.P.A.</t>
  </si>
  <si>
    <t>01459540025</t>
  </si>
  <si>
    <t>06102960157</t>
  </si>
  <si>
    <t>IT06102960157</t>
  </si>
  <si>
    <t>141929</t>
  </si>
  <si>
    <t>Biella</t>
  </si>
  <si>
    <t>Piemonte</t>
  </si>
  <si>
    <t>644.</t>
  </si>
  <si>
    <t>O-THREE S.R.L.</t>
  </si>
  <si>
    <t>03760900260</t>
  </si>
  <si>
    <t>IT03760900260</t>
  </si>
  <si>
    <t>152010</t>
  </si>
  <si>
    <t>645.</t>
  </si>
  <si>
    <t>ORCIANI S.P.A.</t>
  </si>
  <si>
    <t>01307230415</t>
  </si>
  <si>
    <t>IT01307230415</t>
  </si>
  <si>
    <t>Pesaro e Urbino</t>
  </si>
  <si>
    <t>Marche</t>
  </si>
  <si>
    <t>646.</t>
  </si>
  <si>
    <t>CARDINALINI &amp; C. - S.P.A.</t>
  </si>
  <si>
    <t>00195830559</t>
  </si>
  <si>
    <t>IT00195830559</t>
  </si>
  <si>
    <t>141310</t>
  </si>
  <si>
    <t>Terni</t>
  </si>
  <si>
    <t>Umbria</t>
  </si>
  <si>
    <t>647.</t>
  </si>
  <si>
    <t>LADY JANE S.R.L.</t>
  </si>
  <si>
    <t>01180070359</t>
  </si>
  <si>
    <t>IT01180070359</t>
  </si>
  <si>
    <t>141000</t>
  </si>
  <si>
    <t>Reggio nell'Emilia</t>
  </si>
  <si>
    <t>Emilia-Romagna</t>
  </si>
  <si>
    <t>648.</t>
  </si>
  <si>
    <t>ANGELA S.R.L.</t>
  </si>
  <si>
    <t>07837871214</t>
  </si>
  <si>
    <t>IT07837871214</t>
  </si>
  <si>
    <t>151209</t>
  </si>
  <si>
    <t>Napoli</t>
  </si>
  <si>
    <t>Campania</t>
  </si>
  <si>
    <t>n.d.</t>
  </si>
  <si>
    <t>649.</t>
  </si>
  <si>
    <t>ANTONIO FILOGRANA S.R.L.</t>
  </si>
  <si>
    <t>03723830158</t>
  </si>
  <si>
    <t>IT03723830158</t>
  </si>
  <si>
    <t>Lecce</t>
  </si>
  <si>
    <t>Puglia</t>
  </si>
  <si>
    <t>650.</t>
  </si>
  <si>
    <t>G.E.A. TECH S.R.L.</t>
  </si>
  <si>
    <t>03900270244</t>
  </si>
  <si>
    <t>IT03900270244</t>
  </si>
  <si>
    <t>Vicenza</t>
  </si>
  <si>
    <t>651.</t>
  </si>
  <si>
    <t>TRIO S.R.L.</t>
  </si>
  <si>
    <t>01620680445</t>
  </si>
  <si>
    <t>IT01620680445</t>
  </si>
  <si>
    <t>Fermo</t>
  </si>
  <si>
    <t>652.</t>
  </si>
  <si>
    <t>BI.EFFE.BI SRL</t>
  </si>
  <si>
    <t>01359570296</t>
  </si>
  <si>
    <t>IT01359570296</t>
  </si>
  <si>
    <t>Milano</t>
  </si>
  <si>
    <t>Lombardia</t>
  </si>
  <si>
    <t>653.</t>
  </si>
  <si>
    <t>ERREPLUS SADDLERY S.R.L.</t>
  </si>
  <si>
    <t>03768550240</t>
  </si>
  <si>
    <t>IT03768550240</t>
  </si>
  <si>
    <t>151200</t>
  </si>
  <si>
    <t>654.</t>
  </si>
  <si>
    <t>CONCERIA BELVEDERE S.R.L.</t>
  </si>
  <si>
    <t>03742800240</t>
  </si>
  <si>
    <t>IT03742800240</t>
  </si>
  <si>
    <t>655.</t>
  </si>
  <si>
    <t>CONDORPELLI S.P.A.</t>
  </si>
  <si>
    <t>00321070377</t>
  </si>
  <si>
    <t>IT00321070377</t>
  </si>
  <si>
    <t>142000</t>
  </si>
  <si>
    <t>656.</t>
  </si>
  <si>
    <t>LUNA S.R.L.</t>
  </si>
  <si>
    <t>01274180445</t>
  </si>
  <si>
    <t>IT01274180445</t>
  </si>
  <si>
    <t>657.</t>
  </si>
  <si>
    <t>PRODOTTI ALFA S.R.L.</t>
  </si>
  <si>
    <t>00174390187</t>
  </si>
  <si>
    <t>IT00174390187</t>
  </si>
  <si>
    <t>Pavia</t>
  </si>
  <si>
    <t>658.</t>
  </si>
  <si>
    <t>TESCON S.R.L.</t>
  </si>
  <si>
    <t>00258080670</t>
  </si>
  <si>
    <t>IT00258080670</t>
  </si>
  <si>
    <t>Teramo</t>
  </si>
  <si>
    <t>Abruzzo</t>
  </si>
  <si>
    <t>659.</t>
  </si>
  <si>
    <t>ST PROTECT S.R.L.</t>
  </si>
  <si>
    <t>02372680187</t>
  </si>
  <si>
    <t>IT02372680187</t>
  </si>
  <si>
    <t>141200</t>
  </si>
  <si>
    <t>660.</t>
  </si>
  <si>
    <t>WONDERLAND S.R.L.</t>
  </si>
  <si>
    <t>01543190340</t>
  </si>
  <si>
    <t>IT01543190340</t>
  </si>
  <si>
    <t>Parma</t>
  </si>
  <si>
    <t>661.</t>
  </si>
  <si>
    <t>A.G.B. COMPANY S.P.A.</t>
  </si>
  <si>
    <t>03545881215</t>
  </si>
  <si>
    <t>IT03545881215</t>
  </si>
  <si>
    <t>662.</t>
  </si>
  <si>
    <t>ANGELICA FASHION SRL</t>
  </si>
  <si>
    <t>03714800368</t>
  </si>
  <si>
    <t>IT03714800368</t>
  </si>
  <si>
    <t>Modena</t>
  </si>
  <si>
    <t>663.</t>
  </si>
  <si>
    <t>VENTURA S.R.L.</t>
  </si>
  <si>
    <t>03010650269</t>
  </si>
  <si>
    <t>IT03010650269</t>
  </si>
  <si>
    <t>664.</t>
  </si>
  <si>
    <t>FEEL BLUE S.R.L.</t>
  </si>
  <si>
    <t>01504010438</t>
  </si>
  <si>
    <t>IT01504010438</t>
  </si>
  <si>
    <t>Macerata</t>
  </si>
  <si>
    <t>665.</t>
  </si>
  <si>
    <t>MAS S.R.L.</t>
  </si>
  <si>
    <t>02337960393</t>
  </si>
  <si>
    <t>IT02337960393</t>
  </si>
  <si>
    <t>Ravenna</t>
  </si>
  <si>
    <t>666.</t>
  </si>
  <si>
    <t>BIANCO NELLY S.R.L.</t>
  </si>
  <si>
    <t>01529200204</t>
  </si>
  <si>
    <t>IT01529200204</t>
  </si>
  <si>
    <t>143000</t>
  </si>
  <si>
    <t>Mantova</t>
  </si>
  <si>
    <t>667.</t>
  </si>
  <si>
    <t>FLOREY MODA S.R.L.</t>
  </si>
  <si>
    <t>02421430972</t>
  </si>
  <si>
    <t>IT02421430972</t>
  </si>
  <si>
    <t>Prato</t>
  </si>
  <si>
    <t>668.</t>
  </si>
  <si>
    <t>AGNONA S.R.L.</t>
  </si>
  <si>
    <t>08838260969</t>
  </si>
  <si>
    <t>IT08838260969</t>
  </si>
  <si>
    <t>669.</t>
  </si>
  <si>
    <t>TIERRA SRL</t>
  </si>
  <si>
    <t>03601850245</t>
  </si>
  <si>
    <t>IT03601850245</t>
  </si>
  <si>
    <t>670.</t>
  </si>
  <si>
    <t>GIOVAGNOLI S.R.L.</t>
  </si>
  <si>
    <t>02415130406</t>
  </si>
  <si>
    <t>IT02415130406</t>
  </si>
  <si>
    <t>Forlì-Cesena</t>
  </si>
  <si>
    <t>671.</t>
  </si>
  <si>
    <t>TELAROSA S.R.L.</t>
  </si>
  <si>
    <t>04172960231</t>
  </si>
  <si>
    <t>IT04172960231</t>
  </si>
  <si>
    <t>Verona</t>
  </si>
  <si>
    <t>672.</t>
  </si>
  <si>
    <t>TEXITALIA - S.R.L.</t>
  </si>
  <si>
    <t>02704290010</t>
  </si>
  <si>
    <t>IT02704290010</t>
  </si>
  <si>
    <t>143900</t>
  </si>
  <si>
    <t>Torino</t>
  </si>
  <si>
    <t>Piemonte</t>
  </si>
  <si>
    <t>673.</t>
  </si>
  <si>
    <t>LEATHERLINE INTERNATIONAL S.R.L.</t>
  </si>
  <si>
    <t>03793570247</t>
  </si>
  <si>
    <t>IT03793570247</t>
  </si>
  <si>
    <t>151100</t>
  </si>
  <si>
    <t>Vicenza</t>
  </si>
  <si>
    <t>Veneto</t>
  </si>
  <si>
    <t>674.</t>
  </si>
  <si>
    <t>MANFRA ITALIA S.R.L.</t>
  </si>
  <si>
    <t>03744260369</t>
  </si>
  <si>
    <t>IT03744260369</t>
  </si>
  <si>
    <t>141310</t>
  </si>
  <si>
    <t>Modena</t>
  </si>
  <si>
    <t>Emilia-Romagna</t>
  </si>
  <si>
    <t>675.</t>
  </si>
  <si>
    <t>THIKEM S.R.L.</t>
  </si>
  <si>
    <t>01479820506</t>
  </si>
  <si>
    <t>04795880485</t>
  </si>
  <si>
    <t>IT04795880485</t>
  </si>
  <si>
    <t>676.</t>
  </si>
  <si>
    <t>CANAPE' S.R.L.</t>
  </si>
  <si>
    <t>04697580720</t>
  </si>
  <si>
    <t>IT04697580720</t>
  </si>
  <si>
    <t>152010</t>
  </si>
  <si>
    <t>Barletta-Andria-Trani</t>
  </si>
  <si>
    <t>Puglia</t>
  </si>
  <si>
    <t>677.</t>
  </si>
  <si>
    <t>CALZATURIFICIO ILARIA S.R.L.</t>
  </si>
  <si>
    <t>00884030529</t>
  </si>
  <si>
    <t>IT00884030529</t>
  </si>
  <si>
    <t>Siena</t>
  </si>
  <si>
    <t>Toscana</t>
  </si>
  <si>
    <t>678.</t>
  </si>
  <si>
    <t>MALO S.R.L.</t>
  </si>
  <si>
    <t>03473900987</t>
  </si>
  <si>
    <t>IT03473900987</t>
  </si>
  <si>
    <t>Firenze</t>
  </si>
  <si>
    <t>679.</t>
  </si>
  <si>
    <t>SAINT ANDREWS S.P.A.</t>
  </si>
  <si>
    <t>00112530415</t>
  </si>
  <si>
    <t>IT00112530415</t>
  </si>
  <si>
    <t>141000</t>
  </si>
  <si>
    <t>Pesaro e Urbino</t>
  </si>
  <si>
    <t>Marche</t>
  </si>
  <si>
    <t>680.</t>
  </si>
  <si>
    <t>GROTTO S.P.A.</t>
  </si>
  <si>
    <t>01516660246</t>
  </si>
  <si>
    <t>IT01516660246</t>
  </si>
  <si>
    <t>n.d.</t>
  </si>
  <si>
    <t>681.</t>
  </si>
  <si>
    <t>OMBRETTA S.R.L.</t>
  </si>
  <si>
    <t>08319541218</t>
  </si>
  <si>
    <t>IT08319541218</t>
  </si>
  <si>
    <t>Napoli</t>
  </si>
  <si>
    <t>Campania</t>
  </si>
  <si>
    <t>682.</t>
  </si>
  <si>
    <t>LOMA S.P.A.</t>
  </si>
  <si>
    <t>01526270358</t>
  </si>
  <si>
    <t>IT01526270358</t>
  </si>
  <si>
    <t>Reggio nell'Emilia</t>
  </si>
  <si>
    <t>683.</t>
  </si>
  <si>
    <t>REVERSE S.R.L.</t>
  </si>
  <si>
    <t>01889280127</t>
  </si>
  <si>
    <t>03018460158</t>
  </si>
  <si>
    <t>IT03018460158</t>
  </si>
  <si>
    <t>141200</t>
  </si>
  <si>
    <t>Varese</t>
  </si>
  <si>
    <t>Lombardia</t>
  </si>
  <si>
    <t>684.</t>
  </si>
  <si>
    <t>NEW COME ON F.LLI PELINGA S.R.L.</t>
  </si>
  <si>
    <t>01394550410</t>
  </si>
  <si>
    <t>IT01394550410</t>
  </si>
  <si>
    <t>685.</t>
  </si>
  <si>
    <t>CONCERIA BERTINI FRANCO 1972 S.R.L.</t>
  </si>
  <si>
    <t>00443510508</t>
  </si>
  <si>
    <t>IT00443510508</t>
  </si>
  <si>
    <t>Pisa</t>
  </si>
  <si>
    <t>686.</t>
  </si>
  <si>
    <t>MAGLIFICIO DIANA S.P.A.</t>
  </si>
  <si>
    <t>01796810974</t>
  </si>
  <si>
    <t>IT01796810974</t>
  </si>
  <si>
    <t>Prato</t>
  </si>
  <si>
    <t>687.</t>
  </si>
  <si>
    <t>MAGLIFICIO B.M. - S.R.L.</t>
  </si>
  <si>
    <t>00644610123</t>
  </si>
  <si>
    <t>IT00644610123</t>
  </si>
  <si>
    <t>688.</t>
  </si>
  <si>
    <t>FOLLIE'S GROUP S.R.L.</t>
  </si>
  <si>
    <t>06377691214</t>
  </si>
  <si>
    <t>IT06377691214</t>
  </si>
  <si>
    <t>689.</t>
  </si>
  <si>
    <t>DUVETICA INTERNATIONAL S.R.L.</t>
  </si>
  <si>
    <t>05132970285</t>
  </si>
  <si>
    <t>IT05132970285</t>
  </si>
  <si>
    <t>Milano</t>
  </si>
  <si>
    <t>690.</t>
  </si>
  <si>
    <t>GI.MEL S.R.L.</t>
  </si>
  <si>
    <t>04016530729</t>
  </si>
  <si>
    <t>IT04016530729</t>
  </si>
  <si>
    <t>Bari</t>
  </si>
  <si>
    <t>691.</t>
  </si>
  <si>
    <t>S.I.L.C.E.A. SOCIETA' INDUSTRIALE LAVORAZIONE CUOIO E AFFINI SOC. A R.L.</t>
  </si>
  <si>
    <t>00143720407</t>
  </si>
  <si>
    <t>IT00143720407</t>
  </si>
  <si>
    <t>152020</t>
  </si>
  <si>
    <t>Forlì-Cesena</t>
  </si>
  <si>
    <t>692.</t>
  </si>
  <si>
    <t>CALZATURIFICIO AUGUSTA S.R.L.</t>
  </si>
  <si>
    <t>00319690509</t>
  </si>
  <si>
    <t>IT00319690509</t>
  </si>
  <si>
    <t>152000</t>
  </si>
  <si>
    <t>693.</t>
  </si>
  <si>
    <t>CALZATURIFICIO STEPHEN S.R.L.</t>
  </si>
  <si>
    <t>02168400246</t>
  </si>
  <si>
    <t>IT02168400246</t>
  </si>
  <si>
    <t>694.</t>
  </si>
  <si>
    <t>D.L. LEATHER S.R.L.</t>
  </si>
  <si>
    <t>04005870656</t>
  </si>
  <si>
    <t>IT04005870656</t>
  </si>
  <si>
    <t>Salerno</t>
  </si>
  <si>
    <t>695.</t>
  </si>
  <si>
    <t>METAL SERVICE S.R.L.</t>
  </si>
  <si>
    <t>00779450675</t>
  </si>
  <si>
    <t>IT00779450675</t>
  </si>
  <si>
    <t>151209</t>
  </si>
  <si>
    <t>Teramo</t>
  </si>
  <si>
    <t>Abruzzo</t>
  </si>
  <si>
    <t>696.</t>
  </si>
  <si>
    <t>INTERSOCKS S.R.L.</t>
  </si>
  <si>
    <t>00765880257</t>
  </si>
  <si>
    <t>IT00765880257</t>
  </si>
  <si>
    <t>143100</t>
  </si>
  <si>
    <t>Treviso</t>
  </si>
  <si>
    <t>697.</t>
  </si>
  <si>
    <t>C.I.T. S.R.L. CONFEZIONI ITALIANE TESSILI COMMERCIO INDUSTRIA TES SUTI</t>
  </si>
  <si>
    <t>00858770159</t>
  </si>
  <si>
    <t>IT00858770159</t>
  </si>
  <si>
    <t>698.</t>
  </si>
  <si>
    <t>CO.RI SACCHETTIFICIO S.R.L.</t>
  </si>
  <si>
    <t>04732940483</t>
  </si>
  <si>
    <t>IT04732940483</t>
  </si>
  <si>
    <t>141910</t>
  </si>
  <si>
    <t>699.</t>
  </si>
  <si>
    <t>GINS S.R.L.</t>
  </si>
  <si>
    <t>04195790482</t>
  </si>
  <si>
    <t>IT04195790482</t>
  </si>
  <si>
    <t>700.</t>
  </si>
  <si>
    <t>DORA S.R.L.</t>
  </si>
  <si>
    <t>00645830985</t>
  </si>
  <si>
    <t>01662270170</t>
  </si>
  <si>
    <t>IT01662270170</t>
  </si>
  <si>
    <t>Brescia</t>
  </si>
  <si>
    <t>701.</t>
  </si>
  <si>
    <t>DUNO SOCIETA' A RESPONSABILITA' LIMITATA</t>
  </si>
  <si>
    <t>06491260482</t>
  </si>
  <si>
    <t>IT06491260482</t>
  </si>
  <si>
    <t>702.</t>
  </si>
  <si>
    <t>MAGLIERIE CAGE S.R.L.</t>
  </si>
  <si>
    <t>01528470238</t>
  </si>
  <si>
    <t>IT01528470238</t>
  </si>
  <si>
    <t>Verona</t>
  </si>
  <si>
    <t>703.</t>
  </si>
  <si>
    <t>CALZATURIFICIO ANTIS S.R.L.</t>
  </si>
  <si>
    <t>00486590268</t>
  </si>
  <si>
    <t>IT00486590268</t>
  </si>
  <si>
    <t>704.</t>
  </si>
  <si>
    <t>BARTOLINI S.R.L.</t>
  </si>
  <si>
    <t>01852160975</t>
  </si>
  <si>
    <t>01307960474</t>
  </si>
  <si>
    <t>IT01307960474</t>
  </si>
  <si>
    <t>143900</t>
  </si>
  <si>
    <t>Prato</t>
  </si>
  <si>
    <t>Toscana</t>
  </si>
  <si>
    <t>705.</t>
  </si>
  <si>
    <t>ZETABI S.R.L.</t>
  </si>
  <si>
    <t>00141170423</t>
  </si>
  <si>
    <t>IT00141170423</t>
  </si>
  <si>
    <t>141310</t>
  </si>
  <si>
    <t>Ancona</t>
  </si>
  <si>
    <t>Marche</t>
  </si>
  <si>
    <t>706.</t>
  </si>
  <si>
    <t>GUIDI 1896 S.R.L.</t>
  </si>
  <si>
    <t>01235040472</t>
  </si>
  <si>
    <t>IT01235040472</t>
  </si>
  <si>
    <t>152010</t>
  </si>
  <si>
    <t>Pistoia</t>
  </si>
  <si>
    <t>707.</t>
  </si>
  <si>
    <t>CONCATO GILBERTO SRL</t>
  </si>
  <si>
    <t>02650780246</t>
  </si>
  <si>
    <t>IT02650780246</t>
  </si>
  <si>
    <t>151100</t>
  </si>
  <si>
    <t>Vicenza</t>
  </si>
  <si>
    <t>Veneto</t>
  </si>
  <si>
    <t>708.</t>
  </si>
  <si>
    <t>EFFEBI MAGLIERIE S.R.L.</t>
  </si>
  <si>
    <t>00762950350</t>
  </si>
  <si>
    <t>IT00762950350</t>
  </si>
  <si>
    <t>Reggio nell'Emilia</t>
  </si>
  <si>
    <t>Emilia-Romagna</t>
  </si>
  <si>
    <t>709.</t>
  </si>
  <si>
    <t>GIRZA S.R.L.</t>
  </si>
  <si>
    <t>02031590231</t>
  </si>
  <si>
    <t>IT02031590231</t>
  </si>
  <si>
    <t>Verona</t>
  </si>
  <si>
    <t>710.</t>
  </si>
  <si>
    <t>CALZIFICIO BRAM S.R.L.</t>
  </si>
  <si>
    <t>01430340206</t>
  </si>
  <si>
    <t>IT01430340206</t>
  </si>
  <si>
    <t>143100</t>
  </si>
  <si>
    <t>Mantova</t>
  </si>
  <si>
    <t>Lombardia</t>
  </si>
  <si>
    <t>711.</t>
  </si>
  <si>
    <t>STOKTON SRL</t>
  </si>
  <si>
    <t>01118700473</t>
  </si>
  <si>
    <t>IT01118700473</t>
  </si>
  <si>
    <t>712.</t>
  </si>
  <si>
    <t>WHITE LINE S.R.L.</t>
  </si>
  <si>
    <t>02190221206</t>
  </si>
  <si>
    <t>03322830757</t>
  </si>
  <si>
    <t>IT03322830757</t>
  </si>
  <si>
    <t>Milano</t>
  </si>
  <si>
    <t>713.</t>
  </si>
  <si>
    <t>RADAR LEATHER DIVISION S.R.L. SIGLA RADAR SRL</t>
  </si>
  <si>
    <t>03832860484</t>
  </si>
  <si>
    <t>IT03832860484</t>
  </si>
  <si>
    <t>151209</t>
  </si>
  <si>
    <t>Firenze</t>
  </si>
  <si>
    <t>714.</t>
  </si>
  <si>
    <t>MARCO PESCAROLO S.R.L.</t>
  </si>
  <si>
    <t>05558201215</t>
  </si>
  <si>
    <t>IT05558201215</t>
  </si>
  <si>
    <t>Napoli</t>
  </si>
  <si>
    <t>Campania</t>
  </si>
  <si>
    <t>715.</t>
  </si>
  <si>
    <t>TIGLIO 2000 - S.R.L.</t>
  </si>
  <si>
    <t>00994330504</t>
  </si>
  <si>
    <t>IT00994330504</t>
  </si>
  <si>
    <t>Pisa</t>
  </si>
  <si>
    <t>716.</t>
  </si>
  <si>
    <t>MAGLIFICIO PA-TEN S.R.L.</t>
  </si>
  <si>
    <t>02194580367</t>
  </si>
  <si>
    <t>IT02194580367</t>
  </si>
  <si>
    <t>141000</t>
  </si>
  <si>
    <t>Modena</t>
  </si>
  <si>
    <t>n.d.</t>
  </si>
  <si>
    <t>717.</t>
  </si>
  <si>
    <t>DEL VACCHIO LEATHER DIFFUSION SOCIETA' A RESPONSABILITA' LIMITATA IN ABBREVIAZIONE DEL VACCHIO LEATHER DIFFUSION S.R.L.</t>
  </si>
  <si>
    <t>01993760642</t>
  </si>
  <si>
    <t>IT01993760642</t>
  </si>
  <si>
    <t>Avellino</t>
  </si>
  <si>
    <t>718.</t>
  </si>
  <si>
    <t>BANTI SOCIETA' COMMERCIALE S.R.L. IN LIQUIDAZIONE</t>
  </si>
  <si>
    <t>01130200502</t>
  </si>
  <si>
    <t>IT01130200502</t>
  </si>
  <si>
    <t>719.</t>
  </si>
  <si>
    <t>QUIBOS S.R.L.</t>
  </si>
  <si>
    <t>03114290244</t>
  </si>
  <si>
    <t>IT03114290244</t>
  </si>
  <si>
    <t>141929</t>
  </si>
  <si>
    <t>720.</t>
  </si>
  <si>
    <t>MIMOSKA S.R.L.</t>
  </si>
  <si>
    <t>05972580152</t>
  </si>
  <si>
    <t>00893080150</t>
  </si>
  <si>
    <t>IT00893080150</t>
  </si>
  <si>
    <t>721.</t>
  </si>
  <si>
    <t>AF CREATIONS S.R.L.</t>
  </si>
  <si>
    <t>01823360670</t>
  </si>
  <si>
    <t>IT01823360670</t>
  </si>
  <si>
    <t>Teramo</t>
  </si>
  <si>
    <t>Abruzzo</t>
  </si>
  <si>
    <t>722.</t>
  </si>
  <si>
    <t>JELKOM S.R.L.</t>
  </si>
  <si>
    <t>02043360979</t>
  </si>
  <si>
    <t>IT02043360979</t>
  </si>
  <si>
    <t>723.</t>
  </si>
  <si>
    <t>CALZATURIFICIO VALBRENTA S.R.L.</t>
  </si>
  <si>
    <t>00791230279</t>
  </si>
  <si>
    <t>IT00791230279</t>
  </si>
  <si>
    <t>Venezia</t>
  </si>
  <si>
    <t>724.</t>
  </si>
  <si>
    <t>TEMPESTI S.P.A.</t>
  </si>
  <si>
    <t>01077790507</t>
  </si>
  <si>
    <t>IT01077790507</t>
  </si>
  <si>
    <t>725.</t>
  </si>
  <si>
    <t>MIRA GROUP S.R.L.</t>
  </si>
  <si>
    <t>07061901216</t>
  </si>
  <si>
    <t>IT07061901216</t>
  </si>
  <si>
    <t>726.</t>
  </si>
  <si>
    <t>AMEDEO FERRANTE S.R.L.</t>
  </si>
  <si>
    <t>01080370685</t>
  </si>
  <si>
    <t>IT01080370685</t>
  </si>
  <si>
    <t>Chieti</t>
  </si>
  <si>
    <t>727.</t>
  </si>
  <si>
    <t>NUOVA ANTILOPE S.R.L.</t>
  </si>
  <si>
    <t>01376950505</t>
  </si>
  <si>
    <t>IT01376950505</t>
  </si>
  <si>
    <t>728.</t>
  </si>
  <si>
    <t>SUOLIFICIO DEL PAPA S.R.L.</t>
  </si>
  <si>
    <t>00918390436</t>
  </si>
  <si>
    <t>IT00918390436</t>
  </si>
  <si>
    <t>152020</t>
  </si>
  <si>
    <t>Macerata</t>
  </si>
  <si>
    <t>729.</t>
  </si>
  <si>
    <t>TRUCCO TESSILE S.P.A.</t>
  </si>
  <si>
    <t>00181310046</t>
  </si>
  <si>
    <t>IT00181310046</t>
  </si>
  <si>
    <t>141400</t>
  </si>
  <si>
    <t>Cuneo</t>
  </si>
  <si>
    <t>Piemonte</t>
  </si>
  <si>
    <t>730.</t>
  </si>
  <si>
    <t>CALZIFICIO PEZZINI S.R.L.</t>
  </si>
  <si>
    <t>01343910202</t>
  </si>
  <si>
    <t>IT01343910202</t>
  </si>
  <si>
    <t>731.</t>
  </si>
  <si>
    <t>CALZATURIFICIO BALDAN 88 S.R.L.</t>
  </si>
  <si>
    <t>02357750278</t>
  </si>
  <si>
    <t>02154540286</t>
  </si>
  <si>
    <t>IT02154540286</t>
  </si>
  <si>
    <t>732.</t>
  </si>
  <si>
    <t>DCA S.R.L.</t>
  </si>
  <si>
    <t>01836160679</t>
  </si>
  <si>
    <t>IT01836160679</t>
  </si>
  <si>
    <t>733.</t>
  </si>
  <si>
    <t>AREA 62 SRL</t>
  </si>
  <si>
    <t>01892800432</t>
  </si>
  <si>
    <t>IT01892800432</t>
  </si>
  <si>
    <t>734.</t>
  </si>
  <si>
    <t>DESIGN ITALIA 53 S.R.L.</t>
  </si>
  <si>
    <t>06035390969</t>
  </si>
  <si>
    <t>IT06035390969</t>
  </si>
  <si>
    <t>735.</t>
  </si>
  <si>
    <t>GRUPPO TESSILE LOGAMA S.R.L.</t>
  </si>
  <si>
    <t>05438410721</t>
  </si>
  <si>
    <t>IT05438410721</t>
  </si>
  <si>
    <t>Bari</t>
  </si>
  <si>
    <t>Puglia</t>
  </si>
  <si>
    <t>736.</t>
  </si>
  <si>
    <t>MARFUR S.R.L.</t>
  </si>
  <si>
    <t>03300460288</t>
  </si>
  <si>
    <t>02122430248</t>
  </si>
  <si>
    <t>IT02122430248</t>
  </si>
  <si>
    <t>141100</t>
  </si>
  <si>
    <t>Venezia</t>
  </si>
  <si>
    <t>Veneto</t>
  </si>
  <si>
    <t>737.</t>
  </si>
  <si>
    <t>ANNAPAOLA S.R.L.</t>
  </si>
  <si>
    <t>03573500752</t>
  </si>
  <si>
    <t>IT03573500752</t>
  </si>
  <si>
    <t>152010</t>
  </si>
  <si>
    <t>Lecce</t>
  </si>
  <si>
    <t>Puglia</t>
  </si>
  <si>
    <t>738.</t>
  </si>
  <si>
    <t>BITTO S.R.L.</t>
  </si>
  <si>
    <t>07634000967</t>
  </si>
  <si>
    <t>IT07634000967</t>
  </si>
  <si>
    <t>142000</t>
  </si>
  <si>
    <t>Milano</t>
  </si>
  <si>
    <t>Lombardia</t>
  </si>
  <si>
    <t>739.</t>
  </si>
  <si>
    <t>CALZATURIFICIO GIORGIO FABIANI S.R.L.</t>
  </si>
  <si>
    <t>01505960441</t>
  </si>
  <si>
    <t>IT01505960441</t>
  </si>
  <si>
    <t>Fermo</t>
  </si>
  <si>
    <t>Marche</t>
  </si>
  <si>
    <t>740.</t>
  </si>
  <si>
    <t>UMBRIA VERDE MATTIOLI S.R.L.</t>
  </si>
  <si>
    <t>02988160541</t>
  </si>
  <si>
    <t>IT02988160541</t>
  </si>
  <si>
    <t>143900</t>
  </si>
  <si>
    <t>Perugia</t>
  </si>
  <si>
    <t>Umbria</t>
  </si>
  <si>
    <t>741.</t>
  </si>
  <si>
    <t>DUELEGS S.R.L</t>
  </si>
  <si>
    <t>01793770205</t>
  </si>
  <si>
    <t>IT01793770205</t>
  </si>
  <si>
    <t>143100</t>
  </si>
  <si>
    <t>Mantova</t>
  </si>
  <si>
    <t>742.</t>
  </si>
  <si>
    <t>ALPHABET MAGLIFICIO S.R.L</t>
  </si>
  <si>
    <t>02187070970</t>
  </si>
  <si>
    <t>IT02187070970</t>
  </si>
  <si>
    <t>Prato</t>
  </si>
  <si>
    <t>Toscana</t>
  </si>
  <si>
    <t>n.d.</t>
  </si>
  <si>
    <t>743.</t>
  </si>
  <si>
    <t>PERWANGER S.R.L.</t>
  </si>
  <si>
    <t>02387290212</t>
  </si>
  <si>
    <t>IT02387290212</t>
  </si>
  <si>
    <t>151100</t>
  </si>
  <si>
    <t>Bolzano/Bozen</t>
  </si>
  <si>
    <t>Trentino-Alto Adige/Südtirol</t>
  </si>
  <si>
    <t>744.</t>
  </si>
  <si>
    <t>FALCOTEX S.R.L.</t>
  </si>
  <si>
    <t>03980640985</t>
  </si>
  <si>
    <t>IT03980640985</t>
  </si>
  <si>
    <t>141310</t>
  </si>
  <si>
    <t>Brescia</t>
  </si>
  <si>
    <t>745.</t>
  </si>
  <si>
    <t>CA.BI.FI.-BIANCALANI S.P.A.</t>
  </si>
  <si>
    <t>00235920030</t>
  </si>
  <si>
    <t>IT00235920030</t>
  </si>
  <si>
    <t>Novara</t>
  </si>
  <si>
    <t>Piemonte</t>
  </si>
  <si>
    <t>746.</t>
  </si>
  <si>
    <t>CALZATURIFICIO LUCA GROSSI S.R.L.</t>
  </si>
  <si>
    <t>00954790473</t>
  </si>
  <si>
    <t>IT00954790473</t>
  </si>
  <si>
    <t>Pistoia</t>
  </si>
  <si>
    <t>747.</t>
  </si>
  <si>
    <t>CONCERIA JUNIOR -S.P.A.</t>
  </si>
  <si>
    <t>00142210244</t>
  </si>
  <si>
    <t>IT00142210244</t>
  </si>
  <si>
    <t>Vicenza</t>
  </si>
  <si>
    <t>748.</t>
  </si>
  <si>
    <t>CESPO S.R.L.</t>
  </si>
  <si>
    <t>04943901217</t>
  </si>
  <si>
    <t>IT04943901217</t>
  </si>
  <si>
    <t>Napoli</t>
  </si>
  <si>
    <t>Campania</t>
  </si>
  <si>
    <t>749.</t>
  </si>
  <si>
    <t>EXCLUSIVE S.R.L.</t>
  </si>
  <si>
    <t>01710430511</t>
  </si>
  <si>
    <t>IT01710430511</t>
  </si>
  <si>
    <t>Arezzo</t>
  </si>
  <si>
    <t>750.</t>
  </si>
  <si>
    <t>L.A. LIME PROCESS S.R.L.</t>
  </si>
  <si>
    <t>03317500241</t>
  </si>
  <si>
    <t>IT03317500241</t>
  </si>
  <si>
    <t>751.</t>
  </si>
  <si>
    <t>CALZATURIFICIO ANGELO COPPOLA S.R.L.</t>
  </si>
  <si>
    <t>05014910961</t>
  </si>
  <si>
    <t>IT05014910961</t>
  </si>
  <si>
    <t>752.</t>
  </si>
  <si>
    <t>KEIDO SPORTSWEAR S.R.L.</t>
  </si>
  <si>
    <t>03491610261</t>
  </si>
  <si>
    <t>IT03491610261</t>
  </si>
  <si>
    <t>141929</t>
  </si>
  <si>
    <t>Treviso</t>
  </si>
  <si>
    <t>753.</t>
  </si>
  <si>
    <t>ANTONY S.R.L.</t>
  </si>
  <si>
    <t>04965540729</t>
  </si>
  <si>
    <t>IT04965540729</t>
  </si>
  <si>
    <t>141000</t>
  </si>
  <si>
    <t>Barletta-Andria-Trani</t>
  </si>
  <si>
    <t>754.</t>
  </si>
  <si>
    <t>ZERO INDUSTRY S.R.L.</t>
  </si>
  <si>
    <t>03032990966</t>
  </si>
  <si>
    <t>IT03032990966</t>
  </si>
  <si>
    <t>Monza e della Brianza</t>
  </si>
  <si>
    <t>755.</t>
  </si>
  <si>
    <t>IBER S.R.L.</t>
  </si>
  <si>
    <t>00479520165</t>
  </si>
  <si>
    <t>IT00479520165</t>
  </si>
  <si>
    <t>Bergamo</t>
  </si>
  <si>
    <t>756.</t>
  </si>
  <si>
    <t>MANIFATTURE IL FARO S.R.L.</t>
  </si>
  <si>
    <t>00223440504</t>
  </si>
  <si>
    <t>IT00223440504</t>
  </si>
  <si>
    <t>Pisa</t>
  </si>
  <si>
    <t>757.</t>
  </si>
  <si>
    <t>MARCO SHOES S.R.L.</t>
  </si>
  <si>
    <t>01712230505</t>
  </si>
  <si>
    <t>IT01712230505</t>
  </si>
  <si>
    <t>152020</t>
  </si>
  <si>
    <t>758.</t>
  </si>
  <si>
    <t>GENESI S.R.L.</t>
  </si>
  <si>
    <t>03811740244</t>
  </si>
  <si>
    <t>IT03811740244</t>
  </si>
  <si>
    <t>759.</t>
  </si>
  <si>
    <t>CONFEZIONI PANGO S.P.A.</t>
  </si>
  <si>
    <t>00568420988</t>
  </si>
  <si>
    <t>00512890179</t>
  </si>
  <si>
    <t>IT00512890179</t>
  </si>
  <si>
    <t>760.</t>
  </si>
  <si>
    <t>LIAPULL S.R.L.</t>
  </si>
  <si>
    <t>03670180102</t>
  </si>
  <si>
    <t>IT03670180102</t>
  </si>
  <si>
    <t>761.</t>
  </si>
  <si>
    <t>GITEX - S.R.L.</t>
  </si>
  <si>
    <t>05791190639</t>
  </si>
  <si>
    <t>IT05791190639</t>
  </si>
  <si>
    <t>762.</t>
  </si>
  <si>
    <t>ALGIS SOCIETA' PER AZIONI O, IN FORMA ABBREVIATA, ALGIS S.P.A.</t>
  </si>
  <si>
    <t>00182220061</t>
  </si>
  <si>
    <t>IT00182220061</t>
  </si>
  <si>
    <t>Alessandria</t>
  </si>
  <si>
    <t>763.</t>
  </si>
  <si>
    <t>DIEMME FASHION GROUP SRL</t>
  </si>
  <si>
    <t>04550470266</t>
  </si>
  <si>
    <t>IT04550470266</t>
  </si>
  <si>
    <t>764.</t>
  </si>
  <si>
    <t>UNIFORM S.R.L.</t>
  </si>
  <si>
    <t>01446600429</t>
  </si>
  <si>
    <t>IT01446600429</t>
  </si>
  <si>
    <t>Ancona</t>
  </si>
  <si>
    <t>765.</t>
  </si>
  <si>
    <t>CALZATURIFICIO BRUNATE SPA</t>
  </si>
  <si>
    <t>02193780133</t>
  </si>
  <si>
    <t>01215330133</t>
  </si>
  <si>
    <t>IT01215330133</t>
  </si>
  <si>
    <t>152000</t>
  </si>
  <si>
    <t>Como</t>
  </si>
  <si>
    <t>766.</t>
  </si>
  <si>
    <t>MIRIAL SOCIETA' A RESPONSABILITA' LIMITATA ALTRIMENTI ENUNCIABILE MIRIAL S.R.L.</t>
  </si>
  <si>
    <t>01689330445</t>
  </si>
  <si>
    <t>IT01689330445</t>
  </si>
  <si>
    <t>767.</t>
  </si>
  <si>
    <t>PELLETTERIA FIORENTINA MONTECRISTO S.R.L.</t>
  </si>
  <si>
    <t>06655690482</t>
  </si>
  <si>
    <t>IT06655690482</t>
  </si>
  <si>
    <t>151209</t>
  </si>
  <si>
    <t>Firenze</t>
  </si>
  <si>
    <t>768.</t>
  </si>
  <si>
    <t>ANTICA CUOIERIA GRG SRL</t>
  </si>
  <si>
    <t>01252650443</t>
  </si>
  <si>
    <t>IT01252650443</t>
  </si>
  <si>
    <t>152020</t>
  </si>
  <si>
    <t>Fermo</t>
  </si>
  <si>
    <t>Marche</t>
  </si>
  <si>
    <t>769.</t>
  </si>
  <si>
    <t>BOTTEGA DEL SARTO INDUSTRY S.R.L.</t>
  </si>
  <si>
    <t>13303011004</t>
  </si>
  <si>
    <t>IT13303011004</t>
  </si>
  <si>
    <t>141310</t>
  </si>
  <si>
    <t>Roma</t>
  </si>
  <si>
    <t>Lazio</t>
  </si>
  <si>
    <t>770.</t>
  </si>
  <si>
    <t>DELLA ROVERE - S.R.L.</t>
  </si>
  <si>
    <t>01528630385</t>
  </si>
  <si>
    <t>IT01528630385</t>
  </si>
  <si>
    <t>143900</t>
  </si>
  <si>
    <t>Ferrara</t>
  </si>
  <si>
    <t>Emilia-Romagna</t>
  </si>
  <si>
    <t>771.</t>
  </si>
  <si>
    <t>NIU' SRL</t>
  </si>
  <si>
    <t>02209350301</t>
  </si>
  <si>
    <t>IT02209350301</t>
  </si>
  <si>
    <t>Udine</t>
  </si>
  <si>
    <t>Friuli-Venezia Giulia</t>
  </si>
  <si>
    <t>772.</t>
  </si>
  <si>
    <t>G.T.M. - GRUPPO TESSILE MOLISANO - S.R.L.</t>
  </si>
  <si>
    <t>00820270700</t>
  </si>
  <si>
    <t>IT00820270700</t>
  </si>
  <si>
    <t>141929</t>
  </si>
  <si>
    <t>Campobasso</t>
  </si>
  <si>
    <t>Molise</t>
  </si>
  <si>
    <t>773.</t>
  </si>
  <si>
    <t>HENDERSON S.R.L.</t>
  </si>
  <si>
    <t>02005720285</t>
  </si>
  <si>
    <t>IT02005720285</t>
  </si>
  <si>
    <t>152010</t>
  </si>
  <si>
    <t>Padova</t>
  </si>
  <si>
    <t>Veneto</t>
  </si>
  <si>
    <t>774.</t>
  </si>
  <si>
    <t>MAGLIFICIO ITES SPA</t>
  </si>
  <si>
    <t>00133100479</t>
  </si>
  <si>
    <t>IT00133100479</t>
  </si>
  <si>
    <t>143000</t>
  </si>
  <si>
    <t>Pistoia</t>
  </si>
  <si>
    <t>Toscana</t>
  </si>
  <si>
    <t>775.</t>
  </si>
  <si>
    <t>VITTORIO VIRGILI S.R.L.</t>
  </si>
  <si>
    <t>00757210448</t>
  </si>
  <si>
    <t>IT00757210448</t>
  </si>
  <si>
    <t>776.</t>
  </si>
  <si>
    <t>CONCERIA MILANESE S.R.L.</t>
  </si>
  <si>
    <t>07502850154</t>
  </si>
  <si>
    <t>IT07502850154</t>
  </si>
  <si>
    <t>151100</t>
  </si>
  <si>
    <t>Milano</t>
  </si>
  <si>
    <t>Lombardia</t>
  </si>
  <si>
    <t>777.</t>
  </si>
  <si>
    <t>CONCERIA SABRINA S.R.L.</t>
  </si>
  <si>
    <t>03601150240</t>
  </si>
  <si>
    <t>IT03601150240</t>
  </si>
  <si>
    <t>Vicenza</t>
  </si>
  <si>
    <t>778.</t>
  </si>
  <si>
    <t>I.CO.MAN 2000 S.R.L.</t>
  </si>
  <si>
    <t>02198360733</t>
  </si>
  <si>
    <t>IT02198360733</t>
  </si>
  <si>
    <t>Taranto</t>
  </si>
  <si>
    <t>Puglia</t>
  </si>
  <si>
    <t>779.</t>
  </si>
  <si>
    <t>ANNAPURNA - S.P.A.</t>
  </si>
  <si>
    <t>01557160973</t>
  </si>
  <si>
    <t>01561190487</t>
  </si>
  <si>
    <t>IT01561190487</t>
  </si>
  <si>
    <t>Prato</t>
  </si>
  <si>
    <t>780.</t>
  </si>
  <si>
    <t>ALBER SPA</t>
  </si>
  <si>
    <t>00120010210</t>
  </si>
  <si>
    <t>IT00120010210</t>
  </si>
  <si>
    <t>141400</t>
  </si>
  <si>
    <t>Bolzano/Bozen</t>
  </si>
  <si>
    <t>Trentino-Alto Adige/Südtirol</t>
  </si>
  <si>
    <t>781.</t>
  </si>
  <si>
    <t>TACCHIFICIO DI MOLINELLA S.P.A.</t>
  </si>
  <si>
    <t>00580401206</t>
  </si>
  <si>
    <t>02466040371</t>
  </si>
  <si>
    <t>IT02466040371</t>
  </si>
  <si>
    <t>Bologna</t>
  </si>
  <si>
    <t>782.</t>
  </si>
  <si>
    <t>DANIELE FIESOLI S.R.L.</t>
  </si>
  <si>
    <t>06683410481</t>
  </si>
  <si>
    <t>IT06683410481</t>
  </si>
  <si>
    <t>Firenze</t>
  </si>
  <si>
    <t>783.</t>
  </si>
  <si>
    <t>CALZIFICIO PRIMATO S.R.L.</t>
  </si>
  <si>
    <t>01982950204</t>
  </si>
  <si>
    <t>IT01982950204</t>
  </si>
  <si>
    <t>143100</t>
  </si>
  <si>
    <t>Mantova</t>
  </si>
  <si>
    <t>784.</t>
  </si>
  <si>
    <t>STRATEGIA SOCIETA' A RESPONSABILITA' LIMITATA ENUNCIABILE ANCHE STRATEGIA S.R.L.</t>
  </si>
  <si>
    <t>01146180433</t>
  </si>
  <si>
    <t>IT01146180433</t>
  </si>
  <si>
    <t>Macerata</t>
  </si>
  <si>
    <t>785.</t>
  </si>
  <si>
    <t>IDEA MODA S.R.L.</t>
  </si>
  <si>
    <t>03391860289</t>
  </si>
  <si>
    <t>IT03391860289</t>
  </si>
  <si>
    <t>141000</t>
  </si>
  <si>
    <t>786.</t>
  </si>
  <si>
    <t>FIRENZE MODA S.R.L.</t>
  </si>
  <si>
    <t>00912410487</t>
  </si>
  <si>
    <t>IT00912410487</t>
  </si>
  <si>
    <t>151209</t>
  </si>
  <si>
    <t>787.</t>
  </si>
  <si>
    <t>ELDA TRADE SRL .</t>
  </si>
  <si>
    <t>01006570434</t>
  </si>
  <si>
    <t>IT01006570434</t>
  </si>
  <si>
    <t>151200</t>
  </si>
  <si>
    <t>788.</t>
  </si>
  <si>
    <t>DOMINA S.R.L.</t>
  </si>
  <si>
    <t>01308660503</t>
  </si>
  <si>
    <t>04003300482</t>
  </si>
  <si>
    <t>IT04003300482</t>
  </si>
  <si>
    <t>789.</t>
  </si>
  <si>
    <t>DIOTTO S.R.L.</t>
  </si>
  <si>
    <t>04704790262</t>
  </si>
  <si>
    <t>IT04704790262</t>
  </si>
  <si>
    <t>Treviso</t>
  </si>
  <si>
    <t>790.</t>
  </si>
  <si>
    <t>ERMAN S.R.L.</t>
  </si>
  <si>
    <t>05250130720</t>
  </si>
  <si>
    <t>IT05250130720</t>
  </si>
  <si>
    <t>Barletta-Andria-Trani</t>
  </si>
  <si>
    <t>791.</t>
  </si>
  <si>
    <t>SANYLEG SRL</t>
  </si>
  <si>
    <t>02532960206</t>
  </si>
  <si>
    <t>IT02532960206</t>
  </si>
  <si>
    <t>792.</t>
  </si>
  <si>
    <t>DONNA ESSE - S.R.L.</t>
  </si>
  <si>
    <t>00994470391</t>
  </si>
  <si>
    <t>IT00994470391</t>
  </si>
  <si>
    <t>Ravenna</t>
  </si>
  <si>
    <t>793.</t>
  </si>
  <si>
    <t>MODA ITALIA S.R.L.</t>
  </si>
  <si>
    <t>02675460410</t>
  </si>
  <si>
    <t>IT02675460410</t>
  </si>
  <si>
    <t>Pesaro e Urbino</t>
  </si>
  <si>
    <t>794.</t>
  </si>
  <si>
    <t>PROENZA SCHOULER ITALIA S.R.L.</t>
  </si>
  <si>
    <t>06132520963</t>
  </si>
  <si>
    <t>IT06132520963</t>
  </si>
  <si>
    <t>795.</t>
  </si>
  <si>
    <t>CALZIFICIO PINELLI S.R.L.</t>
  </si>
  <si>
    <t>00383000205</t>
  </si>
  <si>
    <t>IT00383000205</t>
  </si>
  <si>
    <t>n.d.</t>
  </si>
  <si>
    <t>796.</t>
  </si>
  <si>
    <t>DNA S.R.L.</t>
  </si>
  <si>
    <t>03946260274</t>
  </si>
  <si>
    <t>IT03946260274</t>
  </si>
  <si>
    <t>Venezia</t>
  </si>
  <si>
    <t>797.</t>
  </si>
  <si>
    <t>MARCHESINI S.R.L.</t>
  </si>
  <si>
    <t>02174170239</t>
  </si>
  <si>
    <t>IT02174170239</t>
  </si>
  <si>
    <t>Verona</t>
  </si>
  <si>
    <t>798.</t>
  </si>
  <si>
    <t>MARIFLOS S.R.L.</t>
  </si>
  <si>
    <t>01831010135</t>
  </si>
  <si>
    <t>IT01831010135</t>
  </si>
  <si>
    <t>Como</t>
  </si>
  <si>
    <t>799.</t>
  </si>
  <si>
    <t>MANRICO S.P.A.</t>
  </si>
  <si>
    <t>02188090548</t>
  </si>
  <si>
    <t>IT02188090548</t>
  </si>
  <si>
    <t>Perugia</t>
  </si>
  <si>
    <t>Umbria</t>
  </si>
  <si>
    <t>800.</t>
  </si>
  <si>
    <t>SCAMOSCERIA ASTICO SRL</t>
  </si>
  <si>
    <t>00147470249</t>
  </si>
  <si>
    <t>IT00147470249</t>
  </si>
  <si>
    <t>151100</t>
  </si>
  <si>
    <t>Vicenza</t>
  </si>
  <si>
    <t>Veneto</t>
  </si>
  <si>
    <t>801.</t>
  </si>
  <si>
    <t>MIAMI SRL</t>
  </si>
  <si>
    <t>00996700431</t>
  </si>
  <si>
    <t>IT00996700431</t>
  </si>
  <si>
    <t>152020</t>
  </si>
  <si>
    <t>Macerata</t>
  </si>
  <si>
    <t>Marche</t>
  </si>
  <si>
    <t>802.</t>
  </si>
  <si>
    <t>GLORIA MED - S.P.A.</t>
  </si>
  <si>
    <t>00230380131</t>
  </si>
  <si>
    <t>IT00230380131</t>
  </si>
  <si>
    <t>141929</t>
  </si>
  <si>
    <t>Como</t>
  </si>
  <si>
    <t>Lombardia</t>
  </si>
  <si>
    <t>803.</t>
  </si>
  <si>
    <t>CONCERIA AMBASSADOR - S.P.A.</t>
  </si>
  <si>
    <t>01027140506</t>
  </si>
  <si>
    <t>IT01027140506</t>
  </si>
  <si>
    <t>Pisa</t>
  </si>
  <si>
    <t>Toscana</t>
  </si>
  <si>
    <t>804.</t>
  </si>
  <si>
    <t>ARKIMEDIA S.R.L.</t>
  </si>
  <si>
    <t>02607930282</t>
  </si>
  <si>
    <t>IT02607930282</t>
  </si>
  <si>
    <t>151209</t>
  </si>
  <si>
    <t>Padova</t>
  </si>
  <si>
    <t>805.</t>
  </si>
  <si>
    <t>TIGAMARO S.R.L</t>
  </si>
  <si>
    <t>01560111005</t>
  </si>
  <si>
    <t>06493850587</t>
  </si>
  <si>
    <t>IT06493850587</t>
  </si>
  <si>
    <t>806.</t>
  </si>
  <si>
    <t>TI STYLE IT S.R.L.</t>
  </si>
  <si>
    <t>03382240541</t>
  </si>
  <si>
    <t>IT03382240541</t>
  </si>
  <si>
    <t>141310</t>
  </si>
  <si>
    <t>Perugia</t>
  </si>
  <si>
    <t>Umbria</t>
  </si>
  <si>
    <t>807.</t>
  </si>
  <si>
    <t>MSGM KID S.R.L.</t>
  </si>
  <si>
    <t>11212350968</t>
  </si>
  <si>
    <t>IT11212350968</t>
  </si>
  <si>
    <t>Milano</t>
  </si>
  <si>
    <t>808.</t>
  </si>
  <si>
    <t>ERLIVIA S.R.L.</t>
  </si>
  <si>
    <t>05921480157</t>
  </si>
  <si>
    <t>IT05921480157</t>
  </si>
  <si>
    <t>141100</t>
  </si>
  <si>
    <t>809.</t>
  </si>
  <si>
    <t>GREDA S.R.L.</t>
  </si>
  <si>
    <t>02431100367</t>
  </si>
  <si>
    <t>IT02431100367</t>
  </si>
  <si>
    <t>Modena</t>
  </si>
  <si>
    <t>Emilia-Romagna</t>
  </si>
  <si>
    <t>810.</t>
  </si>
  <si>
    <t>CHIORINO VENETO S.R.L.</t>
  </si>
  <si>
    <t>01889470264</t>
  </si>
  <si>
    <t>IT01889470264</t>
  </si>
  <si>
    <t>Treviso</t>
  </si>
  <si>
    <t>811.</t>
  </si>
  <si>
    <t>HADAM'S CREAZIONI S.R.L.</t>
  </si>
  <si>
    <t>00494460355</t>
  </si>
  <si>
    <t>IT00494460355</t>
  </si>
  <si>
    <t>143000</t>
  </si>
  <si>
    <t>Reggio nell'Emilia</t>
  </si>
  <si>
    <t>812.</t>
  </si>
  <si>
    <t>VENTESIMO FOREVER SOCIETA' A RESPONSABILITA' LIMITATA</t>
  </si>
  <si>
    <t>03671060485</t>
  </si>
  <si>
    <t>IT03671060485</t>
  </si>
  <si>
    <t>141910</t>
  </si>
  <si>
    <t>Firenze</t>
  </si>
  <si>
    <t>813.</t>
  </si>
  <si>
    <t>NEMESIS S.R.L.</t>
  </si>
  <si>
    <t>04612670267</t>
  </si>
  <si>
    <t>IT04612670267</t>
  </si>
  <si>
    <t>814.</t>
  </si>
  <si>
    <t>CONCERIA U.RUSSO S.R.L.</t>
  </si>
  <si>
    <t>01970610638</t>
  </si>
  <si>
    <t>IT01970610638</t>
  </si>
  <si>
    <t>Napoli</t>
  </si>
  <si>
    <t>Campania</t>
  </si>
  <si>
    <t>815.</t>
  </si>
  <si>
    <t>CAMAC S.R.L.</t>
  </si>
  <si>
    <t>01157090406</t>
  </si>
  <si>
    <t>IT01157090406</t>
  </si>
  <si>
    <t>Forlì-Cesena</t>
  </si>
  <si>
    <t>816.</t>
  </si>
  <si>
    <t>META S.R.L.</t>
  </si>
  <si>
    <t>02092260518</t>
  </si>
  <si>
    <t>IT02092260518</t>
  </si>
  <si>
    <t>Arezzo</t>
  </si>
  <si>
    <t>817.</t>
  </si>
  <si>
    <t>CESARE MARTINOLI - CAIMAR S.R.L. O PER BREVITA' CAIMAR S.R.L.</t>
  </si>
  <si>
    <t>00182320184</t>
  </si>
  <si>
    <t>IT00182320184</t>
  </si>
  <si>
    <t>152010</t>
  </si>
  <si>
    <t>Pavia</t>
  </si>
  <si>
    <t>818.</t>
  </si>
  <si>
    <t>LE TRICOT PERUGIA S.P.A.</t>
  </si>
  <si>
    <t>02211710989</t>
  </si>
  <si>
    <t>IT02211710989</t>
  </si>
  <si>
    <t>143900</t>
  </si>
  <si>
    <t>819.</t>
  </si>
  <si>
    <t>COPY COMPANY S.R.L.</t>
  </si>
  <si>
    <t>01483540355</t>
  </si>
  <si>
    <t>IT01483540355</t>
  </si>
  <si>
    <t>820.</t>
  </si>
  <si>
    <t>S.E.A. S.R.L. (SOCIETA' EUROPEA ABBIGLIAMENTO)</t>
  </si>
  <si>
    <t>01800520361</t>
  </si>
  <si>
    <t>IT01800520361</t>
  </si>
  <si>
    <t>141000</t>
  </si>
  <si>
    <t>821.</t>
  </si>
  <si>
    <t>CASILLO ABBIGLIAMENTO S.R.L.</t>
  </si>
  <si>
    <t>03539011217</t>
  </si>
  <si>
    <t>IT03539011217</t>
  </si>
  <si>
    <t>n.d.</t>
  </si>
  <si>
    <t>822.</t>
  </si>
  <si>
    <t>MIRANDA GROUP S.R.L.</t>
  </si>
  <si>
    <t>07549901218</t>
  </si>
  <si>
    <t>IT07549901218</t>
  </si>
  <si>
    <t>823.</t>
  </si>
  <si>
    <t>CONCERIA FRACCA S.R.L.</t>
  </si>
  <si>
    <t>03645720248</t>
  </si>
  <si>
    <t>IT03645720248</t>
  </si>
  <si>
    <t>824.</t>
  </si>
  <si>
    <t>ITAL LEATHER SOURCE S.R.L.</t>
  </si>
  <si>
    <t>03578480240</t>
  </si>
  <si>
    <t>IT03578480240</t>
  </si>
  <si>
    <t>825.</t>
  </si>
  <si>
    <t>LUXURY JERSEY S.R.L.</t>
  </si>
  <si>
    <t>07514470967</t>
  </si>
  <si>
    <t>IT07514470967</t>
  </si>
  <si>
    <t>826.</t>
  </si>
  <si>
    <t>MOFRA SHOES S.R.L.</t>
  </si>
  <si>
    <t>04262310727</t>
  </si>
  <si>
    <t>IT04262310727</t>
  </si>
  <si>
    <t>Barletta-Andria-Trani</t>
  </si>
  <si>
    <t>Puglia</t>
  </si>
  <si>
    <t>827.</t>
  </si>
  <si>
    <t>AUDES GROUP S.R.L.</t>
  </si>
  <si>
    <t>04014850285</t>
  </si>
  <si>
    <t>IT04014850285</t>
  </si>
  <si>
    <t>828.</t>
  </si>
  <si>
    <t>CALZATURIFICIO EFFE TRE S.R.L.</t>
  </si>
  <si>
    <t>01151070263</t>
  </si>
  <si>
    <t>IT01151070263</t>
  </si>
  <si>
    <t>829.</t>
  </si>
  <si>
    <t>SACCHETTI MAGLIERIE S.R.L.</t>
  </si>
  <si>
    <t>02459870362</t>
  </si>
  <si>
    <t>IT02459870362</t>
  </si>
  <si>
    <t>830.</t>
  </si>
  <si>
    <t>ONLY LEATHER S.R.L.</t>
  </si>
  <si>
    <t>05023080483</t>
  </si>
  <si>
    <t>IT05023080483</t>
  </si>
  <si>
    <t>831.</t>
  </si>
  <si>
    <t>SCUDERI S.R.L.</t>
  </si>
  <si>
    <t>04707391001</t>
  </si>
  <si>
    <t>IT04707391001</t>
  </si>
  <si>
    <t>Roma</t>
  </si>
  <si>
    <t>Lazio</t>
  </si>
  <si>
    <t>832.</t>
  </si>
  <si>
    <t>JACO PELLAMI SRL</t>
  </si>
  <si>
    <t>03349330237</t>
  </si>
  <si>
    <t>IT03349330237</t>
  </si>
  <si>
    <t>151100</t>
  </si>
  <si>
    <t>Verona</t>
  </si>
  <si>
    <t>Veneto</t>
  </si>
  <si>
    <t>833.</t>
  </si>
  <si>
    <t>CALZE G.T. SRL</t>
  </si>
  <si>
    <t>01380780203</t>
  </si>
  <si>
    <t>IT01380780203</t>
  </si>
  <si>
    <t>141400</t>
  </si>
  <si>
    <t>Mantova</t>
  </si>
  <si>
    <t>Lombardia</t>
  </si>
  <si>
    <t>834.</t>
  </si>
  <si>
    <t>ABBIGLIAMENTO JESSYCA S.R.L.</t>
  </si>
  <si>
    <t>02224180972</t>
  </si>
  <si>
    <t>IT02224180972</t>
  </si>
  <si>
    <t>141310</t>
  </si>
  <si>
    <t>Prato</t>
  </si>
  <si>
    <t>Toscana</t>
  </si>
  <si>
    <t>835.</t>
  </si>
  <si>
    <t>PODARTIS SRL</t>
  </si>
  <si>
    <t>03669600268</t>
  </si>
  <si>
    <t>IT03669600268</t>
  </si>
  <si>
    <t>152010</t>
  </si>
  <si>
    <t>Treviso</t>
  </si>
  <si>
    <t>836.</t>
  </si>
  <si>
    <t>GRUPPO FRANGIPANI S.R.L.</t>
  </si>
  <si>
    <t>01976020519</t>
  </si>
  <si>
    <t>IT01976020519</t>
  </si>
  <si>
    <t>151209</t>
  </si>
  <si>
    <t>Arezzo</t>
  </si>
  <si>
    <t>837.</t>
  </si>
  <si>
    <t>NOPE S.R.L.</t>
  </si>
  <si>
    <t>03843310248</t>
  </si>
  <si>
    <t>IT03843310248</t>
  </si>
  <si>
    <t>Vicenza</t>
  </si>
  <si>
    <t>838.</t>
  </si>
  <si>
    <t>MAPEL COMPONENTS S.R.L.</t>
  </si>
  <si>
    <t>01884090125</t>
  </si>
  <si>
    <t>IT01884090125</t>
  </si>
  <si>
    <t>Varese</t>
  </si>
  <si>
    <t>839.</t>
  </si>
  <si>
    <t>C.P.A. SRL CENTRO PRODUZIONE ABBIGLIAMENTO</t>
  </si>
  <si>
    <t>02863960270</t>
  </si>
  <si>
    <t>IT02863960270</t>
  </si>
  <si>
    <t>141000</t>
  </si>
  <si>
    <t>Venezia</t>
  </si>
  <si>
    <t>840.</t>
  </si>
  <si>
    <t>CONCERIA MARCO POLO S.R.L.</t>
  </si>
  <si>
    <t>00631810249</t>
  </si>
  <si>
    <t>IT00631810249</t>
  </si>
  <si>
    <t>841.</t>
  </si>
  <si>
    <t>F.A.M.A.R. S.R.L.</t>
  </si>
  <si>
    <t>01197330382</t>
  </si>
  <si>
    <t>IT01197330382</t>
  </si>
  <si>
    <t>Ferrara</t>
  </si>
  <si>
    <t>Emilia-Romagna</t>
  </si>
  <si>
    <t>842.</t>
  </si>
  <si>
    <t>BIAFER S.R.L.</t>
  </si>
  <si>
    <t>01786400125</t>
  </si>
  <si>
    <t>00689830156</t>
  </si>
  <si>
    <t>IT00689830156</t>
  </si>
  <si>
    <t>152020</t>
  </si>
  <si>
    <t>843.</t>
  </si>
  <si>
    <t>NOVELLA CONFEZIONI S.R.L.</t>
  </si>
  <si>
    <t>02558930547</t>
  </si>
  <si>
    <t>IT02558930547</t>
  </si>
  <si>
    <t>143900</t>
  </si>
  <si>
    <t>Perugia</t>
  </si>
  <si>
    <t>Umbria</t>
  </si>
  <si>
    <t>844.</t>
  </si>
  <si>
    <t>CONFEZIONI LA ROSA S.R.L.</t>
  </si>
  <si>
    <t>00183520121</t>
  </si>
  <si>
    <t>IT00183520121</t>
  </si>
  <si>
    <t>845.</t>
  </si>
  <si>
    <t>SUOLIFICIO G.F.G. S.R.L.</t>
  </si>
  <si>
    <t>00363700501</t>
  </si>
  <si>
    <t>IT00363700501</t>
  </si>
  <si>
    <t>Pisa</t>
  </si>
  <si>
    <t>846.</t>
  </si>
  <si>
    <t>GIESSEGI S.R.L.</t>
  </si>
  <si>
    <t>03698180266</t>
  </si>
  <si>
    <t>IT03698180266</t>
  </si>
  <si>
    <t>141929</t>
  </si>
  <si>
    <t>847.</t>
  </si>
  <si>
    <t>MAGLIFICIO MARTA CAROLLO S.R.L.</t>
  </si>
  <si>
    <t>01782450249</t>
  </si>
  <si>
    <t>IT01782450249</t>
  </si>
  <si>
    <t>n.d.</t>
  </si>
  <si>
    <t>848.</t>
  </si>
  <si>
    <t>MAGLIFICIO NOBA S.R.L. ABBREVIABILE: NOBA S.R.L.</t>
  </si>
  <si>
    <t>00134110469</t>
  </si>
  <si>
    <t>IT00134110469</t>
  </si>
  <si>
    <t>Lucca</t>
  </si>
  <si>
    <t>849.</t>
  </si>
  <si>
    <t>VISCONF - S.R.L.</t>
  </si>
  <si>
    <t>00429740483</t>
  </si>
  <si>
    <t>IT00429740483</t>
  </si>
  <si>
    <t>Firenze</t>
  </si>
  <si>
    <t>850.</t>
  </si>
  <si>
    <t>CONCERIA CO.RI.PEL. S.P.A.</t>
  </si>
  <si>
    <t>05013500482</t>
  </si>
  <si>
    <t>IT05013500482</t>
  </si>
  <si>
    <t>851.</t>
  </si>
  <si>
    <t>W - Z INTERNATIONAL S.R.L.</t>
  </si>
  <si>
    <t>02147830174</t>
  </si>
  <si>
    <t>IT02147830174</t>
  </si>
  <si>
    <t>Brescia</t>
  </si>
  <si>
    <t>852.</t>
  </si>
  <si>
    <t>ARTIGIANO DEL CUOIO - S.R.L.</t>
  </si>
  <si>
    <t>00993370501</t>
  </si>
  <si>
    <t>IT00993370501</t>
  </si>
  <si>
    <t>853.</t>
  </si>
  <si>
    <t>STYLE UP S.R.L.</t>
  </si>
  <si>
    <t>02383300411</t>
  </si>
  <si>
    <t>IT02383300411</t>
  </si>
  <si>
    <t>Pesaro e Urbino</t>
  </si>
  <si>
    <t>Marche</t>
  </si>
  <si>
    <t>854.</t>
  </si>
  <si>
    <t>CALZATURIFICIO GIOVANNI FABIANI S.R.L.</t>
  </si>
  <si>
    <t>00966430449</t>
  </si>
  <si>
    <t>IT00966430449</t>
  </si>
  <si>
    <t>Fermo</t>
  </si>
  <si>
    <t>855.</t>
  </si>
  <si>
    <t>CONCERIA VIGNOLA S.R.L. DI VIGNOLA GERARDINO RAFFAELE &amp; UMBER- TO , IN ABBREVIAZIONE CONCERIA VIGNOLA S.R.L.</t>
  </si>
  <si>
    <t>01902810645</t>
  </si>
  <si>
    <t>IT01902810645</t>
  </si>
  <si>
    <t>Milano</t>
  </si>
  <si>
    <t>856.</t>
  </si>
  <si>
    <t>G.S.M. S.R.L.</t>
  </si>
  <si>
    <t>02946350366</t>
  </si>
  <si>
    <t>IT02946350366</t>
  </si>
  <si>
    <t>141910</t>
  </si>
  <si>
    <t>Modena</t>
  </si>
  <si>
    <t>857.</t>
  </si>
  <si>
    <t>ML GROUP S.R.L.</t>
  </si>
  <si>
    <t>01877830503</t>
  </si>
  <si>
    <t>IT01877830503</t>
  </si>
  <si>
    <t>858.</t>
  </si>
  <si>
    <t>ALEX &amp; CO. S.R.L.</t>
  </si>
  <si>
    <t>06956590480</t>
  </si>
  <si>
    <t>IT06956590480</t>
  </si>
  <si>
    <t>141100</t>
  </si>
  <si>
    <t>859.</t>
  </si>
  <si>
    <t>CALZATURE F.LLI LOTTI S.R.L.</t>
  </si>
  <si>
    <t>06328300725</t>
  </si>
  <si>
    <t>IT06328300725</t>
  </si>
  <si>
    <t>Barletta-Andria-Trani</t>
  </si>
  <si>
    <t>Puglia</t>
  </si>
  <si>
    <t>860.</t>
  </si>
  <si>
    <t>GINO FERRUZZI S.R.L.</t>
  </si>
  <si>
    <t>04413110489</t>
  </si>
  <si>
    <t>IT04413110489</t>
  </si>
  <si>
    <t>861.</t>
  </si>
  <si>
    <t>PARISINI PELLETTERIE S.R.L.</t>
  </si>
  <si>
    <t>00510250376</t>
  </si>
  <si>
    <t>IT00510250376</t>
  </si>
  <si>
    <t>151200</t>
  </si>
  <si>
    <t>Bologna</t>
  </si>
  <si>
    <t>862.</t>
  </si>
  <si>
    <t>B.M. S.R.L.</t>
  </si>
  <si>
    <t>01682590474</t>
  </si>
  <si>
    <t>IT01682590474</t>
  </si>
  <si>
    <t>Pistoia</t>
  </si>
  <si>
    <t>863.</t>
  </si>
  <si>
    <t>NILVIA S.R.L.</t>
  </si>
  <si>
    <t>01468030240</t>
  </si>
  <si>
    <t>IT01468030240</t>
  </si>
  <si>
    <t>864.</t>
  </si>
  <si>
    <t>AZZURRA &amp; COMPANY S.R.L.</t>
  </si>
  <si>
    <t>02457520365</t>
  </si>
  <si>
    <t>IT02457520365</t>
  </si>
  <si>
    <t>141310</t>
  </si>
  <si>
    <t>Modena</t>
  </si>
  <si>
    <t>Emilia-Romagna</t>
  </si>
  <si>
    <t>865.</t>
  </si>
  <si>
    <t>ENTERPRISE - S.R.L.</t>
  </si>
  <si>
    <t>01120190507</t>
  </si>
  <si>
    <t>IT01120190507</t>
  </si>
  <si>
    <t>151100</t>
  </si>
  <si>
    <t>Pisa</t>
  </si>
  <si>
    <t>Toscana</t>
  </si>
  <si>
    <t>866.</t>
  </si>
  <si>
    <t>SWING JEANS S.R.L.</t>
  </si>
  <si>
    <t>03996781211</t>
  </si>
  <si>
    <t>IT03996781211</t>
  </si>
  <si>
    <t>141000</t>
  </si>
  <si>
    <t>Napoli</t>
  </si>
  <si>
    <t>Campania</t>
  </si>
  <si>
    <t>867.</t>
  </si>
  <si>
    <t>CALZIFICIO EIRE S.R.L.</t>
  </si>
  <si>
    <t>00385800206</t>
  </si>
  <si>
    <t>IT00385800206</t>
  </si>
  <si>
    <t>143100</t>
  </si>
  <si>
    <t>Mantova</t>
  </si>
  <si>
    <t>Lombardia</t>
  </si>
  <si>
    <t>868.</t>
  </si>
  <si>
    <t>BABYLON - S.R.L.</t>
  </si>
  <si>
    <t>00579761206</t>
  </si>
  <si>
    <t>02459360372</t>
  </si>
  <si>
    <t>IT02459360372</t>
  </si>
  <si>
    <t>Bologna</t>
  </si>
  <si>
    <t>869.</t>
  </si>
  <si>
    <t>GIDUE PELLAMI S.R.L.</t>
  </si>
  <si>
    <t>03686360243</t>
  </si>
  <si>
    <t>IT03686360243</t>
  </si>
  <si>
    <t>Vicenza</t>
  </si>
  <si>
    <t>Veneto</t>
  </si>
  <si>
    <t>870.</t>
  </si>
  <si>
    <t>ITALBORDI SRL</t>
  </si>
  <si>
    <t>04157620271</t>
  </si>
  <si>
    <t>IT04157620271</t>
  </si>
  <si>
    <t>152020</t>
  </si>
  <si>
    <t>Venezia</t>
  </si>
  <si>
    <t>871.</t>
  </si>
  <si>
    <t>CATRIA CONFEZIONI S.P.A.</t>
  </si>
  <si>
    <t>00162040414</t>
  </si>
  <si>
    <t>IT00162040414</t>
  </si>
  <si>
    <t>Pesaro e Urbino</t>
  </si>
  <si>
    <t>Marche</t>
  </si>
  <si>
    <t>872.</t>
  </si>
  <si>
    <t>BRENTA SUOLE S.R.L.</t>
  </si>
  <si>
    <t>00804250280</t>
  </si>
  <si>
    <t>IT00804250280</t>
  </si>
  <si>
    <t>873.</t>
  </si>
  <si>
    <t>FASHIONART S.P.A.</t>
  </si>
  <si>
    <t>03656480286</t>
  </si>
  <si>
    <t>IT03656480286</t>
  </si>
  <si>
    <t>Padova</t>
  </si>
  <si>
    <t>874.</t>
  </si>
  <si>
    <t>VEGA HOLSTER S.R.L.</t>
  </si>
  <si>
    <t>01300980503</t>
  </si>
  <si>
    <t>IT01300980503</t>
  </si>
  <si>
    <t>151209</t>
  </si>
  <si>
    <t>875.</t>
  </si>
  <si>
    <t>EUDIA S.R.L.</t>
  </si>
  <si>
    <t>02315710166</t>
  </si>
  <si>
    <t>IT02315710166</t>
  </si>
  <si>
    <t>Bergamo</t>
  </si>
  <si>
    <t>876.</t>
  </si>
  <si>
    <t>ATELIER STIMAMIGLIO S.R.L.</t>
  </si>
  <si>
    <t>00656960242</t>
  </si>
  <si>
    <t>IT00656960242</t>
  </si>
  <si>
    <t>877.</t>
  </si>
  <si>
    <t>PLABER S.R.L.</t>
  </si>
  <si>
    <t>03312270246</t>
  </si>
  <si>
    <t>IT03312270246</t>
  </si>
  <si>
    <t>878.</t>
  </si>
  <si>
    <t>MARLEATHER SRL</t>
  </si>
  <si>
    <t>03738010242</t>
  </si>
  <si>
    <t>IT03738010242</t>
  </si>
  <si>
    <t>879.</t>
  </si>
  <si>
    <t>FRATELLI GUARINO DI DONATO S.R.L.</t>
  </si>
  <si>
    <t>00077660645</t>
  </si>
  <si>
    <t>IT00077660645</t>
  </si>
  <si>
    <t>Avellino</t>
  </si>
  <si>
    <t>n.d.</t>
  </si>
  <si>
    <t>880.</t>
  </si>
  <si>
    <t>ANN-MAX S.R.L.</t>
  </si>
  <si>
    <t>01545460360</t>
  </si>
  <si>
    <t>IT01545460360</t>
  </si>
  <si>
    <t>143900</t>
  </si>
  <si>
    <t>881.</t>
  </si>
  <si>
    <t>BBF GAMBETTI S.R.L.</t>
  </si>
  <si>
    <t>01365730207</t>
  </si>
  <si>
    <t>IT01365730207</t>
  </si>
  <si>
    <t>882.</t>
  </si>
  <si>
    <t>S.P.A.C. S.R.L.</t>
  </si>
  <si>
    <t>00451540231</t>
  </si>
  <si>
    <t>IT00451540231</t>
  </si>
  <si>
    <t>Verona</t>
  </si>
  <si>
    <t>883.</t>
  </si>
  <si>
    <t>CALZATURIFICIO PERON S.R.L.</t>
  </si>
  <si>
    <t>00330560277</t>
  </si>
  <si>
    <t>IT00330560277</t>
  </si>
  <si>
    <t>152010</t>
  </si>
  <si>
    <t>884.</t>
  </si>
  <si>
    <t>CALBA - S.R.L.</t>
  </si>
  <si>
    <t>00779810126</t>
  </si>
  <si>
    <t>IT00779810126</t>
  </si>
  <si>
    <t>Varese</t>
  </si>
  <si>
    <t>885.</t>
  </si>
  <si>
    <t>SND SRL</t>
  </si>
  <si>
    <t>01903590436</t>
  </si>
  <si>
    <t>IT01903590436</t>
  </si>
  <si>
    <t>Macerata</t>
  </si>
  <si>
    <t>886.</t>
  </si>
  <si>
    <t>AESSE S.R.L.</t>
  </si>
  <si>
    <t>01761270238</t>
  </si>
  <si>
    <t>IT01761270238</t>
  </si>
  <si>
    <t>887.</t>
  </si>
  <si>
    <t>MAGLIFICIO VENEZIA S.R.L.</t>
  </si>
  <si>
    <t>03054090273</t>
  </si>
  <si>
    <t>IT03054090273</t>
  </si>
  <si>
    <t>888.</t>
  </si>
  <si>
    <t>GISER S.R.L.</t>
  </si>
  <si>
    <t>07318580631</t>
  </si>
  <si>
    <t>IT07318580631</t>
  </si>
  <si>
    <t>889.</t>
  </si>
  <si>
    <t>ASG INTERNATIONAL S.R.L.</t>
  </si>
  <si>
    <t>03655610248</t>
  </si>
  <si>
    <t>IT03655610248</t>
  </si>
  <si>
    <t>890.</t>
  </si>
  <si>
    <t>CALZATURIFICIO MARTINI S.R.L.</t>
  </si>
  <si>
    <t>01103500037</t>
  </si>
  <si>
    <t>IT01103500037</t>
  </si>
  <si>
    <t>Novara</t>
  </si>
  <si>
    <t>Piemonte</t>
  </si>
  <si>
    <t>891.</t>
  </si>
  <si>
    <t>CALZATURIFICIO FRATELLI VANNI S.R.L.</t>
  </si>
  <si>
    <t>00125350504</t>
  </si>
  <si>
    <t>IT00125350504</t>
  </si>
  <si>
    <t>152000</t>
  </si>
  <si>
    <t>892.</t>
  </si>
  <si>
    <t>PELLETTERIA P.A.M. - S.R.L.</t>
  </si>
  <si>
    <t>00494570484</t>
  </si>
  <si>
    <t>IT00494570484</t>
  </si>
  <si>
    <t>Firenze</t>
  </si>
  <si>
    <t>893.</t>
  </si>
  <si>
    <t>CALZATURIFICIO NAVAYOS S.R.L.</t>
  </si>
  <si>
    <t>00928080472</t>
  </si>
  <si>
    <t>IT00928080472</t>
  </si>
  <si>
    <t>Pistoia</t>
  </si>
  <si>
    <t>894.</t>
  </si>
  <si>
    <t>MAGLIFICIO PO S.R.L.</t>
  </si>
  <si>
    <t>00458300019</t>
  </si>
  <si>
    <t>IT00458300019</t>
  </si>
  <si>
    <t>Torino</t>
  </si>
  <si>
    <t>895.</t>
  </si>
  <si>
    <t>P.L.U.S. SRL</t>
  </si>
  <si>
    <t>01947800205</t>
  </si>
  <si>
    <t>IT01947800205</t>
  </si>
  <si>
    <t>896.</t>
  </si>
  <si>
    <t>DELSIENA GROUP S.P.A.</t>
  </si>
  <si>
    <t>00102510518</t>
  </si>
  <si>
    <t>IT00102510518</t>
  </si>
  <si>
    <t>141400</t>
  </si>
  <si>
    <t>Arezzo</t>
  </si>
  <si>
    <t>Toscana</t>
  </si>
  <si>
    <t>897.</t>
  </si>
  <si>
    <t>EXIN GROUP - S.R.L.</t>
  </si>
  <si>
    <t>05560540485</t>
  </si>
  <si>
    <t>IT05560540485</t>
  </si>
  <si>
    <t>151209</t>
  </si>
  <si>
    <t>Firenze</t>
  </si>
  <si>
    <t>898.</t>
  </si>
  <si>
    <t>VILLA GROUP SRL</t>
  </si>
  <si>
    <t>02913740961</t>
  </si>
  <si>
    <t>IT02913740961</t>
  </si>
  <si>
    <t>152010</t>
  </si>
  <si>
    <t>Monza e della Brianza</t>
  </si>
  <si>
    <t>Lombardia</t>
  </si>
  <si>
    <t>899.</t>
  </si>
  <si>
    <t>MAGLIFICIO GOTTARDI S.R.L.</t>
  </si>
  <si>
    <t>02060030364</t>
  </si>
  <si>
    <t>00623200359</t>
  </si>
  <si>
    <t>IT00623200359</t>
  </si>
  <si>
    <t>143900</t>
  </si>
  <si>
    <t>Reggio nell'Emilia</t>
  </si>
  <si>
    <t>Emilia-Romagna</t>
  </si>
  <si>
    <t>n.d.</t>
  </si>
  <si>
    <t>900.</t>
  </si>
  <si>
    <t>CREAZIONI SONIA S.R.L.</t>
  </si>
  <si>
    <t>01628060970</t>
  </si>
  <si>
    <t>IT01628060970</t>
  </si>
  <si>
    <t>Prato</t>
  </si>
  <si>
    <t>901.</t>
  </si>
  <si>
    <t>CALZATURIFICIO PORTLAND'S S.P.A.</t>
  </si>
  <si>
    <t>01238030447</t>
  </si>
  <si>
    <t>IT01238030447</t>
  </si>
  <si>
    <t>152000</t>
  </si>
  <si>
    <t>Fermo</t>
  </si>
  <si>
    <t>Marche</t>
  </si>
  <si>
    <t>902.</t>
  </si>
  <si>
    <t>CONCERIA MARTINI PIO - S.P.A.</t>
  </si>
  <si>
    <t>00120650502</t>
  </si>
  <si>
    <t>IT00120650502</t>
  </si>
  <si>
    <t>151100</t>
  </si>
  <si>
    <t>Pisa</t>
  </si>
  <si>
    <t>903.</t>
  </si>
  <si>
    <t>S.A.L.G.A.R.I. KNIT SRL</t>
  </si>
  <si>
    <t>04520760234</t>
  </si>
  <si>
    <t>IT04520760234</t>
  </si>
  <si>
    <t>Verona</t>
  </si>
  <si>
    <t>Veneto</t>
  </si>
  <si>
    <t>904.</t>
  </si>
  <si>
    <t>LEWER CALZATURE TECNICHE - S.R.L.</t>
  </si>
  <si>
    <t>02874720655</t>
  </si>
  <si>
    <t>05315280635</t>
  </si>
  <si>
    <t>IT05315280635</t>
  </si>
  <si>
    <t>Salerno</t>
  </si>
  <si>
    <t>Campania</t>
  </si>
  <si>
    <t>905.</t>
  </si>
  <si>
    <t>INDUSTRIE CONFEZIONI ACQUAVIVA S.R.L.</t>
  </si>
  <si>
    <t>02225110739</t>
  </si>
  <si>
    <t>IT02225110739</t>
  </si>
  <si>
    <t>141320</t>
  </si>
  <si>
    <t>Taranto</t>
  </si>
  <si>
    <t>Puglia</t>
  </si>
  <si>
    <t>906.</t>
  </si>
  <si>
    <t>CALZATURIFICIO AMBRA CAVALLINI S.R.L.</t>
  </si>
  <si>
    <t>00113150502</t>
  </si>
  <si>
    <t>IT00113150502</t>
  </si>
  <si>
    <t>907.</t>
  </si>
  <si>
    <t>EDDY RICAMI PROJECT S.R.L.</t>
  </si>
  <si>
    <t>01342360433</t>
  </si>
  <si>
    <t>IT01342360433</t>
  </si>
  <si>
    <t>152020</t>
  </si>
  <si>
    <t>Macerata</t>
  </si>
  <si>
    <t>908.</t>
  </si>
  <si>
    <t>CUOIFICIO LA QUERCE -S.R.L.</t>
  </si>
  <si>
    <t>00396130502</t>
  </si>
  <si>
    <t>IT00396130502</t>
  </si>
  <si>
    <t>909.</t>
  </si>
  <si>
    <t>BMA SRL</t>
  </si>
  <si>
    <t>02122950518</t>
  </si>
  <si>
    <t>IT02122950518</t>
  </si>
  <si>
    <t>910.</t>
  </si>
  <si>
    <t>ELLEBI - S.R.L.</t>
  </si>
  <si>
    <t>00381040138</t>
  </si>
  <si>
    <t>IT00381040138</t>
  </si>
  <si>
    <t>141000</t>
  </si>
  <si>
    <t>Como</t>
  </si>
  <si>
    <t>911.</t>
  </si>
  <si>
    <t>CALZATURIFICIO CARISMA S.R.L.</t>
  </si>
  <si>
    <t>03884170485</t>
  </si>
  <si>
    <t>IT03884170485</t>
  </si>
  <si>
    <t>912.</t>
  </si>
  <si>
    <t>DE.SA. INTERNATIONAL S.R.L.</t>
  </si>
  <si>
    <t>01776960732</t>
  </si>
  <si>
    <t>IT01776960732</t>
  </si>
  <si>
    <t>913.</t>
  </si>
  <si>
    <t>FRANCO ROMAGNOLI &amp; C S.R.L.</t>
  </si>
  <si>
    <t>01509060438</t>
  </si>
  <si>
    <t>IT01509060438</t>
  </si>
  <si>
    <t>914.</t>
  </si>
  <si>
    <t>CALZE B.C. S.R.L.</t>
  </si>
  <si>
    <t>00136830205</t>
  </si>
  <si>
    <t>IT00136830205</t>
  </si>
  <si>
    <t>143100</t>
  </si>
  <si>
    <t>Mantova</t>
  </si>
  <si>
    <t>915.</t>
  </si>
  <si>
    <t>SOCIETE' DE CUIR LES RIVES S.R.L.</t>
  </si>
  <si>
    <t>01935480507</t>
  </si>
  <si>
    <t>IT01935480507</t>
  </si>
  <si>
    <t>916.</t>
  </si>
  <si>
    <t>CALZATURIFICIO MGT S.R.L.</t>
  </si>
  <si>
    <t>00900540675</t>
  </si>
  <si>
    <t>IT00900540675</t>
  </si>
  <si>
    <t>Teramo</t>
  </si>
  <si>
    <t>Abruzzo</t>
  </si>
  <si>
    <t>917.</t>
  </si>
  <si>
    <t>J-VAL S.R.L.</t>
  </si>
  <si>
    <t>02392990160</t>
  </si>
  <si>
    <t>IT02392990160</t>
  </si>
  <si>
    <t>141310</t>
  </si>
  <si>
    <t>Bergamo</t>
  </si>
  <si>
    <t>918.</t>
  </si>
  <si>
    <t>ORICE - S.R.L.</t>
  </si>
  <si>
    <t>00482800505</t>
  </si>
  <si>
    <t>IT00482800505</t>
  </si>
  <si>
    <t>919.</t>
  </si>
  <si>
    <t>TACCHIFICIO VILLA CORTESE -S.R.L.</t>
  </si>
  <si>
    <t>00810970152</t>
  </si>
  <si>
    <t>IT00810970152</t>
  </si>
  <si>
    <t>Milano</t>
  </si>
  <si>
    <t>920.</t>
  </si>
  <si>
    <t>FLORENCE LUXURY LEATHER S.R.L.</t>
  </si>
  <si>
    <t>02321930972</t>
  </si>
  <si>
    <t>IT02321930972</t>
  </si>
  <si>
    <t>921.</t>
  </si>
  <si>
    <t>ALISE' S.R.L.</t>
  </si>
  <si>
    <t>01898620974</t>
  </si>
  <si>
    <t>IT01898620974</t>
  </si>
  <si>
    <t>141910</t>
  </si>
  <si>
    <t>922.</t>
  </si>
  <si>
    <t>CALZATURIFICIO VICTOR S.R.L.</t>
  </si>
  <si>
    <t>04824570487</t>
  </si>
  <si>
    <t>IT04824570487</t>
  </si>
  <si>
    <t>923.</t>
  </si>
  <si>
    <t>MARF S.R.L.</t>
  </si>
  <si>
    <t>02049930973</t>
  </si>
  <si>
    <t>IT02049930973</t>
  </si>
  <si>
    <t>924.</t>
  </si>
  <si>
    <t>VALLE ESINA - S.P.A.</t>
  </si>
  <si>
    <t>00091920439</t>
  </si>
  <si>
    <t>IT00091920439</t>
  </si>
  <si>
    <t>925.</t>
  </si>
  <si>
    <t>STIL TRE SOCIETA' A RESPONSABILITA' LIMITATA</t>
  </si>
  <si>
    <t>02906120239</t>
  </si>
  <si>
    <t>00598420073</t>
  </si>
  <si>
    <t>IT00598420073</t>
  </si>
  <si>
    <t>926.</t>
  </si>
  <si>
    <t>MICO SPORT S.P.A.</t>
  </si>
  <si>
    <t>03329630176</t>
  </si>
  <si>
    <t>IT03329630176</t>
  </si>
  <si>
    <t>Brescia</t>
  </si>
  <si>
    <t>927.</t>
  </si>
  <si>
    <t>TACCHIFICIO PIENNE S.R.L.</t>
  </si>
  <si>
    <t>01448610517</t>
  </si>
  <si>
    <t>IT01448610517</t>
  </si>
  <si>
    <t>928.</t>
  </si>
  <si>
    <t>FVF S.R.L.</t>
  </si>
  <si>
    <t>04702300759</t>
  </si>
  <si>
    <t>IT04702300759</t>
  </si>
  <si>
    <t>141000</t>
  </si>
  <si>
    <t>Lecce</t>
  </si>
  <si>
    <t>Puglia</t>
  </si>
  <si>
    <t>929.</t>
  </si>
  <si>
    <t>BELT SYSTEM SRL</t>
  </si>
  <si>
    <t>03812350266</t>
  </si>
  <si>
    <t>IT03812350266</t>
  </si>
  <si>
    <t>152010</t>
  </si>
  <si>
    <t>Treviso</t>
  </si>
  <si>
    <t>Veneto</t>
  </si>
  <si>
    <t>930.</t>
  </si>
  <si>
    <t>BLAZE' S.R.L.</t>
  </si>
  <si>
    <t>08197490967</t>
  </si>
  <si>
    <t>IT08197490967</t>
  </si>
  <si>
    <t>Milano</t>
  </si>
  <si>
    <t>Lombardia</t>
  </si>
  <si>
    <t>931.</t>
  </si>
  <si>
    <t>MAGLIFICIO CXL S.R.L.</t>
  </si>
  <si>
    <t>02363400975</t>
  </si>
  <si>
    <t>IT02363400975</t>
  </si>
  <si>
    <t>143900</t>
  </si>
  <si>
    <t>Prato</t>
  </si>
  <si>
    <t>Toscana</t>
  </si>
  <si>
    <t>932.</t>
  </si>
  <si>
    <t>MAGLIFICIO BELLISSIMA S.P.A.</t>
  </si>
  <si>
    <t>01731260970</t>
  </si>
  <si>
    <t>IT01731260970</t>
  </si>
  <si>
    <t>141310</t>
  </si>
  <si>
    <t>933.</t>
  </si>
  <si>
    <t>CONCERIA JOLLY S.P.A.</t>
  </si>
  <si>
    <t>00686900242</t>
  </si>
  <si>
    <t>IT00686900242</t>
  </si>
  <si>
    <t>151100</t>
  </si>
  <si>
    <t>Vicenza</t>
  </si>
  <si>
    <t>934.</t>
  </si>
  <si>
    <t>WANDA MODE S.R.L.</t>
  </si>
  <si>
    <t>01623540364</t>
  </si>
  <si>
    <t>IT01623540364</t>
  </si>
  <si>
    <t>935.</t>
  </si>
  <si>
    <t>ACCESTORIES S.R.L.</t>
  </si>
  <si>
    <t>04651610265</t>
  </si>
  <si>
    <t>IT04651610265</t>
  </si>
  <si>
    <t>141910</t>
  </si>
  <si>
    <t>n.d.</t>
  </si>
  <si>
    <t>936.</t>
  </si>
  <si>
    <t>LUNATIKA S.R.L.</t>
  </si>
  <si>
    <t>01736630672</t>
  </si>
  <si>
    <t>IT01736630672</t>
  </si>
  <si>
    <t>151209</t>
  </si>
  <si>
    <t>Teramo</t>
  </si>
  <si>
    <t>Abruzzo</t>
  </si>
  <si>
    <t>937.</t>
  </si>
  <si>
    <t>G.P. S.R.L.</t>
  </si>
  <si>
    <t>00536871205</t>
  </si>
  <si>
    <t>01172910372</t>
  </si>
  <si>
    <t>IT01172910372</t>
  </si>
  <si>
    <t>Bologna</t>
  </si>
  <si>
    <t>Emilia-Romagna</t>
  </si>
  <si>
    <t>938.</t>
  </si>
  <si>
    <t>PRINCIPE - S.P.A.</t>
  </si>
  <si>
    <t>00214410128</t>
  </si>
  <si>
    <t>IT00214410128</t>
  </si>
  <si>
    <t>Varese</t>
  </si>
  <si>
    <t>939.</t>
  </si>
  <si>
    <t>LOMAR LAVORAZIONE PELLI S.R.L.</t>
  </si>
  <si>
    <t>02002810246</t>
  </si>
  <si>
    <t>IT02002810246</t>
  </si>
  <si>
    <t>940.</t>
  </si>
  <si>
    <t>ALEA FASHION INDUSTRIES S.R.L.</t>
  </si>
  <si>
    <t>00889390407</t>
  </si>
  <si>
    <t>IT00889390407</t>
  </si>
  <si>
    <t>141400</t>
  </si>
  <si>
    <t>Forlì-Cesena</t>
  </si>
  <si>
    <t>941.</t>
  </si>
  <si>
    <t>GENESI S.R.L.</t>
  </si>
  <si>
    <t>01912270202</t>
  </si>
  <si>
    <t>IT01912270202</t>
  </si>
  <si>
    <t>Mantova</t>
  </si>
  <si>
    <t>942.</t>
  </si>
  <si>
    <t>F. &amp; F. S.R.L.</t>
  </si>
  <si>
    <t>02487690139</t>
  </si>
  <si>
    <t>IT02487690139</t>
  </si>
  <si>
    <t>Como</t>
  </si>
  <si>
    <t>943.</t>
  </si>
  <si>
    <t>D.F. COMPANY S.R.L.</t>
  </si>
  <si>
    <t>01749650162</t>
  </si>
  <si>
    <t>IT01749650162</t>
  </si>
  <si>
    <t>141929</t>
  </si>
  <si>
    <t>Bergamo</t>
  </si>
  <si>
    <t>944.</t>
  </si>
  <si>
    <t>CALZATURIFICIO MICHIELON S.R.L.</t>
  </si>
  <si>
    <t>00323640276</t>
  </si>
  <si>
    <t>IT00323640276</t>
  </si>
  <si>
    <t>Venezia</t>
  </si>
  <si>
    <t>945.</t>
  </si>
  <si>
    <t>MINARDI INDUSTRIES S.R.L.</t>
  </si>
  <si>
    <t>02075260394</t>
  </si>
  <si>
    <t>IT02075260394</t>
  </si>
  <si>
    <t>Ravenna</t>
  </si>
  <si>
    <t>946.</t>
  </si>
  <si>
    <t>FRAGO S.R.L.</t>
  </si>
  <si>
    <t>00168010437</t>
  </si>
  <si>
    <t>IT00168010437</t>
  </si>
  <si>
    <t>152020</t>
  </si>
  <si>
    <t>Macerata</t>
  </si>
  <si>
    <t>Marche</t>
  </si>
  <si>
    <t>947.</t>
  </si>
  <si>
    <t>3 C PELLETTERIE S.R.L.</t>
  </si>
  <si>
    <t>05694190488</t>
  </si>
  <si>
    <t>IT05694190488</t>
  </si>
  <si>
    <t>Firenze</t>
  </si>
  <si>
    <t>948.</t>
  </si>
  <si>
    <t>INDUSTRIA CONCIARIA MONTORSO S.R.L.</t>
  </si>
  <si>
    <t>03488330246</t>
  </si>
  <si>
    <t>IT03488330246</t>
  </si>
  <si>
    <t>949.</t>
  </si>
  <si>
    <t>CONCERIA 3S S.R.L.</t>
  </si>
  <si>
    <t>02149960508</t>
  </si>
  <si>
    <t>IT02149960508</t>
  </si>
  <si>
    <t>Pisa</t>
  </si>
  <si>
    <t>950.</t>
  </si>
  <si>
    <t>SOLAZZO CALZATURE S.R.L.</t>
  </si>
  <si>
    <t>02233530183</t>
  </si>
  <si>
    <t>IT02233530183</t>
  </si>
  <si>
    <t>Pavia</t>
  </si>
  <si>
    <t>951.</t>
  </si>
  <si>
    <t>SOLEDAN - S.R.L.</t>
  </si>
  <si>
    <t>01427990401</t>
  </si>
  <si>
    <t>IT01427990401</t>
  </si>
  <si>
    <t>952.</t>
  </si>
  <si>
    <t>ATHENA CALZE S.R.L.</t>
  </si>
  <si>
    <t>02201630981</t>
  </si>
  <si>
    <t>IT02201630981</t>
  </si>
  <si>
    <t>143100</t>
  </si>
  <si>
    <t>953.</t>
  </si>
  <si>
    <t>BABY 2 S.R.L.</t>
  </si>
  <si>
    <t>01059340032</t>
  </si>
  <si>
    <t>IT01059340032</t>
  </si>
  <si>
    <t>Novara</t>
  </si>
  <si>
    <t>Piemonte</t>
  </si>
  <si>
    <t>954.</t>
  </si>
  <si>
    <t>A22 SRL</t>
  </si>
  <si>
    <t>03947580241</t>
  </si>
  <si>
    <t>IT03947580241</t>
  </si>
  <si>
    <t>955.</t>
  </si>
  <si>
    <t>CONFEZIONI GIOIELLI S.P.A.</t>
  </si>
  <si>
    <t>01544140971</t>
  </si>
  <si>
    <t>IT01544140971</t>
  </si>
  <si>
    <t>956.</t>
  </si>
  <si>
    <t>FASHION STUDIOS SOCIETA' A RESPONSABILITA' LIMITATA SEMPLIFICATA</t>
  </si>
  <si>
    <t>06783060483</t>
  </si>
  <si>
    <t>IT06783060483</t>
  </si>
  <si>
    <t>957.</t>
  </si>
  <si>
    <t>DIKE SRL</t>
  </si>
  <si>
    <t>05095250287</t>
  </si>
  <si>
    <t>IT05095250287</t>
  </si>
  <si>
    <t>Padova</t>
  </si>
  <si>
    <t>958.</t>
  </si>
  <si>
    <t>G.T.A. MODA S.R.L.</t>
  </si>
  <si>
    <t>01054650286</t>
  </si>
  <si>
    <t>IT01054650286</t>
  </si>
  <si>
    <t>959.</t>
  </si>
  <si>
    <t>REPTILIS SRL</t>
  </si>
  <si>
    <t>01971480502</t>
  </si>
  <si>
    <t>IT01971480502</t>
  </si>
  <si>
    <t>960.</t>
  </si>
  <si>
    <t>PROJECT S.R.L.</t>
  </si>
  <si>
    <t>02776480242</t>
  </si>
  <si>
    <t>IT02776480242</t>
  </si>
  <si>
    <t>141910</t>
  </si>
  <si>
    <t>Vicenza</t>
  </si>
  <si>
    <t>Veneto</t>
  </si>
  <si>
    <t>961.</t>
  </si>
  <si>
    <t>LA ROCCA S.R.L.</t>
  </si>
  <si>
    <t>01263920165</t>
  </si>
  <si>
    <t>IT01263920165</t>
  </si>
  <si>
    <t>141929</t>
  </si>
  <si>
    <t>Bergamo</t>
  </si>
  <si>
    <t>Lombardia</t>
  </si>
  <si>
    <t>962.</t>
  </si>
  <si>
    <t>GIFAL LORENZO MONTERISI S.R.L.</t>
  </si>
  <si>
    <t>07783590727</t>
  </si>
  <si>
    <t>IT07783590727</t>
  </si>
  <si>
    <t>152010</t>
  </si>
  <si>
    <t>Bari</t>
  </si>
  <si>
    <t>Puglia</t>
  </si>
  <si>
    <t>963.</t>
  </si>
  <si>
    <t>CINTURIFICIO GP &amp; MAX S.R.L.</t>
  </si>
  <si>
    <t>07333400633</t>
  </si>
  <si>
    <t>IT07333400633</t>
  </si>
  <si>
    <t>151209</t>
  </si>
  <si>
    <t>Napoli</t>
  </si>
  <si>
    <t>Campania</t>
  </si>
  <si>
    <t>n.d.</t>
  </si>
  <si>
    <t>964.</t>
  </si>
  <si>
    <t>CALZATURIFICIO NADA DI DAVIDE GABRIELE E ANTONIO S.R.L.</t>
  </si>
  <si>
    <t>00165220633</t>
  </si>
  <si>
    <t>IT00165220633</t>
  </si>
  <si>
    <t>965.</t>
  </si>
  <si>
    <t>GALILEO S.R.L.</t>
  </si>
  <si>
    <t>01914960503</t>
  </si>
  <si>
    <t>IT01914960503</t>
  </si>
  <si>
    <t>151100</t>
  </si>
  <si>
    <t>Pisa</t>
  </si>
  <si>
    <t>Toscana</t>
  </si>
  <si>
    <t>966.</t>
  </si>
  <si>
    <t>STADIUM S.R.L.</t>
  </si>
  <si>
    <t>05143900487</t>
  </si>
  <si>
    <t>IT05143900487</t>
  </si>
  <si>
    <t>151200</t>
  </si>
  <si>
    <t>Firenze</t>
  </si>
  <si>
    <t>967.</t>
  </si>
  <si>
    <t>NUOVA IN COTONE' S.R.L.</t>
  </si>
  <si>
    <t>05813720728</t>
  </si>
  <si>
    <t>IT05813720728</t>
  </si>
  <si>
    <t>141400</t>
  </si>
  <si>
    <t>968.</t>
  </si>
  <si>
    <t>PA.RO. S.R.L.</t>
  </si>
  <si>
    <t>01900560200</t>
  </si>
  <si>
    <t>IT01900560200</t>
  </si>
  <si>
    <t>141000</t>
  </si>
  <si>
    <t>Mantova</t>
  </si>
  <si>
    <t>969.</t>
  </si>
  <si>
    <t>SAMA SRL</t>
  </si>
  <si>
    <t>03364700157</t>
  </si>
  <si>
    <t>IT03364700157</t>
  </si>
  <si>
    <t>Milano</t>
  </si>
  <si>
    <t>970.</t>
  </si>
  <si>
    <t>CALZATURIFICIO MARCO S.R.L.</t>
  </si>
  <si>
    <t>04246290482</t>
  </si>
  <si>
    <t>IT04246290482</t>
  </si>
  <si>
    <t>971.</t>
  </si>
  <si>
    <t>GARLAND S.R.L.</t>
  </si>
  <si>
    <t>01152370522</t>
  </si>
  <si>
    <t>IT01152370522</t>
  </si>
  <si>
    <t>Siena</t>
  </si>
  <si>
    <t>972.</t>
  </si>
  <si>
    <t>CONCERIA GIAVA S.P.A.</t>
  </si>
  <si>
    <t>00444120505</t>
  </si>
  <si>
    <t>IT00444120505</t>
  </si>
  <si>
    <t>973.</t>
  </si>
  <si>
    <t>OLIMPIA S.R.L.</t>
  </si>
  <si>
    <t>00131730434</t>
  </si>
  <si>
    <t>IT00131730434</t>
  </si>
  <si>
    <t>Macerata</t>
  </si>
  <si>
    <t>Marche</t>
  </si>
  <si>
    <t>974.</t>
  </si>
  <si>
    <t>RICCOPLAST SOCIETA' A RESPONSABILITA' LIMITATA</t>
  </si>
  <si>
    <t>01971390461</t>
  </si>
  <si>
    <t>IT01971390461</t>
  </si>
  <si>
    <t>Lucca</t>
  </si>
  <si>
    <t>975.</t>
  </si>
  <si>
    <t>CONFEZIONI BENETTI S.R.L.</t>
  </si>
  <si>
    <t>01744420983</t>
  </si>
  <si>
    <t>IT01744420983</t>
  </si>
  <si>
    <t>141310</t>
  </si>
  <si>
    <t>Brescia</t>
  </si>
  <si>
    <t>976.</t>
  </si>
  <si>
    <t>CONFEZIONI MAJOR S.R.L.</t>
  </si>
  <si>
    <t>02295460246</t>
  </si>
  <si>
    <t>IT02295460246</t>
  </si>
  <si>
    <t>977.</t>
  </si>
  <si>
    <t>AZADORA S.R.L.</t>
  </si>
  <si>
    <t>06113110487</t>
  </si>
  <si>
    <t>IT06113110487</t>
  </si>
  <si>
    <t>978.</t>
  </si>
  <si>
    <t>KAAMA S.R.L.</t>
  </si>
  <si>
    <t>01930051204</t>
  </si>
  <si>
    <t>01418270391</t>
  </si>
  <si>
    <t>IT01418270391</t>
  </si>
  <si>
    <t>141200</t>
  </si>
  <si>
    <t>Bologna</t>
  </si>
  <si>
    <t>Emilia-Romagna</t>
  </si>
  <si>
    <t>979.</t>
  </si>
  <si>
    <t>CATAPANO S.R.L.</t>
  </si>
  <si>
    <t>01303540767</t>
  </si>
  <si>
    <t>IT01303540767</t>
  </si>
  <si>
    <t>Potenza</t>
  </si>
  <si>
    <t>Basilicata</t>
  </si>
  <si>
    <t>980.</t>
  </si>
  <si>
    <t>PIELLE PIU' S.R.L.</t>
  </si>
  <si>
    <t>01852230976</t>
  </si>
  <si>
    <t>IT01852230976</t>
  </si>
  <si>
    <t>Prato</t>
  </si>
  <si>
    <t>981.</t>
  </si>
  <si>
    <t>L.C.M. SRL</t>
  </si>
  <si>
    <t>02918090156</t>
  </si>
  <si>
    <t>IT02918090156</t>
  </si>
  <si>
    <t>152020</t>
  </si>
  <si>
    <t>982.</t>
  </si>
  <si>
    <t>CONCERIA SAMANTA S.R.L.</t>
  </si>
  <si>
    <t>01726540501</t>
  </si>
  <si>
    <t>IT01726540501</t>
  </si>
  <si>
    <t>983.</t>
  </si>
  <si>
    <t>CALZATURIFICIO ZOCAL S.R.L.</t>
  </si>
  <si>
    <t>01297680280</t>
  </si>
  <si>
    <t>IT01297680280</t>
  </si>
  <si>
    <t>Padova</t>
  </si>
  <si>
    <t>984.</t>
  </si>
  <si>
    <t>CONCERIA LIBERTY S.R.L.</t>
  </si>
  <si>
    <t>01626240509</t>
  </si>
  <si>
    <t>IT01626240509</t>
  </si>
  <si>
    <t>985.</t>
  </si>
  <si>
    <t>SCAMOSCERIA DEL BRENTA S.R.L.- INDUSTRIA CONCIARIA</t>
  </si>
  <si>
    <t>00143640241</t>
  </si>
  <si>
    <t>IT00143640241</t>
  </si>
  <si>
    <t>986.</t>
  </si>
  <si>
    <t>DENIM SERVICE S.R.L.</t>
  </si>
  <si>
    <t>00968740290</t>
  </si>
  <si>
    <t>IT00968740290</t>
  </si>
  <si>
    <t>987.</t>
  </si>
  <si>
    <t>SUOLIFICIO DICK - S.R.L.</t>
  </si>
  <si>
    <t>01032870477</t>
  </si>
  <si>
    <t>IT01032870477</t>
  </si>
  <si>
    <t>Pistoia</t>
  </si>
  <si>
    <t>988.</t>
  </si>
  <si>
    <t>GIELLE S.R.L.</t>
  </si>
  <si>
    <t>05722670725</t>
  </si>
  <si>
    <t>IT05722670725</t>
  </si>
  <si>
    <t>989.</t>
  </si>
  <si>
    <t>CRISTIANO CLASS S.R.L.</t>
  </si>
  <si>
    <t>05822521216</t>
  </si>
  <si>
    <t>IT05822521216</t>
  </si>
  <si>
    <t>Frosinone</t>
  </si>
  <si>
    <t>Lazio</t>
  </si>
  <si>
    <t>990.</t>
  </si>
  <si>
    <t>MGS SRL</t>
  </si>
  <si>
    <t>03907020287</t>
  </si>
  <si>
    <t>IT03907020287</t>
  </si>
  <si>
    <t>143900</t>
  </si>
  <si>
    <t>991.</t>
  </si>
  <si>
    <t>POLETTI S.R.L.</t>
  </si>
  <si>
    <t>01135650180</t>
  </si>
  <si>
    <t>IT01135650180</t>
  </si>
  <si>
    <t>141300</t>
  </si>
  <si>
    <t>Pavia</t>
  </si>
  <si>
    <t>992.</t>
  </si>
  <si>
    <t>TM PRODUCTION SRL</t>
  </si>
  <si>
    <t>02801190428</t>
  </si>
  <si>
    <t>IT02801190428</t>
  </si>
  <si>
    <t>151209</t>
  </si>
  <si>
    <t>Ancona</t>
  </si>
  <si>
    <t>Marche</t>
  </si>
  <si>
    <t>993.</t>
  </si>
  <si>
    <t>LUSAR S.R.L.</t>
  </si>
  <si>
    <t>01244070189</t>
  </si>
  <si>
    <t>IT01244070189</t>
  </si>
  <si>
    <t>152010</t>
  </si>
  <si>
    <t>Pavia</t>
  </si>
  <si>
    <t>Lombardia</t>
  </si>
  <si>
    <t>n.d.</t>
  </si>
  <si>
    <t>994.</t>
  </si>
  <si>
    <t>GOLDME ITALIA SRL</t>
  </si>
  <si>
    <t>04557000264</t>
  </si>
  <si>
    <t>IT04557000264</t>
  </si>
  <si>
    <t>141310</t>
  </si>
  <si>
    <t>Padova</t>
  </si>
  <si>
    <t>Veneto</t>
  </si>
  <si>
    <t>995.</t>
  </si>
  <si>
    <t>STUDIO CATALDI GROUP - SOCIETA A RESPONSABILITA' LIMITATA</t>
  </si>
  <si>
    <t>01683440976</t>
  </si>
  <si>
    <t>IT01683440976</t>
  </si>
  <si>
    <t>Prato</t>
  </si>
  <si>
    <t>Toscana</t>
  </si>
  <si>
    <t>996.</t>
  </si>
  <si>
    <t>UNION LEATHERS S.R.L. - SOCIETA' UNIPERSONALE</t>
  </si>
  <si>
    <t>00983800293</t>
  </si>
  <si>
    <t>IT00983800293</t>
  </si>
  <si>
    <t>151100</t>
  </si>
  <si>
    <t>Vicenza</t>
  </si>
  <si>
    <t>997.</t>
  </si>
  <si>
    <t>E9 S.R.L.</t>
  </si>
  <si>
    <t>01875510446</t>
  </si>
  <si>
    <t>IT01875510446</t>
  </si>
  <si>
    <t>141929</t>
  </si>
  <si>
    <t>Ascoli Piceno</t>
  </si>
  <si>
    <t>998.</t>
  </si>
  <si>
    <t>GAMS S.R.L</t>
  </si>
  <si>
    <t>07074690723</t>
  </si>
  <si>
    <t>IT07074690723</t>
  </si>
  <si>
    <t>Barletta-Andria-Trani</t>
  </si>
  <si>
    <t>Puglia</t>
  </si>
  <si>
    <t>999.</t>
  </si>
  <si>
    <t>CONCERIA SIRTE S.R.L.</t>
  </si>
  <si>
    <t>01402720500</t>
  </si>
  <si>
    <t>IT01402720500</t>
  </si>
  <si>
    <t>Pisa</t>
  </si>
  <si>
    <t>1000.</t>
  </si>
  <si>
    <t>THE SPLITS SRL</t>
  </si>
  <si>
    <t>03753900244</t>
  </si>
  <si>
    <t>IT03753900244</t>
  </si>
  <si>
    <t>1001.</t>
  </si>
  <si>
    <t>ST. GERMAIN BOUTIQUE S.R.L.</t>
  </si>
  <si>
    <t>01271710152</t>
  </si>
  <si>
    <t>IT01271710152</t>
  </si>
  <si>
    <t>152000</t>
  </si>
  <si>
    <t>Milano</t>
  </si>
  <si>
    <t>1002.</t>
  </si>
  <si>
    <t>CONCERIA ARNELLA SOCIETA' PER AZIONI</t>
  </si>
  <si>
    <t>00115270506</t>
  </si>
  <si>
    <t>IT00115270506</t>
  </si>
  <si>
    <t>1003.</t>
  </si>
  <si>
    <t>EMMECIPI STUDIO S.R.L.</t>
  </si>
  <si>
    <t>01966151209</t>
  </si>
  <si>
    <t>IT01966151209</t>
  </si>
  <si>
    <t>141910</t>
  </si>
  <si>
    <t>Bologna</t>
  </si>
  <si>
    <t>Emilia-Romagna</t>
  </si>
  <si>
    <t>1004.</t>
  </si>
  <si>
    <t>ARES INDUSTRY S.R.L.</t>
  </si>
  <si>
    <t>02354750511</t>
  </si>
  <si>
    <t>IT02354750511</t>
  </si>
  <si>
    <t>Arezzo</t>
  </si>
  <si>
    <t>1005.</t>
  </si>
  <si>
    <t>DE.NA.SE. S.R.L.</t>
  </si>
  <si>
    <t>02438140648</t>
  </si>
  <si>
    <t>IT02438140648</t>
  </si>
  <si>
    <t>Avellino</t>
  </si>
  <si>
    <t>Campania</t>
  </si>
  <si>
    <t>1006.</t>
  </si>
  <si>
    <t>A MARE - S.R.L.</t>
  </si>
  <si>
    <t>01742160433</t>
  </si>
  <si>
    <t>IT01742160433</t>
  </si>
  <si>
    <t>1007.</t>
  </si>
  <si>
    <t>PROFESSIONE PELLI S.R.L.</t>
  </si>
  <si>
    <t>03742950243</t>
  </si>
  <si>
    <t>IT03742950243</t>
  </si>
  <si>
    <t>1008.</t>
  </si>
  <si>
    <t>TUSCANIA INDUSTRIA CONCIARIA S.P.A.</t>
  </si>
  <si>
    <t>02156540482</t>
  </si>
  <si>
    <t>IT02156540482</t>
  </si>
  <si>
    <t>1009.</t>
  </si>
  <si>
    <t>S.C.O.R.P.I.O. S.R.L.</t>
  </si>
  <si>
    <t>01950510469</t>
  </si>
  <si>
    <t>IT01950510469</t>
  </si>
  <si>
    <t>Lucca</t>
  </si>
  <si>
    <t>1010.</t>
  </si>
  <si>
    <t>GIERRE &amp; SON S.R.L.</t>
  </si>
  <si>
    <t>04468150653</t>
  </si>
  <si>
    <t>IT04468150653</t>
  </si>
  <si>
    <t>Napoli</t>
  </si>
  <si>
    <t>1011.</t>
  </si>
  <si>
    <t>TARI S.P.A.</t>
  </si>
  <si>
    <t>04763050632</t>
  </si>
  <si>
    <t>IT04763050632</t>
  </si>
  <si>
    <t>151200</t>
  </si>
  <si>
    <t>1012.</t>
  </si>
  <si>
    <t>CALZATURIFICIO STATUS S.R.L.</t>
  </si>
  <si>
    <t>01325250502</t>
  </si>
  <si>
    <t>IT01325250502</t>
  </si>
  <si>
    <t>1013.</t>
  </si>
  <si>
    <t>FP SPORT SRL</t>
  </si>
  <si>
    <t>03935250260</t>
  </si>
  <si>
    <t>IT03935250260</t>
  </si>
  <si>
    <t>Treviso</t>
  </si>
  <si>
    <t>1014.</t>
  </si>
  <si>
    <t>SHARON S.R.L.</t>
  </si>
  <si>
    <t>07158970637</t>
  </si>
  <si>
    <t>IT07158970637</t>
  </si>
  <si>
    <t>1015.</t>
  </si>
  <si>
    <t>DENIM PEOPLE S.R.L.</t>
  </si>
  <si>
    <t>04323480238</t>
  </si>
  <si>
    <t>IT04323480238</t>
  </si>
  <si>
    <t>Verona</t>
  </si>
  <si>
    <t>1016.</t>
  </si>
  <si>
    <t>CONCERIA VICAR S.R.L.</t>
  </si>
  <si>
    <t>01586540500</t>
  </si>
  <si>
    <t>IT01586540500</t>
  </si>
  <si>
    <t>1017.</t>
  </si>
  <si>
    <t>GRUPPO ZANELLATO S.R.L.</t>
  </si>
  <si>
    <t>02721200240</t>
  </si>
  <si>
    <t>IT02721200240</t>
  </si>
  <si>
    <t>1018.</t>
  </si>
  <si>
    <t>CUNNINGAM- S.R.L.</t>
  </si>
  <si>
    <t>01532880976</t>
  </si>
  <si>
    <t>IT01532880976</t>
  </si>
  <si>
    <t>141000</t>
  </si>
  <si>
    <t>1019.</t>
  </si>
  <si>
    <t>CONCERIA NUVOLARI SOCIETA' BENEFIT SRL</t>
  </si>
  <si>
    <t>02013190448</t>
  </si>
  <si>
    <t>IT02013190448</t>
  </si>
  <si>
    <t>Fermo</t>
  </si>
  <si>
    <t>1020.</t>
  </si>
  <si>
    <t>MODA CONF. SRL</t>
  </si>
  <si>
    <t>05013480289</t>
  </si>
  <si>
    <t>IT05013480289</t>
  </si>
  <si>
    <t>1021.</t>
  </si>
  <si>
    <t>CONCERIA NUOVA OVERLORD S.P.A.</t>
  </si>
  <si>
    <t>00928180504</t>
  </si>
  <si>
    <t>IT00928180504</t>
  </si>
  <si>
    <t>1022.</t>
  </si>
  <si>
    <t>MAXIMA - S.R.L.</t>
  </si>
  <si>
    <t>01883310284</t>
  </si>
  <si>
    <t>IT01883310284</t>
  </si>
  <si>
    <t>1023.</t>
  </si>
  <si>
    <t>AREA FASHION S.R.L.</t>
  </si>
  <si>
    <t>03811170285</t>
  </si>
  <si>
    <t>IT03811170285</t>
  </si>
  <si>
    <t>1024.</t>
  </si>
  <si>
    <t>GRUPPO NECLA ITALIA S.R.L.</t>
  </si>
  <si>
    <t>05588611219</t>
  </si>
  <si>
    <t>IT05588611219</t>
  </si>
  <si>
    <t>141310</t>
  </si>
  <si>
    <t>Napoli</t>
  </si>
  <si>
    <t>Campania</t>
  </si>
  <si>
    <t>1025.</t>
  </si>
  <si>
    <t>GIUSY S.R.L.</t>
  </si>
  <si>
    <t>01404650440</t>
  </si>
  <si>
    <t>IT01404650440</t>
  </si>
  <si>
    <t>152010</t>
  </si>
  <si>
    <t>Fermo</t>
  </si>
  <si>
    <t>Marche</t>
  </si>
  <si>
    <t>n.d.</t>
  </si>
  <si>
    <t>1026.</t>
  </si>
  <si>
    <t>CONFEZIONI EUROPA S.R.L.</t>
  </si>
  <si>
    <t>00120260039</t>
  </si>
  <si>
    <t>IT00120260039</t>
  </si>
  <si>
    <t>Novara</t>
  </si>
  <si>
    <t>Piemonte</t>
  </si>
  <si>
    <t>1027.</t>
  </si>
  <si>
    <t>TECNO STRA S.R.L.</t>
  </si>
  <si>
    <t>00795600279</t>
  </si>
  <si>
    <t>IT00795600279</t>
  </si>
  <si>
    <t>152020</t>
  </si>
  <si>
    <t>Padova</t>
  </si>
  <si>
    <t>Veneto</t>
  </si>
  <si>
    <t>1028.</t>
  </si>
  <si>
    <t>OAMC MANUFACTURING S.R.L.</t>
  </si>
  <si>
    <t>11426430960</t>
  </si>
  <si>
    <t>IT11426430960</t>
  </si>
  <si>
    <t>Milano</t>
  </si>
  <si>
    <t>Lombardia</t>
  </si>
  <si>
    <t>1029.</t>
  </si>
  <si>
    <t>FALOR S.R.L.</t>
  </si>
  <si>
    <t>05234780483</t>
  </si>
  <si>
    <t>IT05234780483</t>
  </si>
  <si>
    <t>Firenze</t>
  </si>
  <si>
    <t>Toscana</t>
  </si>
  <si>
    <t>1030.</t>
  </si>
  <si>
    <t>MANNI - S.R.L.</t>
  </si>
  <si>
    <t>01804530440</t>
  </si>
  <si>
    <t>IT01804530440</t>
  </si>
  <si>
    <t>1031.</t>
  </si>
  <si>
    <t>MAGLIFICIO MARILINA S.R.L. (IN FORMA ABBREVIATA MARILINA S.R.L.)</t>
  </si>
  <si>
    <t>01193140546</t>
  </si>
  <si>
    <t>IT01193140546</t>
  </si>
  <si>
    <t>143900</t>
  </si>
  <si>
    <t>Perugia</t>
  </si>
  <si>
    <t>Umbria</t>
  </si>
  <si>
    <t>1032.</t>
  </si>
  <si>
    <t>ARIANNA S.R.L.</t>
  </si>
  <si>
    <t>04132920234</t>
  </si>
  <si>
    <t>IT04132920234</t>
  </si>
  <si>
    <t>151100</t>
  </si>
  <si>
    <t>Verona</t>
  </si>
  <si>
    <t>1033.</t>
  </si>
  <si>
    <t>TEXCOTTON S.R.L.</t>
  </si>
  <si>
    <t>07865501212</t>
  </si>
  <si>
    <t>IT07865501212</t>
  </si>
  <si>
    <t>1034.</t>
  </si>
  <si>
    <t>PONECO S.R.L.</t>
  </si>
  <si>
    <t>02665230401</t>
  </si>
  <si>
    <t>IT02665230401</t>
  </si>
  <si>
    <t>Rimini</t>
  </si>
  <si>
    <t>Emilia-Romagna</t>
  </si>
  <si>
    <t>1035.</t>
  </si>
  <si>
    <t>EUROMARK INDUSTRIES SRL</t>
  </si>
  <si>
    <t>04065330286</t>
  </si>
  <si>
    <t>IT04065330286</t>
  </si>
  <si>
    <t>141910</t>
  </si>
  <si>
    <t>1036.</t>
  </si>
  <si>
    <t>GHOUD VENICE S.R.L.</t>
  </si>
  <si>
    <t>04455410276</t>
  </si>
  <si>
    <t>IT04455410276</t>
  </si>
  <si>
    <t>1037.</t>
  </si>
  <si>
    <t>APAM INTERNATIONAL S.R.L.</t>
  </si>
  <si>
    <t>02153820481</t>
  </si>
  <si>
    <t>IT02153820481</t>
  </si>
  <si>
    <t>1038.</t>
  </si>
  <si>
    <t>CONCERIA IL PONTE S.R.L.</t>
  </si>
  <si>
    <t>03227970484</t>
  </si>
  <si>
    <t>IT03227970484</t>
  </si>
  <si>
    <t>1039.</t>
  </si>
  <si>
    <t>LEMI CONFEZIONI S.R.L.</t>
  </si>
  <si>
    <t>01540740121</t>
  </si>
  <si>
    <t>IT01540740121</t>
  </si>
  <si>
    <t>141000</t>
  </si>
  <si>
    <t>Varese</t>
  </si>
  <si>
    <t>1040.</t>
  </si>
  <si>
    <t>GIA.MAU' RETAIL S.R.L.</t>
  </si>
  <si>
    <t>07210910720</t>
  </si>
  <si>
    <t>IT07210910720</t>
  </si>
  <si>
    <t>Barletta-Andria-Trani</t>
  </si>
  <si>
    <t>Puglia</t>
  </si>
  <si>
    <t>1041.</t>
  </si>
  <si>
    <t>VALFIEMME S.R.L.</t>
  </si>
  <si>
    <t>01146800287</t>
  </si>
  <si>
    <t>IT01146800287</t>
  </si>
  <si>
    <t>1042.</t>
  </si>
  <si>
    <t>GIANNI FALCO S.R.L.</t>
  </si>
  <si>
    <t>02215910262</t>
  </si>
  <si>
    <t>IT02215910262</t>
  </si>
  <si>
    <t>Treviso</t>
  </si>
  <si>
    <t>1043.</t>
  </si>
  <si>
    <t>EUROCONCIARIA S.R.L.</t>
  </si>
  <si>
    <t>02917550242</t>
  </si>
  <si>
    <t>IT02917550242</t>
  </si>
  <si>
    <t>Vicenza</t>
  </si>
  <si>
    <t>1044.</t>
  </si>
  <si>
    <t>BARRETT - S.R.L.</t>
  </si>
  <si>
    <t>00619520349</t>
  </si>
  <si>
    <t>IT00619520349</t>
  </si>
  <si>
    <t>Parma</t>
  </si>
  <si>
    <t>1045.</t>
  </si>
  <si>
    <t>CARPIPROMO S.R.L.</t>
  </si>
  <si>
    <t>02904690365</t>
  </si>
  <si>
    <t>IT02904690365</t>
  </si>
  <si>
    <t>Modena</t>
  </si>
  <si>
    <t>1046.</t>
  </si>
  <si>
    <t>BICYCLE LINE S.R.L.</t>
  </si>
  <si>
    <t>02027450267</t>
  </si>
  <si>
    <t>IT02027450267</t>
  </si>
  <si>
    <t>141929</t>
  </si>
  <si>
    <t>1047.</t>
  </si>
  <si>
    <t>EGERIA S.R.L.</t>
  </si>
  <si>
    <t>02469490649</t>
  </si>
  <si>
    <t>IT02469490649</t>
  </si>
  <si>
    <t>Avellino</t>
  </si>
  <si>
    <t>1048.</t>
  </si>
  <si>
    <t>LINEAMAGLIA S.R.L.</t>
  </si>
  <si>
    <t>01616600977</t>
  </si>
  <si>
    <t>IT01616600977</t>
  </si>
  <si>
    <t>Prato</t>
  </si>
  <si>
    <t>1049.</t>
  </si>
  <si>
    <t>DANI E VOLPI S.R.L.</t>
  </si>
  <si>
    <t>02290260500</t>
  </si>
  <si>
    <t>IT02290260500</t>
  </si>
  <si>
    <t>Pisa</t>
  </si>
  <si>
    <t>1050.</t>
  </si>
  <si>
    <t>JANCO SOCIETA' A RESPONSABILITA' LIMITATA</t>
  </si>
  <si>
    <t>00813970415</t>
  </si>
  <si>
    <t>IT00813970415</t>
  </si>
  <si>
    <t>Ancona</t>
  </si>
  <si>
    <t>1051.</t>
  </si>
  <si>
    <t>PUSH S.R.L.</t>
  </si>
  <si>
    <t>02960591218</t>
  </si>
  <si>
    <t>IT02960591218</t>
  </si>
  <si>
    <t>1052.</t>
  </si>
  <si>
    <t>ANNABELLA S.P.A.</t>
  </si>
  <si>
    <t>00301170445</t>
  </si>
  <si>
    <t>IT00301170445</t>
  </si>
  <si>
    <t>1053.</t>
  </si>
  <si>
    <t>CALZATURIFICIO VIA ROMA 15 SOCIETA' A RESPONSABILITA' LIMITATA IN SIGLA CALZATURIFICIO VIA ROMA 15 S.R.L.</t>
  </si>
  <si>
    <t>03981260288</t>
  </si>
  <si>
    <t>IT03981260288</t>
  </si>
  <si>
    <t>1054.</t>
  </si>
  <si>
    <t>GARY S.R.L.</t>
  </si>
  <si>
    <t>04899140729</t>
  </si>
  <si>
    <t>IT04899140729</t>
  </si>
  <si>
    <t>Bari</t>
  </si>
  <si>
    <t>1055.</t>
  </si>
  <si>
    <t>CONCERIA MANGUSTA S.R.L.</t>
  </si>
  <si>
    <t>01341340501</t>
  </si>
  <si>
    <t>IT01341340501</t>
  </si>
  <si>
    <t>1056.</t>
  </si>
  <si>
    <t>COOPERATIVA SOCIALE QUID</t>
  </si>
  <si>
    <t>04179470234</t>
  </si>
  <si>
    <t>IT04179470234</t>
  </si>
  <si>
    <t>141910</t>
  </si>
  <si>
    <t>Verona</t>
  </si>
  <si>
    <t>Veneto</t>
  </si>
  <si>
    <t>1057.</t>
  </si>
  <si>
    <t>NUOVA ICOS SOCIETA' A RESPONSABILITA' LIMITATA</t>
  </si>
  <si>
    <t>01690360647</t>
  </si>
  <si>
    <t>IT01690360647</t>
  </si>
  <si>
    <t>151100</t>
  </si>
  <si>
    <t>Avellino</t>
  </si>
  <si>
    <t>Campania</t>
  </si>
  <si>
    <t>1058.</t>
  </si>
  <si>
    <t>CONCERIA PIETRO PRESOT S.R.L.</t>
  </si>
  <si>
    <t>00066320938</t>
  </si>
  <si>
    <t>IT00066320938</t>
  </si>
  <si>
    <t>Pordenone</t>
  </si>
  <si>
    <t>Friuli-Venezia Giulia</t>
  </si>
  <si>
    <t>1059.</t>
  </si>
  <si>
    <t>LUBE - S.R.L.</t>
  </si>
  <si>
    <t>03388310488</t>
  </si>
  <si>
    <t>IT03388310488</t>
  </si>
  <si>
    <t>143900</t>
  </si>
  <si>
    <t>Firenze</t>
  </si>
  <si>
    <t>Toscana</t>
  </si>
  <si>
    <t>1060.</t>
  </si>
  <si>
    <t>CAM.PEL. S.R.L.</t>
  </si>
  <si>
    <t>03261191211</t>
  </si>
  <si>
    <t>IT03261191211</t>
  </si>
  <si>
    <t>151200</t>
  </si>
  <si>
    <t>Napoli</t>
  </si>
  <si>
    <t>n.d.</t>
  </si>
  <si>
    <t>1061.</t>
  </si>
  <si>
    <t>MAGLIFICIO CREAZIONI ALICE SRL</t>
  </si>
  <si>
    <t>03334430158</t>
  </si>
  <si>
    <t>IT03334430158</t>
  </si>
  <si>
    <t>Milano</t>
  </si>
  <si>
    <t>Lombardia</t>
  </si>
  <si>
    <t>1062.</t>
  </si>
  <si>
    <t>CY CALZATURE SRL</t>
  </si>
  <si>
    <t>04347520274</t>
  </si>
  <si>
    <t>IT04347520274</t>
  </si>
  <si>
    <t>152020</t>
  </si>
  <si>
    <t>Venezia</t>
  </si>
  <si>
    <t>1063.</t>
  </si>
  <si>
    <t>TEX ZETA S.R.L.</t>
  </si>
  <si>
    <t>02204560169</t>
  </si>
  <si>
    <t>00766550677</t>
  </si>
  <si>
    <t>IT00766550677</t>
  </si>
  <si>
    <t>141000</t>
  </si>
  <si>
    <t>Bergamo</t>
  </si>
  <si>
    <t>1064.</t>
  </si>
  <si>
    <t>NIPAL S.R.L.</t>
  </si>
  <si>
    <t>00462510488</t>
  </si>
  <si>
    <t>IT00462510488</t>
  </si>
  <si>
    <t>141100</t>
  </si>
  <si>
    <t>1065.</t>
  </si>
  <si>
    <t>SUOLIFICIO NUOVA PIOVAN MARISA S.R.L.</t>
  </si>
  <si>
    <t>03749440271</t>
  </si>
  <si>
    <t>IT03749440271</t>
  </si>
  <si>
    <t>1066.</t>
  </si>
  <si>
    <t>SYSTEM SERVICE S.R.L.</t>
  </si>
  <si>
    <t>03397780267</t>
  </si>
  <si>
    <t>IT03397780267</t>
  </si>
  <si>
    <t>141310</t>
  </si>
  <si>
    <t>Treviso</t>
  </si>
  <si>
    <t>1067.</t>
  </si>
  <si>
    <t>FOGLIZZO LEATHER SOCIETA' A RESPONSABILITA' LIMITATA SIGLABILE FO GLIZZO LEATHER S.R.L.</t>
  </si>
  <si>
    <t>09704610014</t>
  </si>
  <si>
    <t>IT09704610014</t>
  </si>
  <si>
    <t>Torino</t>
  </si>
  <si>
    <t>Piemonte</t>
  </si>
  <si>
    <t>1068.</t>
  </si>
  <si>
    <t>CALZATURIFICIO FRATELLI CAPPELLINI S.R.L.</t>
  </si>
  <si>
    <t>00107120479</t>
  </si>
  <si>
    <t>IT00107120479</t>
  </si>
  <si>
    <t>152010</t>
  </si>
  <si>
    <t>Pistoia</t>
  </si>
  <si>
    <t>1069.</t>
  </si>
  <si>
    <t>CALZE OLONA S.R.L.</t>
  </si>
  <si>
    <t>00359970126</t>
  </si>
  <si>
    <t>IT00359970126</t>
  </si>
  <si>
    <t>143100</t>
  </si>
  <si>
    <t>1070.</t>
  </si>
  <si>
    <t>TEXTURA -S.P.A.-</t>
  </si>
  <si>
    <t>00088790514</t>
  </si>
  <si>
    <t>IT00088790514</t>
  </si>
  <si>
    <t>Arezzo</t>
  </si>
  <si>
    <t>1071.</t>
  </si>
  <si>
    <t>ZETA FASHION S.R.L.</t>
  </si>
  <si>
    <t>07212580729</t>
  </si>
  <si>
    <t>IT07212580729</t>
  </si>
  <si>
    <t>Barletta-Andria-Trani</t>
  </si>
  <si>
    <t>Puglia</t>
  </si>
  <si>
    <t>1072.</t>
  </si>
  <si>
    <t>PELLETTERIE 2F - S.R.L.</t>
  </si>
  <si>
    <t>00770850162</t>
  </si>
  <si>
    <t>IT00770850162</t>
  </si>
  <si>
    <t>1073.</t>
  </si>
  <si>
    <t>IANNELLI S.R.L.</t>
  </si>
  <si>
    <t>01619020512</t>
  </si>
  <si>
    <t>IT01619020512</t>
  </si>
  <si>
    <t>1074.</t>
  </si>
  <si>
    <t>CALZATURIFICIO MARY S.R.L.</t>
  </si>
  <si>
    <t>00373940444</t>
  </si>
  <si>
    <t>IT00373940444</t>
  </si>
  <si>
    <t>152000</t>
  </si>
  <si>
    <t>Fermo</t>
  </si>
  <si>
    <t>Marche</t>
  </si>
  <si>
    <t>1075.</t>
  </si>
  <si>
    <t>DELLA PIA S.R.L.</t>
  </si>
  <si>
    <t>07447270633</t>
  </si>
  <si>
    <t>IT07447270633</t>
  </si>
  <si>
    <t>1076.</t>
  </si>
  <si>
    <t>LOGO FIRENZE S.R.L.</t>
  </si>
  <si>
    <t>05955480487</t>
  </si>
  <si>
    <t>IT05955480487</t>
  </si>
  <si>
    <t>1077.</t>
  </si>
  <si>
    <t>NOVA SHOES - S.R.L.</t>
  </si>
  <si>
    <t>00924540420</t>
  </si>
  <si>
    <t>IT00924540420</t>
  </si>
  <si>
    <t>Macerata</t>
  </si>
  <si>
    <t>1078.</t>
  </si>
  <si>
    <t>SIMONETTA ROSSI S.R.L.</t>
  </si>
  <si>
    <t>02094850506</t>
  </si>
  <si>
    <t>IT02094850506</t>
  </si>
  <si>
    <t>Pisa</t>
  </si>
  <si>
    <t>1079.</t>
  </si>
  <si>
    <t>CALZATURIFICIO MONTEBOVE S.R.L.</t>
  </si>
  <si>
    <t>00147670434</t>
  </si>
  <si>
    <t>IT00147670434</t>
  </si>
  <si>
    <t>1080.</t>
  </si>
  <si>
    <t>CALZATURIFICIO ACCADEMIA S.R.L.</t>
  </si>
  <si>
    <t>01603170273</t>
  </si>
  <si>
    <t>IT01603170273</t>
  </si>
  <si>
    <t>1081.</t>
  </si>
  <si>
    <t>CONCERIA PAGNI S.R.L.</t>
  </si>
  <si>
    <t>05177080487</t>
  </si>
  <si>
    <t>IT05177080487</t>
  </si>
  <si>
    <t>1082.</t>
  </si>
  <si>
    <t>CALZATURIFICIO MARCOS - S.R.L.</t>
  </si>
  <si>
    <t>00092910439</t>
  </si>
  <si>
    <t>IT00092910439</t>
  </si>
  <si>
    <t>1083.</t>
  </si>
  <si>
    <t>CALZATURIFICIO BETTIO S.R.L.</t>
  </si>
  <si>
    <t>00618220289</t>
  </si>
  <si>
    <t>IT00618220289</t>
  </si>
  <si>
    <t>1084.</t>
  </si>
  <si>
    <t>TERZO MILLENNIO STYLE S.R.L.</t>
  </si>
  <si>
    <t>02480220975</t>
  </si>
  <si>
    <t>IT02480220975</t>
  </si>
  <si>
    <t>Prato</t>
  </si>
  <si>
    <t>1085.</t>
  </si>
  <si>
    <t>MANIFATTURE DEL MONTEFELTRO S.R.L.</t>
  </si>
  <si>
    <t>01315680411</t>
  </si>
  <si>
    <t>IT01315680411</t>
  </si>
  <si>
    <t>Pesaro e Urbino</t>
  </si>
  <si>
    <t>1086.</t>
  </si>
  <si>
    <t>ICAM S.R.L.</t>
  </si>
  <si>
    <t>02554420980</t>
  </si>
  <si>
    <t>IT02554420980</t>
  </si>
  <si>
    <t>Brescia</t>
  </si>
  <si>
    <t>1087.</t>
  </si>
  <si>
    <t>L. PUCCI - S.R.L.</t>
  </si>
  <si>
    <t>00423060482</t>
  </si>
  <si>
    <t>IT00423060482</t>
  </si>
  <si>
    <t>1088.</t>
  </si>
  <si>
    <t>BUBE CLOTHING COMPANY SRL</t>
  </si>
  <si>
    <t>03331070247</t>
  </si>
  <si>
    <t>IT03331070247</t>
  </si>
  <si>
    <t>141910</t>
  </si>
  <si>
    <t>Vicenza</t>
  </si>
  <si>
    <t>Veneto</t>
  </si>
  <si>
    <t>1089.</t>
  </si>
  <si>
    <t>ARIS CALZIFICIO S.R.L.</t>
  </si>
  <si>
    <t>00457660207</t>
  </si>
  <si>
    <t>00341230175</t>
  </si>
  <si>
    <t>IT00341230175</t>
  </si>
  <si>
    <t>143100</t>
  </si>
  <si>
    <t>Brescia</t>
  </si>
  <si>
    <t>Lombardia</t>
  </si>
  <si>
    <t>1090.</t>
  </si>
  <si>
    <t>CALZATURIFICIO EXPORTACC SRL</t>
  </si>
  <si>
    <t>01275070231</t>
  </si>
  <si>
    <t>IT01275070231</t>
  </si>
  <si>
    <t>152010</t>
  </si>
  <si>
    <t>Verona</t>
  </si>
  <si>
    <t>1091.</t>
  </si>
  <si>
    <t>CONCERIA UPIMAR - S.R.L.</t>
  </si>
  <si>
    <t>01134360500</t>
  </si>
  <si>
    <t>IT01134360500</t>
  </si>
  <si>
    <t>151100</t>
  </si>
  <si>
    <t>Firenze</t>
  </si>
  <si>
    <t>Toscana</t>
  </si>
  <si>
    <t>1092.</t>
  </si>
  <si>
    <t>DIVINA S.R.L.</t>
  </si>
  <si>
    <t>03340611213</t>
  </si>
  <si>
    <t>IT03340611213</t>
  </si>
  <si>
    <t>Napoli</t>
  </si>
  <si>
    <t>Campania</t>
  </si>
  <si>
    <t>1093.</t>
  </si>
  <si>
    <t>PAMI' S.R.L.</t>
  </si>
  <si>
    <t>01324930518</t>
  </si>
  <si>
    <t>IT01324930518</t>
  </si>
  <si>
    <t>152020</t>
  </si>
  <si>
    <t>Arezzo</t>
  </si>
  <si>
    <t>1094.</t>
  </si>
  <si>
    <t>PARABIAGO COLLEZIONI SRL</t>
  </si>
  <si>
    <t>12778540158</t>
  </si>
  <si>
    <t>IT12778540158</t>
  </si>
  <si>
    <t>Milano</t>
  </si>
  <si>
    <t>n.d.</t>
  </si>
  <si>
    <t>1095.</t>
  </si>
  <si>
    <t>SUOLIFICIO ARS-SUOLA S.R.L.</t>
  </si>
  <si>
    <t>00458300506</t>
  </si>
  <si>
    <t>IT00458300506</t>
  </si>
  <si>
    <t>Pisa</t>
  </si>
  <si>
    <t>1096.</t>
  </si>
  <si>
    <t>ARMOND S.R.L.</t>
  </si>
  <si>
    <t>04418100261</t>
  </si>
  <si>
    <t>IT04418100261</t>
  </si>
  <si>
    <t>Treviso</t>
  </si>
  <si>
    <t>1097.</t>
  </si>
  <si>
    <t>MAGLIFICIO LAURA PATRIZIA S.R.L.</t>
  </si>
  <si>
    <t>05074500488</t>
  </si>
  <si>
    <t>IT05074500488</t>
  </si>
  <si>
    <t>141310</t>
  </si>
  <si>
    <t>1098.</t>
  </si>
  <si>
    <t>EGOCHEF S.R.L.</t>
  </si>
  <si>
    <t>01946500269</t>
  </si>
  <si>
    <t>IT01946500269</t>
  </si>
  <si>
    <t>141200</t>
  </si>
  <si>
    <t>1099.</t>
  </si>
  <si>
    <t>R.E.G. SRL</t>
  </si>
  <si>
    <t>01036510475</t>
  </si>
  <si>
    <t>IT01036510475</t>
  </si>
  <si>
    <t>Pistoia</t>
  </si>
  <si>
    <t>1100.</t>
  </si>
  <si>
    <t>ZANUSO S.R.L.</t>
  </si>
  <si>
    <t>03378220242</t>
  </si>
  <si>
    <t>IT03378220242</t>
  </si>
  <si>
    <t>141000</t>
  </si>
  <si>
    <t>1101.</t>
  </si>
  <si>
    <t>CONCERIA DS DAVID SYSTEM S.R.L.</t>
  </si>
  <si>
    <t>03626130243</t>
  </si>
  <si>
    <t>IT03626130243</t>
  </si>
  <si>
    <t>1102.</t>
  </si>
  <si>
    <t>DENIM MODA S.R.L.</t>
  </si>
  <si>
    <t>02102890676</t>
  </si>
  <si>
    <t>IT02102890676</t>
  </si>
  <si>
    <t>Teramo</t>
  </si>
  <si>
    <t>Abruzzo</t>
  </si>
  <si>
    <t>1103.</t>
  </si>
  <si>
    <t>MAGLIFICIO CHIEMAR SRL</t>
  </si>
  <si>
    <t>01873550048</t>
  </si>
  <si>
    <t>IT01873550048</t>
  </si>
  <si>
    <t>143900</t>
  </si>
  <si>
    <t>Cuneo</t>
  </si>
  <si>
    <t>Piemonte</t>
  </si>
  <si>
    <t>1104.</t>
  </si>
  <si>
    <t>MIA S.R.L.</t>
  </si>
  <si>
    <t>02928310982</t>
  </si>
  <si>
    <t>IT02928310982</t>
  </si>
  <si>
    <t>141929</t>
  </si>
  <si>
    <t>1105.</t>
  </si>
  <si>
    <t>BLACKBOARD SRL</t>
  </si>
  <si>
    <t>05706920963</t>
  </si>
  <si>
    <t>IT05706920963</t>
  </si>
  <si>
    <t>1106.</t>
  </si>
  <si>
    <t>DIMAR CONCERIA S.R.L.</t>
  </si>
  <si>
    <t>03357690241</t>
  </si>
  <si>
    <t>IT03357690241</t>
  </si>
  <si>
    <t>1107.</t>
  </si>
  <si>
    <t>PELLEROSSA S.R.L.</t>
  </si>
  <si>
    <t>02013480286</t>
  </si>
  <si>
    <t>IT02013480286</t>
  </si>
  <si>
    <t>Padova</t>
  </si>
  <si>
    <t>1108.</t>
  </si>
  <si>
    <t>DUAL BAND INDUSTRY S.R.L.</t>
  </si>
  <si>
    <t>03415990542</t>
  </si>
  <si>
    <t>IT03415990542</t>
  </si>
  <si>
    <t>Perugia</t>
  </si>
  <si>
    <t>Umbria</t>
  </si>
  <si>
    <t>1109.</t>
  </si>
  <si>
    <t>MAGLIFICIO NICCOLAI SRL</t>
  </si>
  <si>
    <t>02300490972</t>
  </si>
  <si>
    <t>IT02300490972</t>
  </si>
  <si>
    <t>Prato</t>
  </si>
  <si>
    <t>1110.</t>
  </si>
  <si>
    <t>VIOLA CALZIFICIO S.R.L.</t>
  </si>
  <si>
    <t>00593590987</t>
  </si>
  <si>
    <t>00980180178</t>
  </si>
  <si>
    <t>IT00980180178</t>
  </si>
  <si>
    <t>1111.</t>
  </si>
  <si>
    <t>NORD PELLAMI S.R.L.</t>
  </si>
  <si>
    <t>01821940242</t>
  </si>
  <si>
    <t>IT01821940242</t>
  </si>
  <si>
    <t>151200</t>
  </si>
  <si>
    <t>1112.</t>
  </si>
  <si>
    <t>IL BORGO CASHMERE SRL</t>
  </si>
  <si>
    <t>04899590485</t>
  </si>
  <si>
    <t>IT04899590485</t>
  </si>
  <si>
    <t>1113.</t>
  </si>
  <si>
    <t>SOMMA &amp; C. S.R.L.</t>
  </si>
  <si>
    <t>01892440346</t>
  </si>
  <si>
    <t>IT01892440346</t>
  </si>
  <si>
    <t>Parma</t>
  </si>
  <si>
    <t>Emilia-Romagna</t>
  </si>
  <si>
    <t>1114.</t>
  </si>
  <si>
    <t>CB PELLETTERIE SRL</t>
  </si>
  <si>
    <t>00725360242</t>
  </si>
  <si>
    <t>IT00725360242</t>
  </si>
  <si>
    <t>151209</t>
  </si>
  <si>
    <t>1115.</t>
  </si>
  <si>
    <t>OVER SOCIETA' PER AZIONI</t>
  </si>
  <si>
    <t>03498990757</t>
  </si>
  <si>
    <t>05470340729</t>
  </si>
  <si>
    <t>IT05470340729</t>
  </si>
  <si>
    <t>1116.</t>
  </si>
  <si>
    <t>E.P.S. S.R.L.</t>
  </si>
  <si>
    <t>03757531219</t>
  </si>
  <si>
    <t>IT03757531219</t>
  </si>
  <si>
    <t>141320</t>
  </si>
  <si>
    <t>1117.</t>
  </si>
  <si>
    <t>PROSPERINE S.R.L.</t>
  </si>
  <si>
    <t>01469510513</t>
  </si>
  <si>
    <t>IT01469510513</t>
  </si>
  <si>
    <t>1118.</t>
  </si>
  <si>
    <t>SORBATTI S.R.L</t>
  </si>
  <si>
    <t>01327000442</t>
  </si>
  <si>
    <t>IT01327000442</t>
  </si>
  <si>
    <t>Fermo</t>
  </si>
  <si>
    <t>Marche</t>
  </si>
  <si>
    <t>1119.</t>
  </si>
  <si>
    <t>KILTIE S.R.L.</t>
  </si>
  <si>
    <t>02180080984</t>
  </si>
  <si>
    <t>IT02180080984</t>
  </si>
  <si>
    <t>1120.</t>
  </si>
  <si>
    <t>BIANCA MONTIPO' SRL</t>
  </si>
  <si>
    <t>02070880352</t>
  </si>
  <si>
    <t>IT02070880352</t>
  </si>
  <si>
    <t>141310</t>
  </si>
  <si>
    <t>Reggio nell'Emilia</t>
  </si>
  <si>
    <t>Emilia-Romagna</t>
  </si>
  <si>
    <t>n.d.</t>
  </si>
  <si>
    <t>1121.</t>
  </si>
  <si>
    <t>C.P. LEATHERS S.R.L.</t>
  </si>
  <si>
    <t>04317580241</t>
  </si>
  <si>
    <t>IT04317580241</t>
  </si>
  <si>
    <t>151100</t>
  </si>
  <si>
    <t>Vicenza</t>
  </si>
  <si>
    <t>Veneto</t>
  </si>
  <si>
    <t>1122.</t>
  </si>
  <si>
    <t>CONCERIA DELLA NEVE SOCIETA' A RESPONSABILITA' LIMITATA IN ABBREVIAZIONE CONCERIA DELLA NEVE S.R.L.</t>
  </si>
  <si>
    <t>00611640640</t>
  </si>
  <si>
    <t>IT00611640640</t>
  </si>
  <si>
    <t>Avellino</t>
  </si>
  <si>
    <t>Campania</t>
  </si>
  <si>
    <t>1123.</t>
  </si>
  <si>
    <t>VERDE RANA - SOCIETA' A RESPONSABILITA' LIMITATA IN FORMA ABBREVI ATA VERDE RANA - S.R.L.</t>
  </si>
  <si>
    <t>05586830480</t>
  </si>
  <si>
    <t>IT05586830480</t>
  </si>
  <si>
    <t>151209</t>
  </si>
  <si>
    <t>Firenze</t>
  </si>
  <si>
    <t>Toscana</t>
  </si>
  <si>
    <t>1124.</t>
  </si>
  <si>
    <t>GAMBATO S.R.L.</t>
  </si>
  <si>
    <t>01371740281</t>
  </si>
  <si>
    <t>IT01371740281</t>
  </si>
  <si>
    <t>141000</t>
  </si>
  <si>
    <t>Padova</t>
  </si>
  <si>
    <t>1125.</t>
  </si>
  <si>
    <t>GIOS CONFEZIONI S.R.L.</t>
  </si>
  <si>
    <t>01626430365</t>
  </si>
  <si>
    <t>IT01626430365</t>
  </si>
  <si>
    <t>141400</t>
  </si>
  <si>
    <t>Modena</t>
  </si>
  <si>
    <t>1126.</t>
  </si>
  <si>
    <t>C.G. STUDIO S.R.L.</t>
  </si>
  <si>
    <t>05341330487</t>
  </si>
  <si>
    <t>IT05341330487</t>
  </si>
  <si>
    <t>141100</t>
  </si>
  <si>
    <t>1127.</t>
  </si>
  <si>
    <t>PACI S.R.L.</t>
  </si>
  <si>
    <t>01826370288</t>
  </si>
  <si>
    <t>IT01826370288</t>
  </si>
  <si>
    <t>Milano</t>
  </si>
  <si>
    <t>Lombardia</t>
  </si>
  <si>
    <t>1128.</t>
  </si>
  <si>
    <t>NUOVA CALZE REGIA SOCIETA' A RESPONSABILITA' LIMITATA</t>
  </si>
  <si>
    <t>03341820177</t>
  </si>
  <si>
    <t>IT03341820177</t>
  </si>
  <si>
    <t>143100</t>
  </si>
  <si>
    <t>Brescia</t>
  </si>
  <si>
    <t>1129.</t>
  </si>
  <si>
    <t>CALZATURIFICIO SALA SRL</t>
  </si>
  <si>
    <t>02267130181</t>
  </si>
  <si>
    <t>IT02267130181</t>
  </si>
  <si>
    <t>152010</t>
  </si>
  <si>
    <t>Pavia</t>
  </si>
  <si>
    <t>1130.</t>
  </si>
  <si>
    <t>SANDRO VICARI S.R.L.</t>
  </si>
  <si>
    <t>01873070278</t>
  </si>
  <si>
    <t>IT01873070278</t>
  </si>
  <si>
    <t>Venezia</t>
  </si>
  <si>
    <t>1131.</t>
  </si>
  <si>
    <t>MICMAR - S.R.L.</t>
  </si>
  <si>
    <t>07828990635</t>
  </si>
  <si>
    <t>IT07828990635</t>
  </si>
  <si>
    <t>Napoli</t>
  </si>
  <si>
    <t>1132.</t>
  </si>
  <si>
    <t>SABINTIMA S.R.L.</t>
  </si>
  <si>
    <t>02261550160</t>
  </si>
  <si>
    <t>IT02261550160</t>
  </si>
  <si>
    <t>141300</t>
  </si>
  <si>
    <t>Bergamo</t>
  </si>
  <si>
    <t>1133.</t>
  </si>
  <si>
    <t>MIDEL S.R.L.</t>
  </si>
  <si>
    <t>06566290729</t>
  </si>
  <si>
    <t>IT06566290729</t>
  </si>
  <si>
    <t>Bari</t>
  </si>
  <si>
    <t>Puglia</t>
  </si>
  <si>
    <t>1134.</t>
  </si>
  <si>
    <t>COBAS S.R.L.</t>
  </si>
  <si>
    <t>00949250674</t>
  </si>
  <si>
    <t>IT00949250674</t>
  </si>
  <si>
    <t>141910</t>
  </si>
  <si>
    <t>Teramo</t>
  </si>
  <si>
    <t>Abruzzo</t>
  </si>
  <si>
    <t>1135.</t>
  </si>
  <si>
    <t>CONCERIA CARLI S.P.A.</t>
  </si>
  <si>
    <t>01033020502</t>
  </si>
  <si>
    <t>00443990486</t>
  </si>
  <si>
    <t>IT00443990486</t>
  </si>
  <si>
    <t>Pisa</t>
  </si>
  <si>
    <t>1136.</t>
  </si>
  <si>
    <t>SPACE STYLE S.R.L.</t>
  </si>
  <si>
    <t>02541841207</t>
  </si>
  <si>
    <t>IT02541841207</t>
  </si>
  <si>
    <t>Bologna</t>
  </si>
  <si>
    <t>1137.</t>
  </si>
  <si>
    <t>L ALPINA MAGLIERIE SPORTIVE S.P.A.</t>
  </si>
  <si>
    <t>00847360153</t>
  </si>
  <si>
    <t>IT00847360153</t>
  </si>
  <si>
    <t>1138.</t>
  </si>
  <si>
    <t>MAGLIFICIO MA.RE. S.R.L.</t>
  </si>
  <si>
    <t>01035130937</t>
  </si>
  <si>
    <t>IT01035130937</t>
  </si>
  <si>
    <t>Pordenone</t>
  </si>
  <si>
    <t>Friuli-Venezia Giulia</t>
  </si>
  <si>
    <t>1139.</t>
  </si>
  <si>
    <t>CORSAIR S.R.L.</t>
  </si>
  <si>
    <t>02935671210</t>
  </si>
  <si>
    <t>IT02935671210</t>
  </si>
  <si>
    <t>1140.</t>
  </si>
  <si>
    <t>CIBIO S.R.L.</t>
  </si>
  <si>
    <t>00614130136</t>
  </si>
  <si>
    <t>IT00614130136</t>
  </si>
  <si>
    <t>Como</t>
  </si>
  <si>
    <t>1141.</t>
  </si>
  <si>
    <t>SABIS - BISCONTI S.R.L.</t>
  </si>
  <si>
    <t>01940530445</t>
  </si>
  <si>
    <t>IT01940530445</t>
  </si>
  <si>
    <t>Fermo</t>
  </si>
  <si>
    <t>Marche</t>
  </si>
  <si>
    <t>1142.</t>
  </si>
  <si>
    <t>IL VELIERO S.R.L.</t>
  </si>
  <si>
    <t>02050490503</t>
  </si>
  <si>
    <t>IT02050490503</t>
  </si>
  <si>
    <t>152020</t>
  </si>
  <si>
    <t>1143.</t>
  </si>
  <si>
    <t>CRISTIAN S.R.L.</t>
  </si>
  <si>
    <t>00527590483</t>
  </si>
  <si>
    <t>IT00527590483</t>
  </si>
  <si>
    <t>1144.</t>
  </si>
  <si>
    <t>NOTORIUS DI MICHELETTI S.R.L.</t>
  </si>
  <si>
    <t>02150370480</t>
  </si>
  <si>
    <t>IT02150370480</t>
  </si>
  <si>
    <t>143900</t>
  </si>
  <si>
    <t>1145.</t>
  </si>
  <si>
    <t>EFFEVENTI S.R.L.</t>
  </si>
  <si>
    <t>02064420678</t>
  </si>
  <si>
    <t>IT02064420678</t>
  </si>
  <si>
    <t>1146.</t>
  </si>
  <si>
    <t>NEFE S.R.L.</t>
  </si>
  <si>
    <t>06676020487</t>
  </si>
  <si>
    <t>IT06676020487</t>
  </si>
  <si>
    <t>1147.</t>
  </si>
  <si>
    <t>CALZATURIFICIO SILVANO SASSETTI SRL</t>
  </si>
  <si>
    <t>01496450444</t>
  </si>
  <si>
    <t>IT01496450444</t>
  </si>
  <si>
    <t>1148.</t>
  </si>
  <si>
    <t>LIBRA S.R.L.</t>
  </si>
  <si>
    <t>01977170446</t>
  </si>
  <si>
    <t>IT01977170446</t>
  </si>
  <si>
    <t>1149.</t>
  </si>
  <si>
    <t>CALZATURIFICIO NAPOLEONI S.R.L.</t>
  </si>
  <si>
    <t>00909360430</t>
  </si>
  <si>
    <t>IT00909360430</t>
  </si>
  <si>
    <t>Macerata</t>
  </si>
  <si>
    <t>1150.</t>
  </si>
  <si>
    <t>CALANDRINI S.R.L.</t>
  </si>
  <si>
    <t>00592071203</t>
  </si>
  <si>
    <t>03053810374</t>
  </si>
  <si>
    <t>IT03053810374</t>
  </si>
  <si>
    <t>151200</t>
  </si>
  <si>
    <t>1151.</t>
  </si>
  <si>
    <t>MAGLIFICIO VIGANO' GIUSEPPE S.R.L.</t>
  </si>
  <si>
    <t>00216920124</t>
  </si>
  <si>
    <t>IT00216920124</t>
  </si>
  <si>
    <t>Varese</t>
  </si>
  <si>
    <t>1152.</t>
  </si>
  <si>
    <t>AFG SRL</t>
  </si>
  <si>
    <t>01884410430</t>
  </si>
  <si>
    <t>IT01884410430</t>
  </si>
  <si>
    <t>152010</t>
  </si>
  <si>
    <t>Macerata</t>
  </si>
  <si>
    <t>Marche</t>
  </si>
  <si>
    <t>1153.</t>
  </si>
  <si>
    <t>PISSEI SRL</t>
  </si>
  <si>
    <t>01707250476</t>
  </si>
  <si>
    <t>IT01707250476</t>
  </si>
  <si>
    <t>141929</t>
  </si>
  <si>
    <t>Pistoia</t>
  </si>
  <si>
    <t>Toscana</t>
  </si>
  <si>
    <t>1154.</t>
  </si>
  <si>
    <t>PUNTO ZERO S.R.L.</t>
  </si>
  <si>
    <t>09971710968</t>
  </si>
  <si>
    <t>IT09971710968</t>
  </si>
  <si>
    <t>151209</t>
  </si>
  <si>
    <t>Milano</t>
  </si>
  <si>
    <t>Lombardia</t>
  </si>
  <si>
    <t>1155.</t>
  </si>
  <si>
    <t>ARCARI E CO. S.R.L.</t>
  </si>
  <si>
    <t>03474741208</t>
  </si>
  <si>
    <t>IT03474741208</t>
  </si>
  <si>
    <t>141000</t>
  </si>
  <si>
    <t>Ravenna</t>
  </si>
  <si>
    <t>Emilia-Romagna</t>
  </si>
  <si>
    <t>1156.</t>
  </si>
  <si>
    <t>SABATINI CALZATURE S.R.L.</t>
  </si>
  <si>
    <t>02572540546</t>
  </si>
  <si>
    <t>IT02572540546</t>
  </si>
  <si>
    <t>Perugia</t>
  </si>
  <si>
    <t>Umbria</t>
  </si>
  <si>
    <t>1157.</t>
  </si>
  <si>
    <t>FAMENGO LUCIANO S.R.L.</t>
  </si>
  <si>
    <t>03866400272</t>
  </si>
  <si>
    <t>IT03866400272</t>
  </si>
  <si>
    <t>Venezia</t>
  </si>
  <si>
    <t>Veneto</t>
  </si>
  <si>
    <t>1158.</t>
  </si>
  <si>
    <t>CONCERIA EMMEDUE SRL</t>
  </si>
  <si>
    <t>00793250242</t>
  </si>
  <si>
    <t>IT00793250242</t>
  </si>
  <si>
    <t>151100</t>
  </si>
  <si>
    <t>Vicenza</t>
  </si>
  <si>
    <t>1159.</t>
  </si>
  <si>
    <t>OTTIERRE SOCIETA' A RESPONSABILITA' LIMITATA</t>
  </si>
  <si>
    <t>02968040796</t>
  </si>
  <si>
    <t>IT02968040796</t>
  </si>
  <si>
    <t>Catanzaro</t>
  </si>
  <si>
    <t>Calabria</t>
  </si>
  <si>
    <t>1160.</t>
  </si>
  <si>
    <t>EFFEBI WEAR SRL</t>
  </si>
  <si>
    <t>03822670133</t>
  </si>
  <si>
    <t>IT03822670133</t>
  </si>
  <si>
    <t>141400</t>
  </si>
  <si>
    <t>Lecco</t>
  </si>
  <si>
    <t>1161.</t>
  </si>
  <si>
    <t>MOREO S.R.L.</t>
  </si>
  <si>
    <t>01664750120</t>
  </si>
  <si>
    <t>IT01664750120</t>
  </si>
  <si>
    <t>1162.</t>
  </si>
  <si>
    <t>BELTRAME LUCIANO S.R.L.</t>
  </si>
  <si>
    <t>02336530288</t>
  </si>
  <si>
    <t>02402920272</t>
  </si>
  <si>
    <t>IT02402920272</t>
  </si>
  <si>
    <t>152020</t>
  </si>
  <si>
    <t>Padova</t>
  </si>
  <si>
    <t>1163.</t>
  </si>
  <si>
    <t>ADLER DI MARANA LINO &amp; C. S.R.L.</t>
  </si>
  <si>
    <t>01274040243</t>
  </si>
  <si>
    <t>IT01274040243</t>
  </si>
  <si>
    <t>1164.</t>
  </si>
  <si>
    <t>ANNA ROSSI S.R.L.</t>
  </si>
  <si>
    <t>03527110161</t>
  </si>
  <si>
    <t>IT03527110161</t>
  </si>
  <si>
    <t>Bergamo</t>
  </si>
  <si>
    <t>1165.</t>
  </si>
  <si>
    <t>CALZATURIFICIO SUSIMODA S.R.L. IN FORMA BREVE SUSIMODA S.R.L.</t>
  </si>
  <si>
    <t>01574680243</t>
  </si>
  <si>
    <t>IT01574680243</t>
  </si>
  <si>
    <t>152000</t>
  </si>
  <si>
    <t>1166.</t>
  </si>
  <si>
    <t>MORELLINO S.R.L.</t>
  </si>
  <si>
    <t>00202870507</t>
  </si>
  <si>
    <t>IT00202870507</t>
  </si>
  <si>
    <t>Pisa</t>
  </si>
  <si>
    <t>1167.</t>
  </si>
  <si>
    <t>CALZATURIFICIO EMANUELA S.R.L.</t>
  </si>
  <si>
    <t>02074650397</t>
  </si>
  <si>
    <t>IT02074650397</t>
  </si>
  <si>
    <t>141921</t>
  </si>
  <si>
    <t>1168.</t>
  </si>
  <si>
    <t>NAAX S.R.L.</t>
  </si>
  <si>
    <t>00792320673</t>
  </si>
  <si>
    <t>IT00792320673</t>
  </si>
  <si>
    <t>Ascoli Piceno</t>
  </si>
  <si>
    <t>1169.</t>
  </si>
  <si>
    <t>OLTREDONNA S.R.L.</t>
  </si>
  <si>
    <t>08646931009</t>
  </si>
  <si>
    <t>IT08646931009</t>
  </si>
  <si>
    <t>Teramo</t>
  </si>
  <si>
    <t>Abruzzo</t>
  </si>
  <si>
    <t>1170.</t>
  </si>
  <si>
    <t>SOLETTIFICIO VIGNA S.R.L.</t>
  </si>
  <si>
    <t>00964400295</t>
  </si>
  <si>
    <t>IT00964400295</t>
  </si>
  <si>
    <t>Rovigo</t>
  </si>
  <si>
    <t>1171.</t>
  </si>
  <si>
    <t>EMMEGI S.R.L.</t>
  </si>
  <si>
    <t>00619710544</t>
  </si>
  <si>
    <t>IT00619710544</t>
  </si>
  <si>
    <t>141310</t>
  </si>
  <si>
    <t>n.d.</t>
  </si>
  <si>
    <t>1172.</t>
  </si>
  <si>
    <t>ERRE EMME SUOLE SRL</t>
  </si>
  <si>
    <t>01163930439</t>
  </si>
  <si>
    <t>IT01163930439</t>
  </si>
  <si>
    <t>1173.</t>
  </si>
  <si>
    <t>MAROCCHINERIE E SCAMOSCERIE ITALIANE - SOCIETA' A RESPONSABILITA' LIMITATA</t>
  </si>
  <si>
    <t>00475740015</t>
  </si>
  <si>
    <t>IT00475740015</t>
  </si>
  <si>
    <t>Torino</t>
  </si>
  <si>
    <t>Piemonte</t>
  </si>
  <si>
    <t>1174.</t>
  </si>
  <si>
    <t>MODIT GROUP SRL</t>
  </si>
  <si>
    <t>07622940018</t>
  </si>
  <si>
    <t>IT07622940018</t>
  </si>
  <si>
    <t>141200</t>
  </si>
  <si>
    <t>1175.</t>
  </si>
  <si>
    <t>SOLETTIFICIO COMPAGNONE SRL</t>
  </si>
  <si>
    <t>07338670156</t>
  </si>
  <si>
    <t>IT07338670156</t>
  </si>
  <si>
    <t>1176.</t>
  </si>
  <si>
    <t>TRE P. ABBIGLIAMENTO S.R.L</t>
  </si>
  <si>
    <t>02514190731</t>
  </si>
  <si>
    <t>IT02514190731</t>
  </si>
  <si>
    <t>Taranto</t>
  </si>
  <si>
    <t>Puglia</t>
  </si>
  <si>
    <t>1177.</t>
  </si>
  <si>
    <t>CALZ. MARIA LUISA S.R.L.</t>
  </si>
  <si>
    <t>00346570443</t>
  </si>
  <si>
    <t>IT00346570443</t>
  </si>
  <si>
    <t>Fermo</t>
  </si>
  <si>
    <t>1178.</t>
  </si>
  <si>
    <t>GRUPPO SARTORIALE INTERNATIONAL S.R.L.</t>
  </si>
  <si>
    <t>01969110970</t>
  </si>
  <si>
    <t>IT01969110970</t>
  </si>
  <si>
    <t>141910</t>
  </si>
  <si>
    <t>Prato</t>
  </si>
  <si>
    <t>1179.</t>
  </si>
  <si>
    <t>NIKA NIKA S.R.L.</t>
  </si>
  <si>
    <t>02083970976</t>
  </si>
  <si>
    <t>IT02083970976</t>
  </si>
  <si>
    <t>1180.</t>
  </si>
  <si>
    <t>PINEIDER 1774 S.R.L.</t>
  </si>
  <si>
    <t>09561740961</t>
  </si>
  <si>
    <t>IT09561740961</t>
  </si>
  <si>
    <t>Firenze</t>
  </si>
  <si>
    <t>1181.</t>
  </si>
  <si>
    <t>CONFEZIONI GALLIA - S.R.L.</t>
  </si>
  <si>
    <t>00222660284</t>
  </si>
  <si>
    <t>IT00222660284</t>
  </si>
  <si>
    <t>1182.</t>
  </si>
  <si>
    <t>TERI S.R.L. IN LIQUIDAZIONE</t>
  </si>
  <si>
    <t>00949690184</t>
  </si>
  <si>
    <t>IT00949690184</t>
  </si>
  <si>
    <t>Pavia</t>
  </si>
  <si>
    <t>1183.</t>
  </si>
  <si>
    <t>B &amp; C COMPANY S.R.L.</t>
  </si>
  <si>
    <t>06613030482</t>
  </si>
  <si>
    <t>IT06613030482</t>
  </si>
  <si>
    <t>1184.</t>
  </si>
  <si>
    <t>PREFINITI SIMON S.R.L.</t>
  </si>
  <si>
    <t>01746000437</t>
  </si>
  <si>
    <t>IT01746000437</t>
  </si>
  <si>
    <t>152020</t>
  </si>
  <si>
    <t>Macerata</t>
  </si>
  <si>
    <t>Marche</t>
  </si>
  <si>
    <t>1185.</t>
  </si>
  <si>
    <t>ITTTAI SRL</t>
  </si>
  <si>
    <t>04794240269</t>
  </si>
  <si>
    <t>IT04794240269</t>
  </si>
  <si>
    <t>141910</t>
  </si>
  <si>
    <t>Treviso</t>
  </si>
  <si>
    <t>Veneto</t>
  </si>
  <si>
    <t>1186.</t>
  </si>
  <si>
    <t>TRE BI - S.R.L.</t>
  </si>
  <si>
    <t>00238660260</t>
  </si>
  <si>
    <t>IT00238660260</t>
  </si>
  <si>
    <t>1187.</t>
  </si>
  <si>
    <t>CONCERIA CARAVAGGIO S.R.L.</t>
  </si>
  <si>
    <t>01732670508</t>
  </si>
  <si>
    <t>IT01732670508</t>
  </si>
  <si>
    <t>151100</t>
  </si>
  <si>
    <t>Pisa</t>
  </si>
  <si>
    <t>Toscana</t>
  </si>
  <si>
    <t>1188.</t>
  </si>
  <si>
    <t>CONCERIA CAPONI GIUSEPPE &amp; C. S.R.L.</t>
  </si>
  <si>
    <t>01162340507</t>
  </si>
  <si>
    <t>IT01162340507</t>
  </si>
  <si>
    <t>1189.</t>
  </si>
  <si>
    <t>SYLVIE S.R.L.</t>
  </si>
  <si>
    <t>00391390036</t>
  </si>
  <si>
    <t>IT00391390036</t>
  </si>
  <si>
    <t>141000</t>
  </si>
  <si>
    <t>Novara</t>
  </si>
  <si>
    <t>Piemonte</t>
  </si>
  <si>
    <t>1190.</t>
  </si>
  <si>
    <t>BENEPIU' S.R.L.</t>
  </si>
  <si>
    <t>01617710361</t>
  </si>
  <si>
    <t>IT01617710361</t>
  </si>
  <si>
    <t>143900</t>
  </si>
  <si>
    <t>Modena</t>
  </si>
  <si>
    <t>Emilia-Romagna</t>
  </si>
  <si>
    <t>1191.</t>
  </si>
  <si>
    <t>ELIA S.R.L.</t>
  </si>
  <si>
    <t>01897770515</t>
  </si>
  <si>
    <t>IT01897770515</t>
  </si>
  <si>
    <t>151209</t>
  </si>
  <si>
    <t>Firenze</t>
  </si>
  <si>
    <t>n.d.</t>
  </si>
  <si>
    <t>1192.</t>
  </si>
  <si>
    <t>KRYSTAL S.R.L.</t>
  </si>
  <si>
    <t>06555961215</t>
  </si>
  <si>
    <t>IT06555961215</t>
  </si>
  <si>
    <t>Napoli</t>
  </si>
  <si>
    <t>Campania</t>
  </si>
  <si>
    <t>1193.</t>
  </si>
  <si>
    <t>CONCERIA PUCCINI ATTILIO S.R.L.</t>
  </si>
  <si>
    <t>00974020505</t>
  </si>
  <si>
    <t>IT00974020505</t>
  </si>
  <si>
    <t>1194.</t>
  </si>
  <si>
    <t>ERCOLI S.R.L.</t>
  </si>
  <si>
    <t>01063150443</t>
  </si>
  <si>
    <t>IT01063150443</t>
  </si>
  <si>
    <t>152010</t>
  </si>
  <si>
    <t>Fermo</t>
  </si>
  <si>
    <t>1195.</t>
  </si>
  <si>
    <t>RUCOLINE S.R.L.</t>
  </si>
  <si>
    <t>01820620548</t>
  </si>
  <si>
    <t>IT01820620548</t>
  </si>
  <si>
    <t>Perugia</t>
  </si>
  <si>
    <t>Umbria</t>
  </si>
  <si>
    <t>1196.</t>
  </si>
  <si>
    <t>CALZATURIFICIO BELLOFATTO AIMONE S.R.L. .</t>
  </si>
  <si>
    <t>00851340505</t>
  </si>
  <si>
    <t>IT00851340505</t>
  </si>
  <si>
    <t>1197.</t>
  </si>
  <si>
    <t>CONCERIA NUOVA GRENOBLE - S.R.L.</t>
  </si>
  <si>
    <t>01038650501</t>
  </si>
  <si>
    <t>IT01038650501</t>
  </si>
  <si>
    <t>1198.</t>
  </si>
  <si>
    <t>S.R.L. CALZATURIFICIO BELLO'</t>
  </si>
  <si>
    <t>03182310270</t>
  </si>
  <si>
    <t>IT03182310270</t>
  </si>
  <si>
    <t>Venezia</t>
  </si>
  <si>
    <t>1199.</t>
  </si>
  <si>
    <t>OPTIMA MOLLITER SRL</t>
  </si>
  <si>
    <t>01702040443</t>
  </si>
  <si>
    <t>IT01702040443</t>
  </si>
  <si>
    <t>1200.</t>
  </si>
  <si>
    <t>T &amp; R BABY S.R.L.</t>
  </si>
  <si>
    <t>06380581212</t>
  </si>
  <si>
    <t>IT06380581212</t>
  </si>
  <si>
    <t>141310</t>
  </si>
  <si>
    <t>1201.</t>
  </si>
  <si>
    <t>TIRABASSO SERAFINO S.R.L.</t>
  </si>
  <si>
    <t>01151370440</t>
  </si>
  <si>
    <t>IT01151370440</t>
  </si>
  <si>
    <t>1202.</t>
  </si>
  <si>
    <t>EUROPELL S.R.L.</t>
  </si>
  <si>
    <t>04410780482</t>
  </si>
  <si>
    <t>01088860430</t>
  </si>
  <si>
    <t>IT01088860430</t>
  </si>
  <si>
    <t>1203.</t>
  </si>
  <si>
    <t>DORA' S.R.L.</t>
  </si>
  <si>
    <t>02700060243</t>
  </si>
  <si>
    <t>IT02700060243</t>
  </si>
  <si>
    <t>Vicenza</t>
  </si>
  <si>
    <t>1204.</t>
  </si>
  <si>
    <t>GIOIA SRL</t>
  </si>
  <si>
    <t>02737540365</t>
  </si>
  <si>
    <t>IT02737540365</t>
  </si>
  <si>
    <t>1205.</t>
  </si>
  <si>
    <t>DOLLY NOIRE S.R.L.</t>
  </si>
  <si>
    <t>08325360967</t>
  </si>
  <si>
    <t>IT08325360967</t>
  </si>
  <si>
    <t>141320</t>
  </si>
  <si>
    <t>Milano</t>
  </si>
  <si>
    <t>Lombardia</t>
  </si>
  <si>
    <t>1206.</t>
  </si>
  <si>
    <t>PASASPORT S.R.L.</t>
  </si>
  <si>
    <t>00665270237</t>
  </si>
  <si>
    <t>IT00665270237</t>
  </si>
  <si>
    <t>141929</t>
  </si>
  <si>
    <t>Verona</t>
  </si>
  <si>
    <t>1207.</t>
  </si>
  <si>
    <t>PANICALE S.R.L.</t>
  </si>
  <si>
    <t>02879130546</t>
  </si>
  <si>
    <t>IT02879130546</t>
  </si>
  <si>
    <t>1208.</t>
  </si>
  <si>
    <t>T.M.F. QUALITY CYCLING PADS S.R.L.</t>
  </si>
  <si>
    <t>00979090230</t>
  </si>
  <si>
    <t>IT00979090230</t>
  </si>
  <si>
    <t>1209.</t>
  </si>
  <si>
    <t>EFFETTO MAGLIA - SOCIETA' A RESPONSABILITA' LIMITATA</t>
  </si>
  <si>
    <t>08991391007</t>
  </si>
  <si>
    <t>IT08991391007</t>
  </si>
  <si>
    <t>Prato</t>
  </si>
  <si>
    <t>1210.</t>
  </si>
  <si>
    <t>SEM MANIFATTURE S.R.L.</t>
  </si>
  <si>
    <t>07924390722</t>
  </si>
  <si>
    <t>IT07924390722</t>
  </si>
  <si>
    <t>Barletta-Andria-Trani</t>
  </si>
  <si>
    <t>Puglia</t>
  </si>
  <si>
    <t>1211.</t>
  </si>
  <si>
    <t>CONCERIA TRE EFFE S.R.L.</t>
  </si>
  <si>
    <t>00653080507</t>
  </si>
  <si>
    <t>IT00653080507</t>
  </si>
  <si>
    <t>1212.</t>
  </si>
  <si>
    <t>C.A. GROUP S.R.L.</t>
  </si>
  <si>
    <t>05076341212</t>
  </si>
  <si>
    <t>IT05076341212</t>
  </si>
  <si>
    <t>1213.</t>
  </si>
  <si>
    <t>ROC CONCIARIA SRL</t>
  </si>
  <si>
    <t>01659660441</t>
  </si>
  <si>
    <t>IT01659660441</t>
  </si>
  <si>
    <t>1214.</t>
  </si>
  <si>
    <t>MODEXPRESS - S.R.L. -</t>
  </si>
  <si>
    <t>03784470654</t>
  </si>
  <si>
    <t>IT03784470654</t>
  </si>
  <si>
    <t>Salerno</t>
  </si>
  <si>
    <t>1215.</t>
  </si>
  <si>
    <t>GSB SRL</t>
  </si>
  <si>
    <t>02122140441</t>
  </si>
  <si>
    <t>IT02122140441</t>
  </si>
  <si>
    <t>1216.</t>
  </si>
  <si>
    <t>MORETTI MODA S.R.L.</t>
  </si>
  <si>
    <t>03527140408</t>
  </si>
  <si>
    <t>IT03527140408</t>
  </si>
  <si>
    <t>141000</t>
  </si>
  <si>
    <t>Rimini</t>
  </si>
  <si>
    <t>Emilia-Romagna</t>
  </si>
  <si>
    <t>n.d.</t>
  </si>
  <si>
    <t>1217.</t>
  </si>
  <si>
    <t>MADRILENA S.R.L.</t>
  </si>
  <si>
    <t>01836550366</t>
  </si>
  <si>
    <t>IT01836550366</t>
  </si>
  <si>
    <t>141310</t>
  </si>
  <si>
    <t>Modena</t>
  </si>
  <si>
    <t>1218.</t>
  </si>
  <si>
    <t>PIN-UP STARS S.R.L.</t>
  </si>
  <si>
    <t>02366391205</t>
  </si>
  <si>
    <t>IT02366391205</t>
  </si>
  <si>
    <t>141929</t>
  </si>
  <si>
    <t>Bologna</t>
  </si>
  <si>
    <t>1219.</t>
  </si>
  <si>
    <t>RINDI S.R.L.</t>
  </si>
  <si>
    <t>04217420480</t>
  </si>
  <si>
    <t>IT04217420480</t>
  </si>
  <si>
    <t>142000</t>
  </si>
  <si>
    <t>Firenze</t>
  </si>
  <si>
    <t>Toscana</t>
  </si>
  <si>
    <t>1220.</t>
  </si>
  <si>
    <t>SEASIDE - S.R.L. -</t>
  </si>
  <si>
    <t>01515450466</t>
  </si>
  <si>
    <t>IT01515450466</t>
  </si>
  <si>
    <t>Lucca</t>
  </si>
  <si>
    <t>1221.</t>
  </si>
  <si>
    <t>CORSO VANNUCCI S.R.L.</t>
  </si>
  <si>
    <t>02344060542</t>
  </si>
  <si>
    <t>IT02344060542</t>
  </si>
  <si>
    <t>143900</t>
  </si>
  <si>
    <t>Perugia</t>
  </si>
  <si>
    <t>Umbria</t>
  </si>
  <si>
    <t>1222.</t>
  </si>
  <si>
    <t>PELLETTERIA 2B S.R.L.</t>
  </si>
  <si>
    <t>05935650480</t>
  </si>
  <si>
    <t>IT05935650480</t>
  </si>
  <si>
    <t>151209</t>
  </si>
  <si>
    <t>1223.</t>
  </si>
  <si>
    <t>B.H.W. S.R.L.</t>
  </si>
  <si>
    <t>01893510972</t>
  </si>
  <si>
    <t>IT01893510972</t>
  </si>
  <si>
    <t>141300</t>
  </si>
  <si>
    <t>Prato</t>
  </si>
  <si>
    <t>1224.</t>
  </si>
  <si>
    <t>CONCERIA NUOVA LEON S.R.L.</t>
  </si>
  <si>
    <t>02036350243</t>
  </si>
  <si>
    <t>IT02036350243</t>
  </si>
  <si>
    <t>151100</t>
  </si>
  <si>
    <t>Vicenza</t>
  </si>
  <si>
    <t>Veneto</t>
  </si>
  <si>
    <t>1225.</t>
  </si>
  <si>
    <t>DREAMPELL S.R.L.</t>
  </si>
  <si>
    <t>05147360480</t>
  </si>
  <si>
    <t>IT05147360480</t>
  </si>
  <si>
    <t>1226.</t>
  </si>
  <si>
    <t>SAENI S.R.L.</t>
  </si>
  <si>
    <t>02469900977</t>
  </si>
  <si>
    <t>IT02469900977</t>
  </si>
  <si>
    <t>141910</t>
  </si>
  <si>
    <t>1227.</t>
  </si>
  <si>
    <t>MAXI SUOLA S.R.L.</t>
  </si>
  <si>
    <t>02003790405</t>
  </si>
  <si>
    <t>IT02003790405</t>
  </si>
  <si>
    <t>152020</t>
  </si>
  <si>
    <t>Forlì-Cesena</t>
  </si>
  <si>
    <t>1228.</t>
  </si>
  <si>
    <t>CONFEZIONI LUMA S.R.L.</t>
  </si>
  <si>
    <t>01775600974</t>
  </si>
  <si>
    <t>IT01775600974</t>
  </si>
  <si>
    <t>1229.</t>
  </si>
  <si>
    <t>FRU.IT S.R.L.</t>
  </si>
  <si>
    <t>01916310442</t>
  </si>
  <si>
    <t>IT01916310442</t>
  </si>
  <si>
    <t>152010</t>
  </si>
  <si>
    <t>Fermo</t>
  </si>
  <si>
    <t>Marche</t>
  </si>
  <si>
    <t>1230.</t>
  </si>
  <si>
    <t>CALZE ILEANA S.P.A.</t>
  </si>
  <si>
    <t>01552900209</t>
  </si>
  <si>
    <t>IT01552900209</t>
  </si>
  <si>
    <t>143100</t>
  </si>
  <si>
    <t>Brescia</t>
  </si>
  <si>
    <t>Lombardia</t>
  </si>
  <si>
    <t>1231.</t>
  </si>
  <si>
    <t>CALZATURIFICIO DI GIUSEPPE S.R.L.</t>
  </si>
  <si>
    <t>02737321212</t>
  </si>
  <si>
    <t>IT02737321212</t>
  </si>
  <si>
    <t>Napoli</t>
  </si>
  <si>
    <t>Campania</t>
  </si>
  <si>
    <t>1232.</t>
  </si>
  <si>
    <t>CONCERIA LUFRAN S.R.L.</t>
  </si>
  <si>
    <t>01339930503</t>
  </si>
  <si>
    <t>IT01339930503</t>
  </si>
  <si>
    <t>1233.</t>
  </si>
  <si>
    <t>LT.BO SRL</t>
  </si>
  <si>
    <t>03365890122</t>
  </si>
  <si>
    <t>IT03365890122</t>
  </si>
  <si>
    <t>Varese</t>
  </si>
  <si>
    <t>1234.</t>
  </si>
  <si>
    <t>M &amp; M CALZATURIFICIO S.R.L.</t>
  </si>
  <si>
    <t>03402740264</t>
  </si>
  <si>
    <t>IT03402740264</t>
  </si>
  <si>
    <t>Treviso</t>
  </si>
  <si>
    <t>1235.</t>
  </si>
  <si>
    <t>GRUPPO M.G. S.R.L.</t>
  </si>
  <si>
    <t>03162501203</t>
  </si>
  <si>
    <t>IT03162501203</t>
  </si>
  <si>
    <t>1236.</t>
  </si>
  <si>
    <t>F.F.C. CREATIVE GROUP S.R.L.</t>
  </si>
  <si>
    <t>05918661215</t>
  </si>
  <si>
    <t>IT05918661215</t>
  </si>
  <si>
    <t>Caserta</t>
  </si>
  <si>
    <t>1237.</t>
  </si>
  <si>
    <t>BERVICATO S.R.L.</t>
  </si>
  <si>
    <t>08073071212</t>
  </si>
  <si>
    <t>IT08073071212</t>
  </si>
  <si>
    <t>1238.</t>
  </si>
  <si>
    <t>OUMA SRL</t>
  </si>
  <si>
    <t>03028930646</t>
  </si>
  <si>
    <t>IT03028930646</t>
  </si>
  <si>
    <t>Avellino</t>
  </si>
  <si>
    <t>1239.</t>
  </si>
  <si>
    <t>CONCERIA A TEMA SRL</t>
  </si>
  <si>
    <t>01888960505</t>
  </si>
  <si>
    <t>IT01888960505</t>
  </si>
  <si>
    <t>Pisa</t>
  </si>
  <si>
    <t>1240.</t>
  </si>
  <si>
    <t>MONTECORE S.R.L.</t>
  </si>
  <si>
    <t>02277210411</t>
  </si>
  <si>
    <t>IT02277210411</t>
  </si>
  <si>
    <t>Pesaro e Urbino</t>
  </si>
  <si>
    <t>1241.</t>
  </si>
  <si>
    <t>Q &amp; E SRL</t>
  </si>
  <si>
    <t>02794620217</t>
  </si>
  <si>
    <t>IT02794620217</t>
  </si>
  <si>
    <t>Bolzano/Bozen</t>
  </si>
  <si>
    <t>Trentino-Alto Adige/Südtirol</t>
  </si>
  <si>
    <t>1242.</t>
  </si>
  <si>
    <t>CALZATURIFICIO COSMO S.R.L.</t>
  </si>
  <si>
    <t>00113410500</t>
  </si>
  <si>
    <t>IT00113410500</t>
  </si>
  <si>
    <t>1243.</t>
  </si>
  <si>
    <t>ZERO 1 S.R.L.</t>
  </si>
  <si>
    <t>04832790267</t>
  </si>
  <si>
    <t>IT04832790267</t>
  </si>
  <si>
    <t>1244.</t>
  </si>
  <si>
    <t>SUOLIFICIO SQUADRONI SRL</t>
  </si>
  <si>
    <t>00470060443</t>
  </si>
  <si>
    <t>IT00470060443</t>
  </si>
  <si>
    <t>1245.</t>
  </si>
  <si>
    <t>VALIGERIA TASCA ATTILIO S.R.L.</t>
  </si>
  <si>
    <t>02135770127</t>
  </si>
  <si>
    <t>IT02135770127</t>
  </si>
  <si>
    <t>1246.</t>
  </si>
  <si>
    <t>DANI CONFEZIONI S.P.A.</t>
  </si>
  <si>
    <t>01636710475</t>
  </si>
  <si>
    <t>IT01636710475</t>
  </si>
  <si>
    <t>Pistoia</t>
  </si>
  <si>
    <t>1247.</t>
  </si>
  <si>
    <t>ELLEGI PELLAMI S.P.A. SOCIETA' BENEFIT</t>
  </si>
  <si>
    <t>01384180509</t>
  </si>
  <si>
    <t>IT01384180509</t>
  </si>
  <si>
    <t>1248.</t>
  </si>
  <si>
    <t>LACCHIPLAST S.R.L.</t>
  </si>
  <si>
    <t>01965150541</t>
  </si>
  <si>
    <t>IT01965150541</t>
  </si>
  <si>
    <t>152010</t>
  </si>
  <si>
    <t>Perugia</t>
  </si>
  <si>
    <t>Umbria</t>
  </si>
  <si>
    <t>1249.</t>
  </si>
  <si>
    <t>CLASSIC LEATHER ITALIA SOCIETA' A RESPONSABILITA' LIMITATA</t>
  </si>
  <si>
    <t>06374240486</t>
  </si>
  <si>
    <t>IT06374240486</t>
  </si>
  <si>
    <t>151100</t>
  </si>
  <si>
    <t>Firenze</t>
  </si>
  <si>
    <t>Toscana</t>
  </si>
  <si>
    <t>1250.</t>
  </si>
  <si>
    <t>CREAZIONI PADUS - SOCIETA' A RESPONSABILITA' LIMITATA</t>
  </si>
  <si>
    <t>00144920352</t>
  </si>
  <si>
    <t>IT00144920352</t>
  </si>
  <si>
    <t>143900</t>
  </si>
  <si>
    <t>Reggio nell'Emilia</t>
  </si>
  <si>
    <t>Emilia-Romagna</t>
  </si>
  <si>
    <t>1251.</t>
  </si>
  <si>
    <t>CHIROS INDUSTRIE ABBIGLIAMENTO S.R.L.</t>
  </si>
  <si>
    <t>03879850273</t>
  </si>
  <si>
    <t>IT03879850273</t>
  </si>
  <si>
    <t>141100</t>
  </si>
  <si>
    <t>Venezia</t>
  </si>
  <si>
    <t>Veneto</t>
  </si>
  <si>
    <t>1252.</t>
  </si>
  <si>
    <t>MASTERTAN S.R.L.</t>
  </si>
  <si>
    <t>02343390643</t>
  </si>
  <si>
    <t>IT02343390643</t>
  </si>
  <si>
    <t>Avellino</t>
  </si>
  <si>
    <t>Campania</t>
  </si>
  <si>
    <t>1253.</t>
  </si>
  <si>
    <t>MALAGRIDA MANIFATTURE - S.R.L.</t>
  </si>
  <si>
    <t>00190320432</t>
  </si>
  <si>
    <t>IT00190320432</t>
  </si>
  <si>
    <t>Macerata</t>
  </si>
  <si>
    <t>Marche</t>
  </si>
  <si>
    <t>1254.</t>
  </si>
  <si>
    <t>CONCERIA BRUTTOMESSO S.R.L.</t>
  </si>
  <si>
    <t>00519060248</t>
  </si>
  <si>
    <t>IT00519060248</t>
  </si>
  <si>
    <t>Vicenza</t>
  </si>
  <si>
    <t>1255.</t>
  </si>
  <si>
    <t>F &amp; M BROTHERS S.R.L.</t>
  </si>
  <si>
    <t>02299760039</t>
  </si>
  <si>
    <t>IT02299760039</t>
  </si>
  <si>
    <t>141310</t>
  </si>
  <si>
    <t>Milano</t>
  </si>
  <si>
    <t>Lombardia</t>
  </si>
  <si>
    <t>1256.</t>
  </si>
  <si>
    <t>SOLOMODA SRL</t>
  </si>
  <si>
    <t>01892400431</t>
  </si>
  <si>
    <t>IT01892400431</t>
  </si>
  <si>
    <t>141910</t>
  </si>
  <si>
    <t>Pistoia</t>
  </si>
  <si>
    <t>1257.</t>
  </si>
  <si>
    <t>CAPARRINI S.R.L.</t>
  </si>
  <si>
    <t>04091300485</t>
  </si>
  <si>
    <t>IT04091300485</t>
  </si>
  <si>
    <t>1258.</t>
  </si>
  <si>
    <t>EUR - CLASS S.R.L.</t>
  </si>
  <si>
    <t>01007550500</t>
  </si>
  <si>
    <t>IT01007550500</t>
  </si>
  <si>
    <t>141000</t>
  </si>
  <si>
    <t>Pisa</t>
  </si>
  <si>
    <t>1259.</t>
  </si>
  <si>
    <t>MAGLIFICIO MAPIER S.R.L.</t>
  </si>
  <si>
    <t>01162790180</t>
  </si>
  <si>
    <t>IT01162790180</t>
  </si>
  <si>
    <t>Pavia</t>
  </si>
  <si>
    <t>1260.</t>
  </si>
  <si>
    <t>MAUREL S.R.L.</t>
  </si>
  <si>
    <t>02036710180</t>
  </si>
  <si>
    <t>IT02036710180</t>
  </si>
  <si>
    <t>141200</t>
  </si>
  <si>
    <t>n.d.</t>
  </si>
  <si>
    <t>1261.</t>
  </si>
  <si>
    <t>COMART S.R.L. UNIPERSONALE</t>
  </si>
  <si>
    <t>01680220447</t>
  </si>
  <si>
    <t>IT01680220447</t>
  </si>
  <si>
    <t>Fermo</t>
  </si>
  <si>
    <t>1262.</t>
  </si>
  <si>
    <t>EFFEPI S.R.L.</t>
  </si>
  <si>
    <t>01381530425</t>
  </si>
  <si>
    <t>IT01381530425</t>
  </si>
  <si>
    <t>Ancona</t>
  </si>
  <si>
    <t>1263.</t>
  </si>
  <si>
    <t>I.S.G. ITALIAN STYLISTIC GROUP S.R.L.</t>
  </si>
  <si>
    <t>01674230162</t>
  </si>
  <si>
    <t>IT01674230162</t>
  </si>
  <si>
    <t>151200</t>
  </si>
  <si>
    <t>Bergamo</t>
  </si>
  <si>
    <t>1264.</t>
  </si>
  <si>
    <t>MAMA B SRL</t>
  </si>
  <si>
    <t>12064780013</t>
  </si>
  <si>
    <t>IT12064780013</t>
  </si>
  <si>
    <t>Torino</t>
  </si>
  <si>
    <t>Piemonte</t>
  </si>
  <si>
    <t>1265.</t>
  </si>
  <si>
    <t>CALZATURIFICIO STRAFFORD S.R.L.</t>
  </si>
  <si>
    <t>01943300275</t>
  </si>
  <si>
    <t>01862830286</t>
  </si>
  <si>
    <t>IT01862830286</t>
  </si>
  <si>
    <t>1266.</t>
  </si>
  <si>
    <t>L-LAB S.R.L.</t>
  </si>
  <si>
    <t>02680430358</t>
  </si>
  <si>
    <t>IT02680430358</t>
  </si>
  <si>
    <t>1267.</t>
  </si>
  <si>
    <t>CONCERIA F.3 INT'L S.R.L.</t>
  </si>
  <si>
    <t>02639420641</t>
  </si>
  <si>
    <t>IT02639420641</t>
  </si>
  <si>
    <t>1268.</t>
  </si>
  <si>
    <t>CALZIFICIO BONADEI SRL</t>
  </si>
  <si>
    <t>01727920173</t>
  </si>
  <si>
    <t>IT01727920173</t>
  </si>
  <si>
    <t>143100</t>
  </si>
  <si>
    <t>Brescia</t>
  </si>
  <si>
    <t>1269.</t>
  </si>
  <si>
    <t>DESIGN LAB ITALIA S.R.L. UNIPERSONALE</t>
  </si>
  <si>
    <t>01902690443</t>
  </si>
  <si>
    <t>IT01902690443</t>
  </si>
  <si>
    <t>1270.</t>
  </si>
  <si>
    <t>MAGLIFICIO PINI S.R.L.</t>
  </si>
  <si>
    <t>02274800404</t>
  </si>
  <si>
    <t>IT02274800404</t>
  </si>
  <si>
    <t>Forlì-Cesena</t>
  </si>
  <si>
    <t>1271.</t>
  </si>
  <si>
    <t>AFTI S.P.A.</t>
  </si>
  <si>
    <t>07019780159</t>
  </si>
  <si>
    <t>IT07019780159</t>
  </si>
  <si>
    <t>1272.</t>
  </si>
  <si>
    <t>SANTIPEL S.R.L.</t>
  </si>
  <si>
    <t>04128780485</t>
  </si>
  <si>
    <t>IT04128780485</t>
  </si>
  <si>
    <t>151209</t>
  </si>
  <si>
    <t>1273.</t>
  </si>
  <si>
    <t>INCOR-3 S.R.L.</t>
  </si>
  <si>
    <t>00824780969</t>
  </si>
  <si>
    <t>06362390152</t>
  </si>
  <si>
    <t>IT06362390152</t>
  </si>
  <si>
    <t>Monza e della Brianza</t>
  </si>
  <si>
    <t>1274.</t>
  </si>
  <si>
    <t>ASSIA TREND SRL</t>
  </si>
  <si>
    <t>01723140446</t>
  </si>
  <si>
    <t>IT01723140446</t>
  </si>
  <si>
    <t>1275.</t>
  </si>
  <si>
    <t>EXTON S.R.L.</t>
  </si>
  <si>
    <t>03351470616</t>
  </si>
  <si>
    <t>IT03351470616</t>
  </si>
  <si>
    <t>Caserta</t>
  </si>
  <si>
    <t>1276.</t>
  </si>
  <si>
    <t>REPORTAGE S.R.L.</t>
  </si>
  <si>
    <t>00399530443</t>
  </si>
  <si>
    <t>IT00399530443</t>
  </si>
  <si>
    <t>1277.</t>
  </si>
  <si>
    <t>GIANANGELI - S.R.L.</t>
  </si>
  <si>
    <t>01169800545</t>
  </si>
  <si>
    <t>IT01169800545</t>
  </si>
  <si>
    <t>1278.</t>
  </si>
  <si>
    <t>CONFEZIONI DUE ESSE S.R.L.</t>
  </si>
  <si>
    <t>04537060727</t>
  </si>
  <si>
    <t>IT04537060727</t>
  </si>
  <si>
    <t>141400</t>
  </si>
  <si>
    <t>Barletta-Andria-Trani</t>
  </si>
  <si>
    <t>Puglia</t>
  </si>
  <si>
    <t>1279.</t>
  </si>
  <si>
    <t>LA BLU SRL</t>
  </si>
  <si>
    <t>04028950758</t>
  </si>
  <si>
    <t>IT04028950758</t>
  </si>
  <si>
    <t>Lecce</t>
  </si>
  <si>
    <t>1280.</t>
  </si>
  <si>
    <t>LOMER S.R.L.</t>
  </si>
  <si>
    <t>01130840265</t>
  </si>
  <si>
    <t>IT01130840265</t>
  </si>
  <si>
    <t>152010</t>
  </si>
  <si>
    <t>Treviso</t>
  </si>
  <si>
    <t>Veneto</t>
  </si>
  <si>
    <t>1281.</t>
  </si>
  <si>
    <t>GUANTIFICIO ABRUZZESE SRL</t>
  </si>
  <si>
    <t>02185960693</t>
  </si>
  <si>
    <t>IT02185960693</t>
  </si>
  <si>
    <t>141200</t>
  </si>
  <si>
    <t>Chieti</t>
  </si>
  <si>
    <t>Abruzzo</t>
  </si>
  <si>
    <t>1282.</t>
  </si>
  <si>
    <t>CONCERIA LOPEL SRL</t>
  </si>
  <si>
    <t>05173450486</t>
  </si>
  <si>
    <t>IT05173450486</t>
  </si>
  <si>
    <t>151100</t>
  </si>
  <si>
    <t>Pisa</t>
  </si>
  <si>
    <t>Toscana</t>
  </si>
  <si>
    <t>n.d.</t>
  </si>
  <si>
    <t>1283.</t>
  </si>
  <si>
    <t>CALZATURIFICIO SANDY SHOES S.R.L.</t>
  </si>
  <si>
    <t>01500800469</t>
  </si>
  <si>
    <t>IT01500800469</t>
  </si>
  <si>
    <t>Lucca</t>
  </si>
  <si>
    <t>1284.</t>
  </si>
  <si>
    <t>CENTOTEX SRL</t>
  </si>
  <si>
    <t>01235130448</t>
  </si>
  <si>
    <t>IT01235130448</t>
  </si>
  <si>
    <t>141310</t>
  </si>
  <si>
    <t>Ascoli Piceno</t>
  </si>
  <si>
    <t>Marche</t>
  </si>
  <si>
    <t>1285.</t>
  </si>
  <si>
    <t>CONFSPORT S.R.L.</t>
  </si>
  <si>
    <t>02124620242</t>
  </si>
  <si>
    <t>IT02124620242</t>
  </si>
  <si>
    <t>141929</t>
  </si>
  <si>
    <t>Vicenza</t>
  </si>
  <si>
    <t>1286.</t>
  </si>
  <si>
    <t>CALZATURIFICIO FARIDA S.R.L.</t>
  </si>
  <si>
    <t>00118220524</t>
  </si>
  <si>
    <t>IT00118220524</t>
  </si>
  <si>
    <t>Siena</t>
  </si>
  <si>
    <t>1287.</t>
  </si>
  <si>
    <t>GUANTIFICIO DUE ESSE S.R.L.</t>
  </si>
  <si>
    <t>02670950407</t>
  </si>
  <si>
    <t>IT02670950407</t>
  </si>
  <si>
    <t>Forlì-Cesena</t>
  </si>
  <si>
    <t>Emilia-Romagna</t>
  </si>
  <si>
    <t>1288.</t>
  </si>
  <si>
    <t>SUOLIFICIO MANNINI ROMANO S.R.L.</t>
  </si>
  <si>
    <t>00734230444</t>
  </si>
  <si>
    <t>IT00734230444</t>
  </si>
  <si>
    <t>152020</t>
  </si>
  <si>
    <t>Fermo</t>
  </si>
  <si>
    <t>1289.</t>
  </si>
  <si>
    <t>AL-MA SRL</t>
  </si>
  <si>
    <t>03602430369</t>
  </si>
  <si>
    <t>IT03602430369</t>
  </si>
  <si>
    <t>Modena</t>
  </si>
  <si>
    <t>1290.</t>
  </si>
  <si>
    <t>NANAN S.R.L.</t>
  </si>
  <si>
    <t>02639160395</t>
  </si>
  <si>
    <t>IT02639160395</t>
  </si>
  <si>
    <t>Roma</t>
  </si>
  <si>
    <t>Lazio</t>
  </si>
  <si>
    <t>1291.</t>
  </si>
  <si>
    <t>HISMOS S.R.L.</t>
  </si>
  <si>
    <t>06716981219</t>
  </si>
  <si>
    <t>IT06716981219</t>
  </si>
  <si>
    <t>141000</t>
  </si>
  <si>
    <t>Napoli</t>
  </si>
  <si>
    <t>Campania</t>
  </si>
  <si>
    <t>1292.</t>
  </si>
  <si>
    <t>FANTASIE E COLORI S.R.L.</t>
  </si>
  <si>
    <t>03427240365</t>
  </si>
  <si>
    <t>IT03427240365</t>
  </si>
  <si>
    <t>143900</t>
  </si>
  <si>
    <t>1293.</t>
  </si>
  <si>
    <t>CALZATURIFICIO GRO NELL S.R.L.</t>
  </si>
  <si>
    <t>02087580235</t>
  </si>
  <si>
    <t>IT02087580235</t>
  </si>
  <si>
    <t>Verona</t>
  </si>
  <si>
    <t>1294.</t>
  </si>
  <si>
    <t>KLN SRL</t>
  </si>
  <si>
    <t>02239200971</t>
  </si>
  <si>
    <t>IT02239200971</t>
  </si>
  <si>
    <t>Prato</t>
  </si>
  <si>
    <t>1295.</t>
  </si>
  <si>
    <t>FREMILLU' CALZATURE S.R.L.</t>
  </si>
  <si>
    <t>05444821218</t>
  </si>
  <si>
    <t>IT05444821218</t>
  </si>
  <si>
    <t>1296.</t>
  </si>
  <si>
    <t>FATEX S.R.L.</t>
  </si>
  <si>
    <t>09137711215</t>
  </si>
  <si>
    <t>IT09137711215</t>
  </si>
  <si>
    <t>141910</t>
  </si>
  <si>
    <t>1297.</t>
  </si>
  <si>
    <t>C.B.R. TACSTILE S.R.L.</t>
  </si>
  <si>
    <t>02330620408</t>
  </si>
  <si>
    <t>IT02330620408</t>
  </si>
  <si>
    <t>1298.</t>
  </si>
  <si>
    <t>SG&amp;B SRL</t>
  </si>
  <si>
    <t>01410380263</t>
  </si>
  <si>
    <t>IT01410380263</t>
  </si>
  <si>
    <t>1299.</t>
  </si>
  <si>
    <t>FOXX S.R.L.</t>
  </si>
  <si>
    <t>01719780478</t>
  </si>
  <si>
    <t>IT01719780478</t>
  </si>
  <si>
    <t>Pistoia</t>
  </si>
  <si>
    <t>1300.</t>
  </si>
  <si>
    <t>CONCIARIA MONDOVI' S.R.L.</t>
  </si>
  <si>
    <t>02791980044</t>
  </si>
  <si>
    <t>IT02791980044</t>
  </si>
  <si>
    <t>1301.</t>
  </si>
  <si>
    <t>MEDIKA ITALIA S.R.L.</t>
  </si>
  <si>
    <t>02062730235</t>
  </si>
  <si>
    <t>IT02062730235</t>
  </si>
  <si>
    <t>152000</t>
  </si>
  <si>
    <t>1302.</t>
  </si>
  <si>
    <t>CLOVER IT SRL</t>
  </si>
  <si>
    <t>03729640247</t>
  </si>
  <si>
    <t>IT03729640247</t>
  </si>
  <si>
    <t>1303.</t>
  </si>
  <si>
    <t>YOBEL S.R.L.</t>
  </si>
  <si>
    <t>05312840480</t>
  </si>
  <si>
    <t>IT05312840480</t>
  </si>
  <si>
    <t>151209</t>
  </si>
  <si>
    <t>Firenze</t>
  </si>
  <si>
    <t>1304.</t>
  </si>
  <si>
    <t>MAGLIFICIO MAIS S.R.L.</t>
  </si>
  <si>
    <t>00386470124</t>
  </si>
  <si>
    <t>IT00386470124</t>
  </si>
  <si>
    <t>Varese</t>
  </si>
  <si>
    <t>Lombardia</t>
  </si>
  <si>
    <t>1305.</t>
  </si>
  <si>
    <t>FARBOPELLI S.R.L.</t>
  </si>
  <si>
    <t>03288050242</t>
  </si>
  <si>
    <t>IT03288050242</t>
  </si>
  <si>
    <t>1306.</t>
  </si>
  <si>
    <t>CALZATURIFICIO LOISI S.R.L</t>
  </si>
  <si>
    <t>01824490500</t>
  </si>
  <si>
    <t>IT01824490500</t>
  </si>
  <si>
    <t>1307.</t>
  </si>
  <si>
    <t>SHINE S.R.L.</t>
  </si>
  <si>
    <t>05363951210</t>
  </si>
  <si>
    <t>IT05363951210</t>
  </si>
  <si>
    <t>1308.</t>
  </si>
  <si>
    <t>VESTRUM S.R.L.</t>
  </si>
  <si>
    <t>03478891207</t>
  </si>
  <si>
    <t>IT03478891207</t>
  </si>
  <si>
    <t>Bologna</t>
  </si>
  <si>
    <t>1309.</t>
  </si>
  <si>
    <t>TECNOPELLI S.R.L.</t>
  </si>
  <si>
    <t>00876610247</t>
  </si>
  <si>
    <t>IT00876610247</t>
  </si>
  <si>
    <t>1310.</t>
  </si>
  <si>
    <t>MAGLIFICIO GIORDANO'S S.R.L.</t>
  </si>
  <si>
    <t>01834090266</t>
  </si>
  <si>
    <t>IT01834090266</t>
  </si>
  <si>
    <t>143000</t>
  </si>
  <si>
    <t>1311.</t>
  </si>
  <si>
    <t>CIGIESSE S.R.L.</t>
  </si>
  <si>
    <t>01310410129</t>
  </si>
  <si>
    <t>IT01310410129</t>
  </si>
  <si>
    <t>1312.</t>
  </si>
  <si>
    <t>CALZATURIFICIO PANIZZOLO ANTONIO S.R.L.</t>
  </si>
  <si>
    <t>02872360272</t>
  </si>
  <si>
    <t>IT02872360272</t>
  </si>
  <si>
    <t>152010</t>
  </si>
  <si>
    <t>Venezia</t>
  </si>
  <si>
    <t>Veneto</t>
  </si>
  <si>
    <t>n.d.</t>
  </si>
  <si>
    <t>1313.</t>
  </si>
  <si>
    <t>PANTOFOLA D'ORO SPA</t>
  </si>
  <si>
    <t>01427260672</t>
  </si>
  <si>
    <t>01627570441</t>
  </si>
  <si>
    <t>IT01627570441</t>
  </si>
  <si>
    <t>Ascoli Piceno</t>
  </si>
  <si>
    <t>Marche</t>
  </si>
  <si>
    <t>1314.</t>
  </si>
  <si>
    <t>PLINIO VISONA' S.R.L.</t>
  </si>
  <si>
    <t>01314910249</t>
  </si>
  <si>
    <t>IT01314910249</t>
  </si>
  <si>
    <t>151209</t>
  </si>
  <si>
    <t>Vicenza</t>
  </si>
  <si>
    <t>1315.</t>
  </si>
  <si>
    <t>BLUDUE S.R.L.</t>
  </si>
  <si>
    <t>04370701213</t>
  </si>
  <si>
    <t>IT04370701213</t>
  </si>
  <si>
    <t>Napoli</t>
  </si>
  <si>
    <t>Campania</t>
  </si>
  <si>
    <t>1316.</t>
  </si>
  <si>
    <t>MAGLIFICIO SELENE SRL</t>
  </si>
  <si>
    <t>03197380243</t>
  </si>
  <si>
    <t>IT03197380243</t>
  </si>
  <si>
    <t>143900</t>
  </si>
  <si>
    <t>1317.</t>
  </si>
  <si>
    <t>SATY S.R.L.</t>
  </si>
  <si>
    <t>02350380248</t>
  </si>
  <si>
    <t>IT02350380248</t>
  </si>
  <si>
    <t>1318.</t>
  </si>
  <si>
    <t>CALZATURIFICIO ORMEDA S.R.L.</t>
  </si>
  <si>
    <t>00829880434</t>
  </si>
  <si>
    <t>IT00829880434</t>
  </si>
  <si>
    <t>Macerata</t>
  </si>
  <si>
    <t>1319.</t>
  </si>
  <si>
    <t>CALZATURIFICIO HEROS S.R.L.</t>
  </si>
  <si>
    <t>00990820441</t>
  </si>
  <si>
    <t>IT00990820441</t>
  </si>
  <si>
    <t>Fermo</t>
  </si>
  <si>
    <t>1320.</t>
  </si>
  <si>
    <t>DADA SRL</t>
  </si>
  <si>
    <t>02249790441</t>
  </si>
  <si>
    <t>IT02249790441</t>
  </si>
  <si>
    <t>1321.</t>
  </si>
  <si>
    <t>CONFEZIONI ESSEBI S.R.L.</t>
  </si>
  <si>
    <t>01600260549</t>
  </si>
  <si>
    <t>IT01600260549</t>
  </si>
  <si>
    <t>141000</t>
  </si>
  <si>
    <t>Perugia</t>
  </si>
  <si>
    <t>Umbria</t>
  </si>
  <si>
    <t>1322.</t>
  </si>
  <si>
    <t>I.S.G. - SOCIETA' A RESPONSABILITA' LIMITATA</t>
  </si>
  <si>
    <t>05895230489</t>
  </si>
  <si>
    <t>IT05895230489</t>
  </si>
  <si>
    <t>Pisa</t>
  </si>
  <si>
    <t>Toscana</t>
  </si>
  <si>
    <t>1323.</t>
  </si>
  <si>
    <t>ELLE 5 S.R.L.</t>
  </si>
  <si>
    <t>02925200988</t>
  </si>
  <si>
    <t>IT02925200988</t>
  </si>
  <si>
    <t>141400</t>
  </si>
  <si>
    <t>Brescia</t>
  </si>
  <si>
    <t>Lombardia</t>
  </si>
  <si>
    <t>1324.</t>
  </si>
  <si>
    <t>I.M. PROJECT S.R.L.</t>
  </si>
  <si>
    <t>02346990167</t>
  </si>
  <si>
    <t>IT02346990167</t>
  </si>
  <si>
    <t>141929</t>
  </si>
  <si>
    <t>Bergamo</t>
  </si>
  <si>
    <t>1325.</t>
  </si>
  <si>
    <t>CALZATURIFICIO ELIO'S SOCIETA' A RESPONSABILITA' LIMITATA ENUNCIABILE ANCHE CALZATURIFICIO ELIO'S S.R.L.</t>
  </si>
  <si>
    <t>00909990434</t>
  </si>
  <si>
    <t>IT00909990434</t>
  </si>
  <si>
    <t>1326.</t>
  </si>
  <si>
    <t>CF &amp; P SRL IN LIQUIDAZIONE</t>
  </si>
  <si>
    <t>06277650484</t>
  </si>
  <si>
    <t>IT06277650484</t>
  </si>
  <si>
    <t>Firenze</t>
  </si>
  <si>
    <t>1327.</t>
  </si>
  <si>
    <t>GC S.R.L.</t>
  </si>
  <si>
    <t>10335050968</t>
  </si>
  <si>
    <t>IT10335050968</t>
  </si>
  <si>
    <t>141910</t>
  </si>
  <si>
    <t>Milano</t>
  </si>
  <si>
    <t>1328.</t>
  </si>
  <si>
    <t>POVOLO S.R.L.</t>
  </si>
  <si>
    <t>01946950126</t>
  </si>
  <si>
    <t>01496480128</t>
  </si>
  <si>
    <t>IT01496480128</t>
  </si>
  <si>
    <t>Varese</t>
  </si>
  <si>
    <t>1329.</t>
  </si>
  <si>
    <t>COLONNELLI GROUP S.R.L.</t>
  </si>
  <si>
    <t>12867951001</t>
  </si>
  <si>
    <t>IT12867951001</t>
  </si>
  <si>
    <t>Roma</t>
  </si>
  <si>
    <t>Lazio</t>
  </si>
  <si>
    <t>1330.</t>
  </si>
  <si>
    <t>SAURO S.R.L.</t>
  </si>
  <si>
    <t>03209370125</t>
  </si>
  <si>
    <t>IT03209370125</t>
  </si>
  <si>
    <t>1331.</t>
  </si>
  <si>
    <t>L.A.S. SRL</t>
  </si>
  <si>
    <t>01489300432</t>
  </si>
  <si>
    <t>IT01489300432</t>
  </si>
  <si>
    <t>152020</t>
  </si>
  <si>
    <t>1332.</t>
  </si>
  <si>
    <t>CALZATURIFICIO LE.PI. S.R.L.</t>
  </si>
  <si>
    <t>01520790435</t>
  </si>
  <si>
    <t>IT01520790435</t>
  </si>
  <si>
    <t>1333.</t>
  </si>
  <si>
    <t>BRUZZICHES BROTHERS S.R.L.</t>
  </si>
  <si>
    <t>02320730563</t>
  </si>
  <si>
    <t>IT02320730563</t>
  </si>
  <si>
    <t>Viterbo</t>
  </si>
  <si>
    <t>1334.</t>
  </si>
  <si>
    <t>PRIMO CECILIA S.R.L.</t>
  </si>
  <si>
    <t>00964510572</t>
  </si>
  <si>
    <t>IT00964510572</t>
  </si>
  <si>
    <t>Rieti</t>
  </si>
  <si>
    <t>1335.</t>
  </si>
  <si>
    <t>NUOVO NICAR - S.R.L.</t>
  </si>
  <si>
    <t>00942540501</t>
  </si>
  <si>
    <t>IT00942540501</t>
  </si>
  <si>
    <t>1336.</t>
  </si>
  <si>
    <t>MAGLIFICIO SILCO S.R.L.</t>
  </si>
  <si>
    <t>01517760128</t>
  </si>
  <si>
    <t>01075400182</t>
  </si>
  <si>
    <t>IT01075400182</t>
  </si>
  <si>
    <t>141310</t>
  </si>
  <si>
    <t>1337.</t>
  </si>
  <si>
    <t>ALBATROS S.R.L.</t>
  </si>
  <si>
    <t>03530720485</t>
  </si>
  <si>
    <t>IT03530720485</t>
  </si>
  <si>
    <t>151200</t>
  </si>
  <si>
    <t>1338.</t>
  </si>
  <si>
    <t>FOREVER FASHION S.R.L.</t>
  </si>
  <si>
    <t>06385730483</t>
  </si>
  <si>
    <t>IT06385730483</t>
  </si>
  <si>
    <t>1339.</t>
  </si>
  <si>
    <t>FANCY S.R.L.</t>
  </si>
  <si>
    <t>01395980434</t>
  </si>
  <si>
    <t>IT01395980434</t>
  </si>
  <si>
    <t>1340.</t>
  </si>
  <si>
    <t>CONCERIA NUOVA ALBORA S.R.L.</t>
  </si>
  <si>
    <t>01476030505</t>
  </si>
  <si>
    <t>IT01476030505</t>
  </si>
  <si>
    <t>151100</t>
  </si>
  <si>
    <t>1341.</t>
  </si>
  <si>
    <t>CREATIVE LEATHERS S.R.L.</t>
  </si>
  <si>
    <t>02626520247</t>
  </si>
  <si>
    <t>IT02626520247</t>
  </si>
  <si>
    <t>1342.</t>
  </si>
  <si>
    <t>CONCERIA LA PERLA AZZURRA - S.R.L.</t>
  </si>
  <si>
    <t>01126290509</t>
  </si>
  <si>
    <t>IT01126290509</t>
  </si>
  <si>
    <t>1343.</t>
  </si>
  <si>
    <t>CONCERIA LO STIVALE S.R.L.</t>
  </si>
  <si>
    <t>01234820502</t>
  </si>
  <si>
    <t>IT01234820502</t>
  </si>
  <si>
    <t>1344.</t>
  </si>
  <si>
    <t>PELLETTERIE GIUDI S.R.L.</t>
  </si>
  <si>
    <t>00403970437</t>
  </si>
  <si>
    <t>IT00403970437</t>
  </si>
  <si>
    <t>151209</t>
  </si>
  <si>
    <t>Macerata</t>
  </si>
  <si>
    <t>Marche</t>
  </si>
  <si>
    <t>1345.</t>
  </si>
  <si>
    <t>GST GRUPPO SVILUPPO TESSILE SOCIETA' A RESPONSABILITA' LIMITATA</t>
  </si>
  <si>
    <t>04620490724</t>
  </si>
  <si>
    <t>IT04620490724</t>
  </si>
  <si>
    <t>141310</t>
  </si>
  <si>
    <t>Taranto</t>
  </si>
  <si>
    <t>Puglia</t>
  </si>
  <si>
    <t>1346.</t>
  </si>
  <si>
    <t>CALZIFICIO TELEMACO SRL</t>
  </si>
  <si>
    <t>03248410262</t>
  </si>
  <si>
    <t>IT03248410262</t>
  </si>
  <si>
    <t>143100</t>
  </si>
  <si>
    <t>Treviso</t>
  </si>
  <si>
    <t>Veneto</t>
  </si>
  <si>
    <t>1347.</t>
  </si>
  <si>
    <t>CALZATURIFICIO PRINCES SRL</t>
  </si>
  <si>
    <t>00728420449</t>
  </si>
  <si>
    <t>IT00728420449</t>
  </si>
  <si>
    <t>152010</t>
  </si>
  <si>
    <t>Fermo</t>
  </si>
  <si>
    <t>1348.</t>
  </si>
  <si>
    <t>CS GROUP S.R.L.</t>
  </si>
  <si>
    <t>03679871214</t>
  </si>
  <si>
    <t>IT03679871214</t>
  </si>
  <si>
    <t>Napoli</t>
  </si>
  <si>
    <t>Campania</t>
  </si>
  <si>
    <t>1349.</t>
  </si>
  <si>
    <t>HARRIS SHOES - 1913 - S.R.L.</t>
  </si>
  <si>
    <t>04098090485</t>
  </si>
  <si>
    <t>IT04098090485</t>
  </si>
  <si>
    <t>Firenze</t>
  </si>
  <si>
    <t>Toscana</t>
  </si>
  <si>
    <t>1350.</t>
  </si>
  <si>
    <t>NEW FADA S.R.L.</t>
  </si>
  <si>
    <t>02155510973</t>
  </si>
  <si>
    <t>IT02155510973</t>
  </si>
  <si>
    <t>141200</t>
  </si>
  <si>
    <t>Prato</t>
  </si>
  <si>
    <t>n.d.</t>
  </si>
  <si>
    <t>1351.</t>
  </si>
  <si>
    <t>FASHION SERVICE S.R.L.</t>
  </si>
  <si>
    <t>09161521217</t>
  </si>
  <si>
    <t>IT09161521217</t>
  </si>
  <si>
    <t>141000</t>
  </si>
  <si>
    <t>1352.</t>
  </si>
  <si>
    <t>CONCERIA WALPIER S.R.L.</t>
  </si>
  <si>
    <t>00122790504</t>
  </si>
  <si>
    <t>IT00122790504</t>
  </si>
  <si>
    <t>151100</t>
  </si>
  <si>
    <t>Pisa</t>
  </si>
  <si>
    <t>1353.</t>
  </si>
  <si>
    <t>MOTTA PELLI SRL</t>
  </si>
  <si>
    <t>00693560963</t>
  </si>
  <si>
    <t>00780390159</t>
  </si>
  <si>
    <t>IT00780390159</t>
  </si>
  <si>
    <t>Monza e della Brianza</t>
  </si>
  <si>
    <t>Lombardia</t>
  </si>
  <si>
    <t>1354.</t>
  </si>
  <si>
    <t>LEATHER TEAM S.R.L.</t>
  </si>
  <si>
    <t>02674970245</t>
  </si>
  <si>
    <t>IT02674970245</t>
  </si>
  <si>
    <t>Vicenza</t>
  </si>
  <si>
    <t>1355.</t>
  </si>
  <si>
    <t>TACCHIFICIO IL GABBIANO S.R.L.</t>
  </si>
  <si>
    <t>00445630502</t>
  </si>
  <si>
    <t>IT00445630502</t>
  </si>
  <si>
    <t>152020</t>
  </si>
  <si>
    <t>1356.</t>
  </si>
  <si>
    <t>MERIDIANA S.R.L.</t>
  </si>
  <si>
    <t>01192170502</t>
  </si>
  <si>
    <t>IT01192170502</t>
  </si>
  <si>
    <t>1357.</t>
  </si>
  <si>
    <t>SACCARDI PELLETTERIE - S.R.L.</t>
  </si>
  <si>
    <t>04866610480</t>
  </si>
  <si>
    <t>IT04866610480</t>
  </si>
  <si>
    <t>1358.</t>
  </si>
  <si>
    <t>BIGIONI SRL</t>
  </si>
  <si>
    <t>02404900447</t>
  </si>
  <si>
    <t>IT02404900447</t>
  </si>
  <si>
    <t>1359.</t>
  </si>
  <si>
    <t>STORI B &amp; C S.R.L.</t>
  </si>
  <si>
    <t>03169250986</t>
  </si>
  <si>
    <t>IT03169250986</t>
  </si>
  <si>
    <t>Brescia</t>
  </si>
  <si>
    <t>1360.</t>
  </si>
  <si>
    <t>GIOVE SOCIETA' A RESPONSABILITA' LIMITATA ENUNCIABILE ANCHE GIOVE S.R.L.</t>
  </si>
  <si>
    <t>01536120437</t>
  </si>
  <si>
    <t>IT01536120437</t>
  </si>
  <si>
    <t>1361.</t>
  </si>
  <si>
    <t>BIASIOTTO ITALIA S.R.L.</t>
  </si>
  <si>
    <t>03687880249</t>
  </si>
  <si>
    <t>IT03687880249</t>
  </si>
  <si>
    <t>1362.</t>
  </si>
  <si>
    <t>CALZATURIFICIO EMMEBLU S.R.L.</t>
  </si>
  <si>
    <t>07136210726</t>
  </si>
  <si>
    <t>IT07136210726</t>
  </si>
  <si>
    <t>Barletta-Andria-Trani</t>
  </si>
  <si>
    <t>1363.</t>
  </si>
  <si>
    <t>FILOLOGIKO SOCIETA' A RESPONSABILITA' LIMITATA</t>
  </si>
  <si>
    <t>04019290164</t>
  </si>
  <si>
    <t>IT04019290164</t>
  </si>
  <si>
    <t>Bergamo</t>
  </si>
  <si>
    <t>1364.</t>
  </si>
  <si>
    <t>PUNTO R S.R.L.</t>
  </si>
  <si>
    <t>07536071215</t>
  </si>
  <si>
    <t>IT07536071215</t>
  </si>
  <si>
    <t>1365.</t>
  </si>
  <si>
    <t>LA MAGLIA S.R.L.</t>
  </si>
  <si>
    <t>02139250977</t>
  </si>
  <si>
    <t>IT02139250977</t>
  </si>
  <si>
    <t>143900</t>
  </si>
  <si>
    <t>1366.</t>
  </si>
  <si>
    <t>CALZATURIFICIO BIQUATTRO S.R.L.</t>
  </si>
  <si>
    <t>01318270467</t>
  </si>
  <si>
    <t>IT01318270467</t>
  </si>
  <si>
    <t>Lucca</t>
  </si>
  <si>
    <t>1367.</t>
  </si>
  <si>
    <t>I.G.F. S.R.L. ITALIAN GROUP OF FACTORIES</t>
  </si>
  <si>
    <t>05615520722</t>
  </si>
  <si>
    <t>04471610727</t>
  </si>
  <si>
    <t>IT04471610727</t>
  </si>
  <si>
    <t>1368.</t>
  </si>
  <si>
    <t>METALLURGICA LOMBARDA S.R.L.</t>
  </si>
  <si>
    <t>00814370151</t>
  </si>
  <si>
    <t>IT00814370151</t>
  </si>
  <si>
    <t>Milano</t>
  </si>
  <si>
    <t>1369.</t>
  </si>
  <si>
    <t>LOREN S.R.L.</t>
  </si>
  <si>
    <t>00317960268</t>
  </si>
  <si>
    <t>IT00317960268</t>
  </si>
  <si>
    <t>1370.</t>
  </si>
  <si>
    <t>GIAB'S - S.R.L.</t>
  </si>
  <si>
    <t>01518140973</t>
  </si>
  <si>
    <t>IT01518140973</t>
  </si>
  <si>
    <t>1371.</t>
  </si>
  <si>
    <t>TRASCON S.R.L.</t>
  </si>
  <si>
    <t>00180520058</t>
  </si>
  <si>
    <t>IT00180520058</t>
  </si>
  <si>
    <t>Asti</t>
  </si>
  <si>
    <t>Piemonte</t>
  </si>
  <si>
    <t>1372.</t>
  </si>
  <si>
    <t>LANIFICIO SUBALPINO SRL</t>
  </si>
  <si>
    <t>01869540029</t>
  </si>
  <si>
    <t>IT01869540029</t>
  </si>
  <si>
    <t>143000</t>
  </si>
  <si>
    <t>Biella</t>
  </si>
  <si>
    <t>1373.</t>
  </si>
  <si>
    <t>BABI INDUSTRIA CONCIARIA SRL</t>
  </si>
  <si>
    <t>02235210248</t>
  </si>
  <si>
    <t>IT02235210248</t>
  </si>
  <si>
    <t>1374.</t>
  </si>
  <si>
    <t>MARCH S.R.L.</t>
  </si>
  <si>
    <t>00695540211</t>
  </si>
  <si>
    <t>IT00695540211</t>
  </si>
  <si>
    <t>151200</t>
  </si>
  <si>
    <t>Bolzano/Bozen</t>
  </si>
  <si>
    <t>Trentino-Alto Adige/Südtirol</t>
  </si>
  <si>
    <t>1375.</t>
  </si>
  <si>
    <t>TAKISTON S.R.L.</t>
  </si>
  <si>
    <t>01760001204</t>
  </si>
  <si>
    <t>IT01760001204</t>
  </si>
  <si>
    <t>Bologna</t>
  </si>
  <si>
    <t>Emilia-Romagna</t>
  </si>
  <si>
    <t>1376.</t>
  </si>
  <si>
    <t>TORINO LEATHER INTERIORS S.R.L. SIGLABILE TLI SRL</t>
  </si>
  <si>
    <t>09550740014</t>
  </si>
  <si>
    <t>IT09550740014</t>
  </si>
  <si>
    <t>151209</t>
  </si>
  <si>
    <t>Torino</t>
  </si>
  <si>
    <t>Piemonte</t>
  </si>
  <si>
    <t>1377.</t>
  </si>
  <si>
    <t>CREATIVITY SRL</t>
  </si>
  <si>
    <t>05633280481</t>
  </si>
  <si>
    <t>IT05633280481</t>
  </si>
  <si>
    <t>Firenze</t>
  </si>
  <si>
    <t>Toscana</t>
  </si>
  <si>
    <t>1378.</t>
  </si>
  <si>
    <t>J6 SRL</t>
  </si>
  <si>
    <t>09067640962</t>
  </si>
  <si>
    <t>IT09067640962</t>
  </si>
  <si>
    <t>141310</t>
  </si>
  <si>
    <t>Milano</t>
  </si>
  <si>
    <t>Lombardia</t>
  </si>
  <si>
    <t>1379.</t>
  </si>
  <si>
    <t>BRM GROUP S.R.L.</t>
  </si>
  <si>
    <t>02355920501</t>
  </si>
  <si>
    <t>IT02355920501</t>
  </si>
  <si>
    <t>152020</t>
  </si>
  <si>
    <t>Pisa</t>
  </si>
  <si>
    <t>n.d.</t>
  </si>
  <si>
    <t>1380.</t>
  </si>
  <si>
    <t>ELSAMANDA S.R.L.</t>
  </si>
  <si>
    <t>03140040365</t>
  </si>
  <si>
    <t>IT03140040365</t>
  </si>
  <si>
    <t>143900</t>
  </si>
  <si>
    <t>Modena</t>
  </si>
  <si>
    <t>Emilia-Romagna</t>
  </si>
  <si>
    <t>1381.</t>
  </si>
  <si>
    <t>BLUPELL S.R.L.</t>
  </si>
  <si>
    <t>02954300246</t>
  </si>
  <si>
    <t>IT02954300246</t>
  </si>
  <si>
    <t>151100</t>
  </si>
  <si>
    <t>Vicenza</t>
  </si>
  <si>
    <t>Veneto</t>
  </si>
  <si>
    <t>1382.</t>
  </si>
  <si>
    <t>FIBRETEX S.R.L.</t>
  </si>
  <si>
    <t>00234370971</t>
  </si>
  <si>
    <t>00432290484</t>
  </si>
  <si>
    <t>IT00432290484</t>
  </si>
  <si>
    <t>Prato</t>
  </si>
  <si>
    <t>1383.</t>
  </si>
  <si>
    <t>FRATELLI BORGIOLI - S.R.L.-</t>
  </si>
  <si>
    <t>00541050480</t>
  </si>
  <si>
    <t>IT00541050480</t>
  </si>
  <si>
    <t>152010</t>
  </si>
  <si>
    <t>1384.</t>
  </si>
  <si>
    <t>ANNARITA FASHION S.R.L.</t>
  </si>
  <si>
    <t>01878520236</t>
  </si>
  <si>
    <t>IT01878520236</t>
  </si>
  <si>
    <t>141000</t>
  </si>
  <si>
    <t>Verona</t>
  </si>
  <si>
    <t>1385.</t>
  </si>
  <si>
    <t>CALZATURIFICIO DOVER - S.R.L.</t>
  </si>
  <si>
    <t>01085230504</t>
  </si>
  <si>
    <t>IT01085230504</t>
  </si>
  <si>
    <t>1386.</t>
  </si>
  <si>
    <t>QUADRIFOGLIO S.R.L.</t>
  </si>
  <si>
    <t>03766610244</t>
  </si>
  <si>
    <t>IT03766610244</t>
  </si>
  <si>
    <t>1387.</t>
  </si>
  <si>
    <t>SIAC FASHION S.R.L.</t>
  </si>
  <si>
    <t>02450370693</t>
  </si>
  <si>
    <t>IT02450370693</t>
  </si>
  <si>
    <t>Chieti</t>
  </si>
  <si>
    <t>Abruzzo</t>
  </si>
  <si>
    <t>1388.</t>
  </si>
  <si>
    <t>ORESTE COLELLA S.R.L. SOCIETA' UNIPERSONALE</t>
  </si>
  <si>
    <t>07387851210</t>
  </si>
  <si>
    <t>IT07387851210</t>
  </si>
  <si>
    <t>141400</t>
  </si>
  <si>
    <t>Napoli</t>
  </si>
  <si>
    <t>Campania</t>
  </si>
  <si>
    <t>1389.</t>
  </si>
  <si>
    <t>TRADIGO GIOVANNI S.R.L.</t>
  </si>
  <si>
    <t>01151320155</t>
  </si>
  <si>
    <t>IT01151320155</t>
  </si>
  <si>
    <t>152000</t>
  </si>
  <si>
    <t>1390.</t>
  </si>
  <si>
    <t>MARYAM S.R.L.</t>
  </si>
  <si>
    <t>02093290506</t>
  </si>
  <si>
    <t>IT02093290506</t>
  </si>
  <si>
    <t>1391.</t>
  </si>
  <si>
    <t>LA REPO S.R.L.</t>
  </si>
  <si>
    <t>01211450448</t>
  </si>
  <si>
    <t>IT01211450448</t>
  </si>
  <si>
    <t>Fermo</t>
  </si>
  <si>
    <t>Marche</t>
  </si>
  <si>
    <t>1392.</t>
  </si>
  <si>
    <t>T.C.S. - S.R.L.</t>
  </si>
  <si>
    <t>00584820138</t>
  </si>
  <si>
    <t>IT00584820138</t>
  </si>
  <si>
    <t>Como</t>
  </si>
  <si>
    <t>1393.</t>
  </si>
  <si>
    <t>FABBRICA PELLETTERIE MILANO S.P.A. O, IN FORMA ABBREVIATA, F.P.M. S.P.A.</t>
  </si>
  <si>
    <t>06746000964</t>
  </si>
  <si>
    <t>IT06746000964</t>
  </si>
  <si>
    <t>1394.</t>
  </si>
  <si>
    <t>CALZATURIFICIO ELENA S.R.L.</t>
  </si>
  <si>
    <t>02492180233</t>
  </si>
  <si>
    <t>IT02492180233</t>
  </si>
  <si>
    <t>1395.</t>
  </si>
  <si>
    <t>STILMODA S.R.L.</t>
  </si>
  <si>
    <t>00577850985</t>
  </si>
  <si>
    <t>00790240170</t>
  </si>
  <si>
    <t>IT00790240170</t>
  </si>
  <si>
    <t>Brescia</t>
  </si>
  <si>
    <t>1396.</t>
  </si>
  <si>
    <t>A.M. S.R.L.</t>
  </si>
  <si>
    <t>01473880191</t>
  </si>
  <si>
    <t>IT01473880191</t>
  </si>
  <si>
    <t>141320</t>
  </si>
  <si>
    <t>Cremona</t>
  </si>
  <si>
    <t>1397.</t>
  </si>
  <si>
    <t>INOVIKA S.R.L.</t>
  </si>
  <si>
    <t>04218910265</t>
  </si>
  <si>
    <t>IT04218910265</t>
  </si>
  <si>
    <t>Treviso</t>
  </si>
  <si>
    <t>1398.</t>
  </si>
  <si>
    <t>NES S.R.L.</t>
  </si>
  <si>
    <t>03624730150</t>
  </si>
  <si>
    <t>IT03624730150</t>
  </si>
  <si>
    <t>140000</t>
  </si>
  <si>
    <t>1399.</t>
  </si>
  <si>
    <t>TIRELLI TRAPPETTI COSTUMI DAL 1964 - SOCIETA' PER AZIONI</t>
  </si>
  <si>
    <t>01235271002</t>
  </si>
  <si>
    <t>03737220586</t>
  </si>
  <si>
    <t>IT03737220586</t>
  </si>
  <si>
    <t>Roma</t>
  </si>
  <si>
    <t>Lazio</t>
  </si>
  <si>
    <t>1400.</t>
  </si>
  <si>
    <t>OFFICINA ITALIA SRL</t>
  </si>
  <si>
    <t>09706970960</t>
  </si>
  <si>
    <t>IT09706970960</t>
  </si>
  <si>
    <t>Bergamo</t>
  </si>
  <si>
    <t>1401.</t>
  </si>
  <si>
    <t>G. &amp; P. S.R.L.</t>
  </si>
  <si>
    <t>05974010489</t>
  </si>
  <si>
    <t>IT05974010489</t>
  </si>
  <si>
    <t>141100</t>
  </si>
  <si>
    <t>1402.</t>
  </si>
  <si>
    <t>MADISON S.R.L.</t>
  </si>
  <si>
    <t>01909400507</t>
  </si>
  <si>
    <t>IT01909400507</t>
  </si>
  <si>
    <t>1403.</t>
  </si>
  <si>
    <t>NICE S.R.L. (NUOVA INDUSTRIA CONCIARIA EUROPEA S.R.L.)</t>
  </si>
  <si>
    <t>01653820249</t>
  </si>
  <si>
    <t>IT01653820249</t>
  </si>
  <si>
    <t>1404.</t>
  </si>
  <si>
    <t>FREE MINDS S.R.L.</t>
  </si>
  <si>
    <t>03643570264</t>
  </si>
  <si>
    <t>IT03643570264</t>
  </si>
  <si>
    <t>141929</t>
  </si>
  <si>
    <t>1405.</t>
  </si>
  <si>
    <t>ELGA S.R.L.</t>
  </si>
  <si>
    <t>03725750610</t>
  </si>
  <si>
    <t>IT03725750610</t>
  </si>
  <si>
    <t>Caserta</t>
  </si>
  <si>
    <t>1406.</t>
  </si>
  <si>
    <t>MAGLIFICIO R. SCAGLIONE S.R.L.</t>
  </si>
  <si>
    <t>01625760168</t>
  </si>
  <si>
    <t>IT01625760168</t>
  </si>
  <si>
    <t>1407.</t>
  </si>
  <si>
    <t>I.T.C. S.R.L. ITALIAN TEXTILE COMPANY</t>
  </si>
  <si>
    <t>01786110120</t>
  </si>
  <si>
    <t>IT01786110120</t>
  </si>
  <si>
    <t>141910</t>
  </si>
  <si>
    <t>Varese</t>
  </si>
  <si>
    <t>1408.</t>
  </si>
  <si>
    <t>ERATO S.R.L.</t>
  </si>
  <si>
    <t>03462690268</t>
  </si>
  <si>
    <t>IT03462690268</t>
  </si>
  <si>
    <t>141000</t>
  </si>
  <si>
    <t>Treviso</t>
  </si>
  <si>
    <t>Veneto</t>
  </si>
  <si>
    <t>1409.</t>
  </si>
  <si>
    <t>CALZATURE BEPPE S.R.L.</t>
  </si>
  <si>
    <t>00380090431</t>
  </si>
  <si>
    <t>IT00380090431</t>
  </si>
  <si>
    <t>152010</t>
  </si>
  <si>
    <t>Macerata</t>
  </si>
  <si>
    <t>Marche</t>
  </si>
  <si>
    <t>1410.</t>
  </si>
  <si>
    <t>D.M.G. SRL</t>
  </si>
  <si>
    <t>01920950357</t>
  </si>
  <si>
    <t>IT01920950357</t>
  </si>
  <si>
    <t>143900</t>
  </si>
  <si>
    <t>Reggio nell'Emilia</t>
  </si>
  <si>
    <t>Emilia-Romagna</t>
  </si>
  <si>
    <t>1411.</t>
  </si>
  <si>
    <t>CARELLA - S.R.L.</t>
  </si>
  <si>
    <t>01175200268</t>
  </si>
  <si>
    <t>IT01175200268</t>
  </si>
  <si>
    <t>143000</t>
  </si>
  <si>
    <t>1412.</t>
  </si>
  <si>
    <t>ANDERSON'S S.R.L.</t>
  </si>
  <si>
    <t>00150630341</t>
  </si>
  <si>
    <t>IT00150630341</t>
  </si>
  <si>
    <t>151209</t>
  </si>
  <si>
    <t>Parma</t>
  </si>
  <si>
    <t>1413.</t>
  </si>
  <si>
    <t>OFFICINARTIGIANA S.R.L.</t>
  </si>
  <si>
    <t>05398601210</t>
  </si>
  <si>
    <t>IT05398601210</t>
  </si>
  <si>
    <t>Napoli</t>
  </si>
  <si>
    <t>Campania</t>
  </si>
  <si>
    <t>n.d.</t>
  </si>
  <si>
    <t>1414.</t>
  </si>
  <si>
    <t>INNOVATESSILE S.R.L.</t>
  </si>
  <si>
    <t>07896211211</t>
  </si>
  <si>
    <t>IT07896211211</t>
  </si>
  <si>
    <t>141310</t>
  </si>
  <si>
    <t>1415.</t>
  </si>
  <si>
    <t>CIVIDINI S.R.L.</t>
  </si>
  <si>
    <t>01307660165</t>
  </si>
  <si>
    <t>IT01307660165</t>
  </si>
  <si>
    <t>Bergamo</t>
  </si>
  <si>
    <t>Lombardia</t>
  </si>
  <si>
    <t>1416.</t>
  </si>
  <si>
    <t>FASHION PLAN S.R.L.</t>
  </si>
  <si>
    <t>04107690960</t>
  </si>
  <si>
    <t>IT04107690960</t>
  </si>
  <si>
    <t>Milano</t>
  </si>
  <si>
    <t>1417.</t>
  </si>
  <si>
    <t>CONFEZIONI ORFATTI - S.R.L.</t>
  </si>
  <si>
    <t>00439970484</t>
  </si>
  <si>
    <t>IT00439970484</t>
  </si>
  <si>
    <t>141100</t>
  </si>
  <si>
    <t>Firenze</t>
  </si>
  <si>
    <t>Toscana</t>
  </si>
  <si>
    <t>1418.</t>
  </si>
  <si>
    <t>CREAZIONI MISQUI' S.R.L.</t>
  </si>
  <si>
    <t>01611440973</t>
  </si>
  <si>
    <t>IT01611440973</t>
  </si>
  <si>
    <t>Prato</t>
  </si>
  <si>
    <t>1419.</t>
  </si>
  <si>
    <t>ASTORFLEX S.R.L.</t>
  </si>
  <si>
    <t>02495620201</t>
  </si>
  <si>
    <t>IT02495620201</t>
  </si>
  <si>
    <t>Mantova</t>
  </si>
  <si>
    <t>1420.</t>
  </si>
  <si>
    <t>NASTRIFICIO DI SIGNORESSA S.R.L.</t>
  </si>
  <si>
    <t>03932740263</t>
  </si>
  <si>
    <t>IT03932740263</t>
  </si>
  <si>
    <t>1421.</t>
  </si>
  <si>
    <t>EUROPEAN GROUP S.R.L.</t>
  </si>
  <si>
    <t>13379230157</t>
  </si>
  <si>
    <t>IT13379230157</t>
  </si>
  <si>
    <t>152020</t>
  </si>
  <si>
    <t>1422.</t>
  </si>
  <si>
    <t>MINICUCCI FAUSTO &amp; LAURA SRL</t>
  </si>
  <si>
    <t>01515760443</t>
  </si>
  <si>
    <t>IT01515760443</t>
  </si>
  <si>
    <t>141910</t>
  </si>
  <si>
    <t>1423.</t>
  </si>
  <si>
    <t>CREAZIONI BALEANI - S.R.L.</t>
  </si>
  <si>
    <t>00385200423</t>
  </si>
  <si>
    <t>IT00385200423</t>
  </si>
  <si>
    <t>Ancona</t>
  </si>
  <si>
    <t>1424.</t>
  </si>
  <si>
    <t>M&amp;C PELLETTERIA ARTIGIANA S.R.L.</t>
  </si>
  <si>
    <t>10129210968</t>
  </si>
  <si>
    <t>IT10129210968</t>
  </si>
  <si>
    <t>1425.</t>
  </si>
  <si>
    <t>ITALIAN WOOLLEN TREASURES S.R.L.</t>
  </si>
  <si>
    <t>02387760974</t>
  </si>
  <si>
    <t>IT02387760974</t>
  </si>
  <si>
    <t>1426.</t>
  </si>
  <si>
    <t>MANIFATTURE DI PADOVA S.R.L.</t>
  </si>
  <si>
    <t>01860310281</t>
  </si>
  <si>
    <t>IT01860310281</t>
  </si>
  <si>
    <t>Padova</t>
  </si>
  <si>
    <t>1427.</t>
  </si>
  <si>
    <t>CALZATURIFICIO LANCIOTTI A.R. S.R.L.</t>
  </si>
  <si>
    <t>01771460449</t>
  </si>
  <si>
    <t>IT01771460449</t>
  </si>
  <si>
    <t>Fermo</t>
  </si>
  <si>
    <t>1428.</t>
  </si>
  <si>
    <t>RIVADAVIA INDUSTRIA CONCIARIA S.P.A.</t>
  </si>
  <si>
    <t>01419380504</t>
  </si>
  <si>
    <t>IT01419380504</t>
  </si>
  <si>
    <t>151100</t>
  </si>
  <si>
    <t>Pisa</t>
  </si>
  <si>
    <t>1429.</t>
  </si>
  <si>
    <t>TM INDUSTRIES S.R.L.</t>
  </si>
  <si>
    <t>03791480241</t>
  </si>
  <si>
    <t>IT03791480241</t>
  </si>
  <si>
    <t>Vicenza</t>
  </si>
  <si>
    <t>1430.</t>
  </si>
  <si>
    <t>SIM.TO.PEL. S.R.L.</t>
  </si>
  <si>
    <t>11873800152</t>
  </si>
  <si>
    <t>IT11873800152</t>
  </si>
  <si>
    <t>1431.</t>
  </si>
  <si>
    <t>CALZEMAINA SRL</t>
  </si>
  <si>
    <t>02585420207</t>
  </si>
  <si>
    <t>IT02585420207</t>
  </si>
  <si>
    <t>143100</t>
  </si>
  <si>
    <t>1432.</t>
  </si>
  <si>
    <t>KYBUN JOYA PRODUKTION ITALY SRL</t>
  </si>
  <si>
    <t>04234070268</t>
  </si>
  <si>
    <t>IT04234070268</t>
  </si>
  <si>
    <t>1433.</t>
  </si>
  <si>
    <t>CIESSE CASUALS ABBIGLIAMENTO S.R.L.</t>
  </si>
  <si>
    <t>01832180978</t>
  </si>
  <si>
    <t>01234270476</t>
  </si>
  <si>
    <t>IT01234270476</t>
  </si>
  <si>
    <t>1434.</t>
  </si>
  <si>
    <t>BORTOLI S.R.L.</t>
  </si>
  <si>
    <t>00563111202</t>
  </si>
  <si>
    <t>02233010376</t>
  </si>
  <si>
    <t>IT02233010376</t>
  </si>
  <si>
    <t>Bologna</t>
  </si>
  <si>
    <t>1435.</t>
  </si>
  <si>
    <t>GI.VI.PLAST S.R.L.</t>
  </si>
  <si>
    <t>01442500441</t>
  </si>
  <si>
    <t>IT01442500441</t>
  </si>
  <si>
    <t>1436.</t>
  </si>
  <si>
    <t>FRANCESCO RUSSO S.R.L.</t>
  </si>
  <si>
    <t>08704601213</t>
  </si>
  <si>
    <t>IT08704601213</t>
  </si>
  <si>
    <t>Caserta</t>
  </si>
  <si>
    <t>1437.</t>
  </si>
  <si>
    <t>CALZATURIFICIO ESTER S.R.L.</t>
  </si>
  <si>
    <t>02130990183</t>
  </si>
  <si>
    <t>IT02130990183</t>
  </si>
  <si>
    <t>Pavia</t>
  </si>
  <si>
    <t>1438.</t>
  </si>
  <si>
    <t>EMMETIERRE S.R.L.</t>
  </si>
  <si>
    <t>03168520488</t>
  </si>
  <si>
    <t>IT03168520488</t>
  </si>
  <si>
    <t>1439.</t>
  </si>
  <si>
    <t>FERCA 81 S.R.L.</t>
  </si>
  <si>
    <t>00995630308</t>
  </si>
  <si>
    <t>IT00995630308</t>
  </si>
  <si>
    <t>Udine</t>
  </si>
  <si>
    <t>Friuli-Venezia Giulia</t>
  </si>
  <si>
    <t>1440.</t>
  </si>
  <si>
    <t>KOINE' SOCIETA' A RESPONSABILITA' LIMITATA</t>
  </si>
  <si>
    <t>02337910349</t>
  </si>
  <si>
    <t>IT02337910349</t>
  </si>
  <si>
    <t>143900</t>
  </si>
  <si>
    <t>Reggio nell'Emilia</t>
  </si>
  <si>
    <t>Emilia-Romagna</t>
  </si>
  <si>
    <t>1441.</t>
  </si>
  <si>
    <t>CARIBU SRL</t>
  </si>
  <si>
    <t>09512890154</t>
  </si>
  <si>
    <t>IT09512890154</t>
  </si>
  <si>
    <t>152010</t>
  </si>
  <si>
    <t>Milano</t>
  </si>
  <si>
    <t>Lombardia</t>
  </si>
  <si>
    <t>1442.</t>
  </si>
  <si>
    <t>NOSTAR NEWSTYLE S.R.L.</t>
  </si>
  <si>
    <t>02088640442</t>
  </si>
  <si>
    <t>IT02088640442</t>
  </si>
  <si>
    <t>141310</t>
  </si>
  <si>
    <t>Ascoli Piceno</t>
  </si>
  <si>
    <t>Marche</t>
  </si>
  <si>
    <t>n.d.</t>
  </si>
  <si>
    <t>1443.</t>
  </si>
  <si>
    <t>MANIFATTURA ARTIGIANA CALZATURE MAC BAREN'S S.R.L.</t>
  </si>
  <si>
    <t>01248531210</t>
  </si>
  <si>
    <t>00753680636</t>
  </si>
  <si>
    <t>IT00753680636</t>
  </si>
  <si>
    <t>152000</t>
  </si>
  <si>
    <t>Napoli</t>
  </si>
  <si>
    <t>Campania</t>
  </si>
  <si>
    <t>1444.</t>
  </si>
  <si>
    <t>ROBY SPORT CLUB - S.R.L.</t>
  </si>
  <si>
    <t>01356480028</t>
  </si>
  <si>
    <t>IT01356480028</t>
  </si>
  <si>
    <t>141000</t>
  </si>
  <si>
    <t>Vercelli</t>
  </si>
  <si>
    <t>Piemonte</t>
  </si>
  <si>
    <t>1445.</t>
  </si>
  <si>
    <t>CRISTIAN MARCUCCI S.R.L. SOCIETA' BENEFIT</t>
  </si>
  <si>
    <t>06513400488</t>
  </si>
  <si>
    <t>IT06513400488</t>
  </si>
  <si>
    <t>151209</t>
  </si>
  <si>
    <t>Firenze</t>
  </si>
  <si>
    <t>Toscana</t>
  </si>
  <si>
    <t>1446.</t>
  </si>
  <si>
    <t>ANIMO S.R.L.</t>
  </si>
  <si>
    <t>04383730241</t>
  </si>
  <si>
    <t>IT04383730241</t>
  </si>
  <si>
    <t>141929</t>
  </si>
  <si>
    <t>Vicenza</t>
  </si>
  <si>
    <t>Veneto</t>
  </si>
  <si>
    <t>1447.</t>
  </si>
  <si>
    <t>CROCOLUX SRL</t>
  </si>
  <si>
    <t>09828760968</t>
  </si>
  <si>
    <t>IT09828760968</t>
  </si>
  <si>
    <t>1448.</t>
  </si>
  <si>
    <t>MARIELLE S.R.L.</t>
  </si>
  <si>
    <t>05292890489</t>
  </si>
  <si>
    <t>IT05292890489</t>
  </si>
  <si>
    <t>1449.</t>
  </si>
  <si>
    <t>CRAVATTIFICIO GIERRE S.R.L.</t>
  </si>
  <si>
    <t>06259350152</t>
  </si>
  <si>
    <t>IT06259350152</t>
  </si>
  <si>
    <t>141910</t>
  </si>
  <si>
    <t>1450.</t>
  </si>
  <si>
    <t>MANIFATTURA PARTENOPEA S.R.L.</t>
  </si>
  <si>
    <t>08918561211</t>
  </si>
  <si>
    <t>IT08918561211</t>
  </si>
  <si>
    <t>1451.</t>
  </si>
  <si>
    <t>JUST FASHION S.R.L.</t>
  </si>
  <si>
    <t>02359850977</t>
  </si>
  <si>
    <t>IT02359850977</t>
  </si>
  <si>
    <t>141300</t>
  </si>
  <si>
    <t>Prato</t>
  </si>
  <si>
    <t>1452.</t>
  </si>
  <si>
    <t>CORAME S.R.L.</t>
  </si>
  <si>
    <t>07357920961</t>
  </si>
  <si>
    <t>IT07357920961</t>
  </si>
  <si>
    <t>Monza e della Brianza</t>
  </si>
  <si>
    <t>1453.</t>
  </si>
  <si>
    <t>DOLOMITI PADS SRL</t>
  </si>
  <si>
    <t>04184530261</t>
  </si>
  <si>
    <t>IT04184530261</t>
  </si>
  <si>
    <t>Treviso</t>
  </si>
  <si>
    <t>1454.</t>
  </si>
  <si>
    <t>SABENA CALZATURIFICIO S.R.L.</t>
  </si>
  <si>
    <t>04563540261</t>
  </si>
  <si>
    <t>IT04563540261</t>
  </si>
  <si>
    <t>1455.</t>
  </si>
  <si>
    <t>FITWELL 4.0 S.R.L.</t>
  </si>
  <si>
    <t>05048870264</t>
  </si>
  <si>
    <t>IT05048870264</t>
  </si>
  <si>
    <t>1456.</t>
  </si>
  <si>
    <t>CLEVER STYLE S.R.L.</t>
  </si>
  <si>
    <t>02411930429</t>
  </si>
  <si>
    <t>IT02411930429</t>
  </si>
  <si>
    <t>Ancona</t>
  </si>
  <si>
    <t>1457.</t>
  </si>
  <si>
    <t>CMM S.R.L.</t>
  </si>
  <si>
    <t>03930290360</t>
  </si>
  <si>
    <t>IT03930290360</t>
  </si>
  <si>
    <t>Modena</t>
  </si>
  <si>
    <t>1458.</t>
  </si>
  <si>
    <t>FINEST SHOES S.R.L. IN LIQUIDAZIONE</t>
  </si>
  <si>
    <t>00439310483</t>
  </si>
  <si>
    <t>IT00439310483</t>
  </si>
  <si>
    <t>Lucca</t>
  </si>
  <si>
    <t>1459.</t>
  </si>
  <si>
    <t>GEO SPIRIT SOCIETA' A RESPONSABILITA' LIMITATA</t>
  </si>
  <si>
    <t>02263200467</t>
  </si>
  <si>
    <t>IT02263200467</t>
  </si>
  <si>
    <t>1460.</t>
  </si>
  <si>
    <t>IDEA 84 S.R.L.</t>
  </si>
  <si>
    <t>01037300447</t>
  </si>
  <si>
    <t>IT01037300447</t>
  </si>
  <si>
    <t>152020</t>
  </si>
  <si>
    <t>Fermo</t>
  </si>
  <si>
    <t>1461.</t>
  </si>
  <si>
    <t>MAGLIFICIO TONELLO SRL</t>
  </si>
  <si>
    <t>03867320289</t>
  </si>
  <si>
    <t>IT03867320289</t>
  </si>
  <si>
    <t>Udine</t>
  </si>
  <si>
    <t>Friuli-Venezia Giulia</t>
  </si>
  <si>
    <t>1462.</t>
  </si>
  <si>
    <t>PINK SHOES S.R.L.</t>
  </si>
  <si>
    <t>06309630728</t>
  </si>
  <si>
    <t>IT06309630728</t>
  </si>
  <si>
    <t>Barletta-Andria-Trani</t>
  </si>
  <si>
    <t>Puglia</t>
  </si>
  <si>
    <t>1463.</t>
  </si>
  <si>
    <t>BRUNO TROTTI CALZATURE S.R.L.</t>
  </si>
  <si>
    <t>02076210448</t>
  </si>
  <si>
    <t>IT02076210448</t>
  </si>
  <si>
    <t>1464.</t>
  </si>
  <si>
    <t>HRX S.R.L.</t>
  </si>
  <si>
    <t>10795100014</t>
  </si>
  <si>
    <t>IT10795100014</t>
  </si>
  <si>
    <t>Torino</t>
  </si>
  <si>
    <t>1465.</t>
  </si>
  <si>
    <t>THE STORE S.R.L.</t>
  </si>
  <si>
    <t>03961110289</t>
  </si>
  <si>
    <t>IT03961110289</t>
  </si>
  <si>
    <t>Padova</t>
  </si>
  <si>
    <t>1466.</t>
  </si>
  <si>
    <t>LABEL - STORE INDUSTRIES S.R.L.</t>
  </si>
  <si>
    <t>03729490262</t>
  </si>
  <si>
    <t>IT03729490262</t>
  </si>
  <si>
    <t>1467.</t>
  </si>
  <si>
    <t>FRATELLI MARZI - S.R.L.</t>
  </si>
  <si>
    <t>03527170488</t>
  </si>
  <si>
    <t>IT03527170488</t>
  </si>
  <si>
    <t>1468.</t>
  </si>
  <si>
    <t>EURO MODA 1 - S.R.L.</t>
  </si>
  <si>
    <t>00710810987</t>
  </si>
  <si>
    <t>02956980177</t>
  </si>
  <si>
    <t>IT02956980177</t>
  </si>
  <si>
    <t>Brescia</t>
  </si>
  <si>
    <t>1469.</t>
  </si>
  <si>
    <t>GALLIATE PELLI S.R.L.</t>
  </si>
  <si>
    <t>01286440035</t>
  </si>
  <si>
    <t>IT01286440035</t>
  </si>
  <si>
    <t>151100</t>
  </si>
  <si>
    <t>Novara</t>
  </si>
  <si>
    <t>1470.</t>
  </si>
  <si>
    <t>M.G. FASHION GROUP S.R.L.</t>
  </si>
  <si>
    <t>01728390673</t>
  </si>
  <si>
    <t>IT01728390673</t>
  </si>
  <si>
    <t>Teramo</t>
  </si>
  <si>
    <t>Abruzzo</t>
  </si>
  <si>
    <t>1471.</t>
  </si>
  <si>
    <t>ELLEDUESSE CONTRAFFORTI S.R.L.</t>
  </si>
  <si>
    <t>03513590152</t>
  </si>
  <si>
    <t>IT03513590152</t>
  </si>
  <si>
    <t>1472.</t>
  </si>
  <si>
    <t>ARKE' CONCERIA SRL</t>
  </si>
  <si>
    <t>02293280505</t>
  </si>
  <si>
    <t>IT02293280505</t>
  </si>
  <si>
    <t>151100</t>
  </si>
  <si>
    <t>Pisa</t>
  </si>
  <si>
    <t>Toscana</t>
  </si>
  <si>
    <t>1473.</t>
  </si>
  <si>
    <t>C.E.T. S.R.L.</t>
  </si>
  <si>
    <t>00185220365</t>
  </si>
  <si>
    <t>IT00185220365</t>
  </si>
  <si>
    <t>141310</t>
  </si>
  <si>
    <t>Modena</t>
  </si>
  <si>
    <t>Emilia-Romagna</t>
  </si>
  <si>
    <t>n.d.</t>
  </si>
  <si>
    <t>1474.</t>
  </si>
  <si>
    <t>TRICOT CHIC S.R.L.</t>
  </si>
  <si>
    <t>00341300135</t>
  </si>
  <si>
    <t>IT00341300135</t>
  </si>
  <si>
    <t>143900</t>
  </si>
  <si>
    <t>Lecco</t>
  </si>
  <si>
    <t>Lombardia</t>
  </si>
  <si>
    <t>1475.</t>
  </si>
  <si>
    <t>MISS ACCESSORI S.R.L.</t>
  </si>
  <si>
    <t>01591510977</t>
  </si>
  <si>
    <t>IT01591510977</t>
  </si>
  <si>
    <t>141910</t>
  </si>
  <si>
    <t>Prato</t>
  </si>
  <si>
    <t>1476.</t>
  </si>
  <si>
    <t>MAURIZI S.R.L</t>
  </si>
  <si>
    <t>01413830439</t>
  </si>
  <si>
    <t>IT01413830439</t>
  </si>
  <si>
    <t>152010</t>
  </si>
  <si>
    <t>Macerata</t>
  </si>
  <si>
    <t>Marche</t>
  </si>
  <si>
    <t>1477.</t>
  </si>
  <si>
    <t>STUDIO PELLE PELLETTERIA - S.R.L.</t>
  </si>
  <si>
    <t>02215840485</t>
  </si>
  <si>
    <t>IT02215840485</t>
  </si>
  <si>
    <t>151209</t>
  </si>
  <si>
    <t>Firenze</t>
  </si>
  <si>
    <t>1478.</t>
  </si>
  <si>
    <t>PISTOLESI - S.R.L.</t>
  </si>
  <si>
    <t>01151690508</t>
  </si>
  <si>
    <t>IT01151690508</t>
  </si>
  <si>
    <t>1479.</t>
  </si>
  <si>
    <t>QUALITY S.R.L.</t>
  </si>
  <si>
    <t>01179810435</t>
  </si>
  <si>
    <t>IT01179810435</t>
  </si>
  <si>
    <t>152020</t>
  </si>
  <si>
    <t>1480.</t>
  </si>
  <si>
    <t>BARIG S.R.L.</t>
  </si>
  <si>
    <t>05269710488</t>
  </si>
  <si>
    <t>IT05269710488</t>
  </si>
  <si>
    <t>141000</t>
  </si>
  <si>
    <t>1481.</t>
  </si>
  <si>
    <t>CREAZIONI BIP BIP S.R.L.</t>
  </si>
  <si>
    <t>01557470125</t>
  </si>
  <si>
    <t>IT01557470125</t>
  </si>
  <si>
    <t>Varese</t>
  </si>
  <si>
    <t>1482.</t>
  </si>
  <si>
    <t>CALZATURIFICIO GALLO S.R.L.</t>
  </si>
  <si>
    <t>08246011210</t>
  </si>
  <si>
    <t>IT08246011210</t>
  </si>
  <si>
    <t>Napoli</t>
  </si>
  <si>
    <t>Campania</t>
  </si>
  <si>
    <t>1483.</t>
  </si>
  <si>
    <t>ROMA S.R.L.</t>
  </si>
  <si>
    <t>02022110676</t>
  </si>
  <si>
    <t>IT02022110676</t>
  </si>
  <si>
    <t>Teramo</t>
  </si>
  <si>
    <t>Abruzzo</t>
  </si>
  <si>
    <t>1484.</t>
  </si>
  <si>
    <t>STUDIOART LEATHER INTERIORS SRL</t>
  </si>
  <si>
    <t>03869430243</t>
  </si>
  <si>
    <t>IT03869430243</t>
  </si>
  <si>
    <t>Vicenza</t>
  </si>
  <si>
    <t>Veneto</t>
  </si>
  <si>
    <t>1485.</t>
  </si>
  <si>
    <t>CONFEZIONE 5 EFFE C S.R.L.</t>
  </si>
  <si>
    <t>01714850979</t>
  </si>
  <si>
    <t>IT01714850979</t>
  </si>
  <si>
    <t>1486.</t>
  </si>
  <si>
    <t>CONCERIA COPAR PELLAMI S.R.L.</t>
  </si>
  <si>
    <t>03977690241</t>
  </si>
  <si>
    <t>IT03977690241</t>
  </si>
  <si>
    <t>1487.</t>
  </si>
  <si>
    <t>SARTO VENETO SRL</t>
  </si>
  <si>
    <t>01499650297</t>
  </si>
  <si>
    <t>IT01499650297</t>
  </si>
  <si>
    <t>Rovigo</t>
  </si>
  <si>
    <t>1488.</t>
  </si>
  <si>
    <t>GENTE DI MARE S.R.L.</t>
  </si>
  <si>
    <t>01174470425</t>
  </si>
  <si>
    <t>IT01174470425</t>
  </si>
  <si>
    <t>Ancona</t>
  </si>
  <si>
    <t>1489.</t>
  </si>
  <si>
    <t>GDM MILANO S.R.L.</t>
  </si>
  <si>
    <t>09212190962</t>
  </si>
  <si>
    <t>IT09212190962</t>
  </si>
  <si>
    <t>Milano</t>
  </si>
  <si>
    <t>1490.</t>
  </si>
  <si>
    <t>CORINI S.R.L.</t>
  </si>
  <si>
    <t>01439460930</t>
  </si>
  <si>
    <t>IT01439460930</t>
  </si>
  <si>
    <t>Pordenone</t>
  </si>
  <si>
    <t>Friuli-Venezia Giulia</t>
  </si>
  <si>
    <t>1491.</t>
  </si>
  <si>
    <t>EUROTRE S.R.L.</t>
  </si>
  <si>
    <t>02115780641</t>
  </si>
  <si>
    <t>IT02115780641</t>
  </si>
  <si>
    <t>Avellino</t>
  </si>
  <si>
    <t>1492.</t>
  </si>
  <si>
    <t>SUOLIFICIO STELLA S.R.L.</t>
  </si>
  <si>
    <t>01282370442</t>
  </si>
  <si>
    <t>IT01282370442</t>
  </si>
  <si>
    <t>Fermo</t>
  </si>
  <si>
    <t>1493.</t>
  </si>
  <si>
    <t>GRUPPO N. S.R.L.</t>
  </si>
  <si>
    <t>04053851210</t>
  </si>
  <si>
    <t>IT04053851210</t>
  </si>
  <si>
    <t>141929</t>
  </si>
  <si>
    <t>1494.</t>
  </si>
  <si>
    <t>NEW SAFETY WORK S.R.L.</t>
  </si>
  <si>
    <t>06211400723</t>
  </si>
  <si>
    <t>IT06211400723</t>
  </si>
  <si>
    <t>Barletta-Andria-Trani</t>
  </si>
  <si>
    <t>Puglia</t>
  </si>
  <si>
    <t>1495.</t>
  </si>
  <si>
    <t>MANIFATTURA TOSCANA PELLAMI S.R.L.</t>
  </si>
  <si>
    <t>01439560507</t>
  </si>
  <si>
    <t>IT01439560507</t>
  </si>
  <si>
    <t>1496.</t>
  </si>
  <si>
    <t>MANIFATTURE VIBRATA SOCIETA' A RESPONSABILITA' LIMITATA SEMPLIFICATA</t>
  </si>
  <si>
    <t>01944510674</t>
  </si>
  <si>
    <t>IT01944510674</t>
  </si>
  <si>
    <t>1497.</t>
  </si>
  <si>
    <t>VERDI FASHION S.R.L.</t>
  </si>
  <si>
    <t>02211750985</t>
  </si>
  <si>
    <t>01929760203</t>
  </si>
  <si>
    <t>IT01929760203</t>
  </si>
  <si>
    <t>Brescia</t>
  </si>
  <si>
    <t>1498.</t>
  </si>
  <si>
    <t>PULLOVER S.R.L.</t>
  </si>
  <si>
    <t>02435230970</t>
  </si>
  <si>
    <t>IT02435230970</t>
  </si>
  <si>
    <t>1499.</t>
  </si>
  <si>
    <t>N. BRONSON ITALIA S.R.L.</t>
  </si>
  <si>
    <t>00881800155</t>
  </si>
  <si>
    <t>IT00881800155</t>
  </si>
  <si>
    <t>1500.</t>
  </si>
  <si>
    <t>LORAD S.R.L.</t>
  </si>
  <si>
    <t>00813570983</t>
  </si>
  <si>
    <t>IT00813570983</t>
  </si>
  <si>
    <t>141900</t>
  </si>
  <si>
    <t>1501.</t>
  </si>
  <si>
    <t>VOGUE FINISH S.R.L.</t>
  </si>
  <si>
    <t>00209110501</t>
  </si>
  <si>
    <t>IT00209110501</t>
  </si>
  <si>
    <t>1502.</t>
  </si>
  <si>
    <t>AD FASHION GROUP SRL</t>
  </si>
  <si>
    <t>09663080019</t>
  </si>
  <si>
    <t>IT09663080019</t>
  </si>
  <si>
    <t>141200</t>
  </si>
  <si>
    <t>Torino</t>
  </si>
  <si>
    <t>Piemonte</t>
  </si>
  <si>
    <t>1503.</t>
  </si>
  <si>
    <t>SICAS - S.R.L.</t>
  </si>
  <si>
    <t>04377930484</t>
  </si>
  <si>
    <t>IT04377930484</t>
  </si>
  <si>
    <t>141100</t>
  </si>
  <si>
    <t>1504.</t>
  </si>
  <si>
    <t>ROMAGNOLI RONDINELLA S.R.L.</t>
  </si>
  <si>
    <t>00981270432</t>
  </si>
  <si>
    <t>IT00981270432</t>
  </si>
  <si>
    <t>152010</t>
  </si>
  <si>
    <t>Macerata</t>
  </si>
  <si>
    <t>Marche</t>
  </si>
  <si>
    <t>1505.</t>
  </si>
  <si>
    <t>SIGNORIN ILARIO S.R.L.</t>
  </si>
  <si>
    <t>02066310240</t>
  </si>
  <si>
    <t>IT02066310240</t>
  </si>
  <si>
    <t>151100</t>
  </si>
  <si>
    <t>Vicenza</t>
  </si>
  <si>
    <t>Veneto</t>
  </si>
  <si>
    <t>1506.</t>
  </si>
  <si>
    <t>PELLETTERIA FUSELLA S.R.L.</t>
  </si>
  <si>
    <t>02734870120</t>
  </si>
  <si>
    <t>IT02734870120</t>
  </si>
  <si>
    <t>151209</t>
  </si>
  <si>
    <t>Varese</t>
  </si>
  <si>
    <t>Lombardia</t>
  </si>
  <si>
    <t>n.d.</t>
  </si>
  <si>
    <t>1507.</t>
  </si>
  <si>
    <t>GAFFE - SOCIETA' A RESPONSABILITA' LIMITATA</t>
  </si>
  <si>
    <t>00986130342</t>
  </si>
  <si>
    <t>IT00986130342</t>
  </si>
  <si>
    <t>Parma</t>
  </si>
  <si>
    <t>Emilia-Romagna</t>
  </si>
  <si>
    <t>1508.</t>
  </si>
  <si>
    <t>STARLIGHT S.R.L.</t>
  </si>
  <si>
    <t>01852830973</t>
  </si>
  <si>
    <t>04860030487</t>
  </si>
  <si>
    <t>IT04860030487</t>
  </si>
  <si>
    <t>141000</t>
  </si>
  <si>
    <t>Prato</t>
  </si>
  <si>
    <t>Toscana</t>
  </si>
  <si>
    <t>1509.</t>
  </si>
  <si>
    <t>ATELIER PALLADIO S.R.L.</t>
  </si>
  <si>
    <t>03884330246</t>
  </si>
  <si>
    <t>IT03884330246</t>
  </si>
  <si>
    <t>1510.</t>
  </si>
  <si>
    <t>STAMBECCO - SOCIETA' A RESPONSABILITA' LIMITATA</t>
  </si>
  <si>
    <t>01453640367</t>
  </si>
  <si>
    <t>IT01453640367</t>
  </si>
  <si>
    <t>143900</t>
  </si>
  <si>
    <t>Modena</t>
  </si>
  <si>
    <t>1511.</t>
  </si>
  <si>
    <t>ETOMILU S.R.L.</t>
  </si>
  <si>
    <t>01592430670</t>
  </si>
  <si>
    <t>IT01592430670</t>
  </si>
  <si>
    <t>Teramo</t>
  </si>
  <si>
    <t>Abruzzo</t>
  </si>
  <si>
    <t>1512.</t>
  </si>
  <si>
    <t>ARCHIVIO SRL</t>
  </si>
  <si>
    <t>04083610248</t>
  </si>
  <si>
    <t>IT04083610248</t>
  </si>
  <si>
    <t>1513.</t>
  </si>
  <si>
    <t>BETAC S.R.L.</t>
  </si>
  <si>
    <t>03587730288</t>
  </si>
  <si>
    <t>IT03587730288</t>
  </si>
  <si>
    <t>141910</t>
  </si>
  <si>
    <t>Padova</t>
  </si>
  <si>
    <t>1514.</t>
  </si>
  <si>
    <t>DALLA BENETTA SCHIANTARELLI S.R.L.</t>
  </si>
  <si>
    <t>00234190247</t>
  </si>
  <si>
    <t>IT00234190247</t>
  </si>
  <si>
    <t>1515.</t>
  </si>
  <si>
    <t>SEVENTY GENERATION S.R.L.</t>
  </si>
  <si>
    <t>03128840984</t>
  </si>
  <si>
    <t>IT03128840984</t>
  </si>
  <si>
    <t>Brescia</t>
  </si>
  <si>
    <t>1516.</t>
  </si>
  <si>
    <t>CALZATURIFICIO FRANCESCHETTI S.R.L.</t>
  </si>
  <si>
    <t>00985770445</t>
  </si>
  <si>
    <t>IT00985770445</t>
  </si>
  <si>
    <t>Fermo</t>
  </si>
  <si>
    <t>1517.</t>
  </si>
  <si>
    <t>SCUDRERA S.R.L.</t>
  </si>
  <si>
    <t>04363170269</t>
  </si>
  <si>
    <t>IT04363170269</t>
  </si>
  <si>
    <t>141310</t>
  </si>
  <si>
    <t>Venezia</t>
  </si>
  <si>
    <t>1518.</t>
  </si>
  <si>
    <t>GY-TAL SHOES S.R.L.</t>
  </si>
  <si>
    <t>00437920507</t>
  </si>
  <si>
    <t>IT00437920507</t>
  </si>
  <si>
    <t>Pisa</t>
  </si>
  <si>
    <t>1519.</t>
  </si>
  <si>
    <t>LA MANUELITA S.R.L.</t>
  </si>
  <si>
    <t>01597530433</t>
  </si>
  <si>
    <t>IT01597530433</t>
  </si>
  <si>
    <t>1520.</t>
  </si>
  <si>
    <t>GAETANO ALOISIO &amp; CO SRL</t>
  </si>
  <si>
    <t>11281011004</t>
  </si>
  <si>
    <t>IT11281011004</t>
  </si>
  <si>
    <t>141320</t>
  </si>
  <si>
    <t>Roma</t>
  </si>
  <si>
    <t>Lazio</t>
  </si>
  <si>
    <t>1521.</t>
  </si>
  <si>
    <t>STILE LATINO S.R.L.</t>
  </si>
  <si>
    <t>07827060638</t>
  </si>
  <si>
    <t>IT07827060638</t>
  </si>
  <si>
    <t>Napoli</t>
  </si>
  <si>
    <t>Campania</t>
  </si>
  <si>
    <t>1522.</t>
  </si>
  <si>
    <t>2ME LAB. S.R.L.</t>
  </si>
  <si>
    <t>06479570969</t>
  </si>
  <si>
    <t>IT06479570969</t>
  </si>
  <si>
    <t>Milano</t>
  </si>
  <si>
    <t>1523.</t>
  </si>
  <si>
    <t>BLUE STAR SRL</t>
  </si>
  <si>
    <t>01936510443</t>
  </si>
  <si>
    <t>IT01936510443</t>
  </si>
  <si>
    <t>1524.</t>
  </si>
  <si>
    <t>LUSI S.R.L.</t>
  </si>
  <si>
    <t>02704500368</t>
  </si>
  <si>
    <t>IT02704500368</t>
  </si>
  <si>
    <t>141300</t>
  </si>
  <si>
    <t>1525.</t>
  </si>
  <si>
    <t>SUPREMA S.R.L.</t>
  </si>
  <si>
    <t>04089440277</t>
  </si>
  <si>
    <t>IT04089440277</t>
  </si>
  <si>
    <t>141100</t>
  </si>
  <si>
    <t>1526.</t>
  </si>
  <si>
    <t>MERO S.R.L.</t>
  </si>
  <si>
    <t>02153310236</t>
  </si>
  <si>
    <t>IT02153310236</t>
  </si>
  <si>
    <t>Verona</t>
  </si>
  <si>
    <t>1527.</t>
  </si>
  <si>
    <t>ARABA FENICE S.R.L.</t>
  </si>
  <si>
    <t>02998710277</t>
  </si>
  <si>
    <t>IT02998710277</t>
  </si>
  <si>
    <t>1528.</t>
  </si>
  <si>
    <t>FASHION HOUSE S.R.L.</t>
  </si>
  <si>
    <t>01463730679</t>
  </si>
  <si>
    <t>IT01463730679</t>
  </si>
  <si>
    <t>1529.</t>
  </si>
  <si>
    <t>ALTA MAGLIERIA ITALIANA S.R.L.</t>
  </si>
  <si>
    <t>03418450544</t>
  </si>
  <si>
    <t>IT03418450544</t>
  </si>
  <si>
    <t>Perugia</t>
  </si>
  <si>
    <t>Umbria</t>
  </si>
  <si>
    <t>1530.</t>
  </si>
  <si>
    <t>F.A.P. ITALIA S.R.L.</t>
  </si>
  <si>
    <t>02411480169</t>
  </si>
  <si>
    <t>IT02411480169</t>
  </si>
  <si>
    <t>1531.</t>
  </si>
  <si>
    <t>GEFIN S.R.L.</t>
  </si>
  <si>
    <t>02561890282</t>
  </si>
  <si>
    <t>02206700243</t>
  </si>
  <si>
    <t>IT02206700243</t>
  </si>
  <si>
    <t>1532.</t>
  </si>
  <si>
    <t>MA.TI.B.BA. S.R.L.</t>
  </si>
  <si>
    <t>08069240961</t>
  </si>
  <si>
    <t>IT08069240961</t>
  </si>
  <si>
    <t>141400</t>
  </si>
  <si>
    <t>1533.</t>
  </si>
  <si>
    <t>B 2 - S.R.L.</t>
  </si>
  <si>
    <t>01053850465</t>
  </si>
  <si>
    <t>IT01053850465</t>
  </si>
  <si>
    <t>152000</t>
  </si>
  <si>
    <t>Lucca</t>
  </si>
  <si>
    <t>1534.</t>
  </si>
  <si>
    <t>PER-PEL S.R.L.</t>
  </si>
  <si>
    <t>01507340246</t>
  </si>
  <si>
    <t>IT01507340246</t>
  </si>
  <si>
    <t>1535.</t>
  </si>
  <si>
    <t>LADY SHOES S.R.L.</t>
  </si>
  <si>
    <t>04047040615</t>
  </si>
  <si>
    <t>IT04047040615</t>
  </si>
  <si>
    <t>Caserta</t>
  </si>
  <si>
    <t>1536.</t>
  </si>
  <si>
    <t>DUPELCO DI DUSINI NICOLA S.R.L.</t>
  </si>
  <si>
    <t>00334440229</t>
  </si>
  <si>
    <t>IT00334440229</t>
  </si>
  <si>
    <t>151100</t>
  </si>
  <si>
    <t>Trento</t>
  </si>
  <si>
    <t>Trentino-Alto Adige/Südtirol</t>
  </si>
  <si>
    <t>1537.</t>
  </si>
  <si>
    <t>ZETAPELLI S.R.L.</t>
  </si>
  <si>
    <t>01320810243</t>
  </si>
  <si>
    <t>IT01320810243</t>
  </si>
  <si>
    <t>Vicenza</t>
  </si>
  <si>
    <t>Veneto</t>
  </si>
  <si>
    <t>1538.</t>
  </si>
  <si>
    <t>S.B.A. S.R.L.</t>
  </si>
  <si>
    <t>03507621211</t>
  </si>
  <si>
    <t>IT03507621211</t>
  </si>
  <si>
    <t>141310</t>
  </si>
  <si>
    <t>Napoli</t>
  </si>
  <si>
    <t>Campania</t>
  </si>
  <si>
    <t>n.d.</t>
  </si>
  <si>
    <t>1539.</t>
  </si>
  <si>
    <t>MORGANO S.R.L.</t>
  </si>
  <si>
    <t>00856830260</t>
  </si>
  <si>
    <t>IT00856830260</t>
  </si>
  <si>
    <t>143900</t>
  </si>
  <si>
    <t>Treviso</t>
  </si>
  <si>
    <t>1540.</t>
  </si>
  <si>
    <t>EGO S.R.L.</t>
  </si>
  <si>
    <t>02080790542</t>
  </si>
  <si>
    <t>IT02080790542</t>
  </si>
  <si>
    <t>151209</t>
  </si>
  <si>
    <t>Perugia</t>
  </si>
  <si>
    <t>Umbria</t>
  </si>
  <si>
    <t>1541.</t>
  </si>
  <si>
    <t>LANDI CONFEZIONI S.R.L.</t>
  </si>
  <si>
    <t>03500620483</t>
  </si>
  <si>
    <t>IT03500620483</t>
  </si>
  <si>
    <t>141000</t>
  </si>
  <si>
    <t>Firenze</t>
  </si>
  <si>
    <t>Toscana</t>
  </si>
  <si>
    <t>1542.</t>
  </si>
  <si>
    <t>D-B GROUP S.R.L.</t>
  </si>
  <si>
    <t>04984850281</t>
  </si>
  <si>
    <t>IT04984850281</t>
  </si>
  <si>
    <t>Padova</t>
  </si>
  <si>
    <t>1543.</t>
  </si>
  <si>
    <t>CONCERIA MA.BO.PELL SRL</t>
  </si>
  <si>
    <t>02795460241</t>
  </si>
  <si>
    <t>IT02795460241</t>
  </si>
  <si>
    <t>1544.</t>
  </si>
  <si>
    <t>FANNY SRL</t>
  </si>
  <si>
    <t>02802890364</t>
  </si>
  <si>
    <t>IT02802890364</t>
  </si>
  <si>
    <t>Modena</t>
  </si>
  <si>
    <t>Emilia-Romagna</t>
  </si>
  <si>
    <t>1545.</t>
  </si>
  <si>
    <t>MAGIR S.R.L.</t>
  </si>
  <si>
    <t>00216790121</t>
  </si>
  <si>
    <t>IT00216790121</t>
  </si>
  <si>
    <t>Varese</t>
  </si>
  <si>
    <t>Lombardia</t>
  </si>
  <si>
    <t>1546.</t>
  </si>
  <si>
    <t>MAISON NEW CLUB S.R.L.</t>
  </si>
  <si>
    <t>03541490367</t>
  </si>
  <si>
    <t>IT03541490367</t>
  </si>
  <si>
    <t>1547.</t>
  </si>
  <si>
    <t>FLECS S.R.L.</t>
  </si>
  <si>
    <t>02444590612</t>
  </si>
  <si>
    <t>IT02444590612</t>
  </si>
  <si>
    <t>152010</t>
  </si>
  <si>
    <t>Caserta</t>
  </si>
  <si>
    <t>1548.</t>
  </si>
  <si>
    <t>MANICARDI SERGIO S.R.L.</t>
  </si>
  <si>
    <t>00196770366</t>
  </si>
  <si>
    <t>IT00196770366</t>
  </si>
  <si>
    <t>141400</t>
  </si>
  <si>
    <t>1549.</t>
  </si>
  <si>
    <t>ARTEMAGLIA FASHION S.R.L</t>
  </si>
  <si>
    <t>03303510246</t>
  </si>
  <si>
    <t>IT03303510246</t>
  </si>
  <si>
    <t>1550.</t>
  </si>
  <si>
    <t>BONAPARTE S.R.L.</t>
  </si>
  <si>
    <t>02256890977</t>
  </si>
  <si>
    <t>IT02256890977</t>
  </si>
  <si>
    <t>1551.</t>
  </si>
  <si>
    <t>STECOL FLEX S.R.L.</t>
  </si>
  <si>
    <t>09507890151</t>
  </si>
  <si>
    <t>IT09507890151</t>
  </si>
  <si>
    <t>Milano</t>
  </si>
  <si>
    <t>1552.</t>
  </si>
  <si>
    <t>JINCO S.R.L.</t>
  </si>
  <si>
    <t>02284220973</t>
  </si>
  <si>
    <t>IT02284220973</t>
  </si>
  <si>
    <t>Prato</t>
  </si>
  <si>
    <t>1553.</t>
  </si>
  <si>
    <t>MEDITERRANEO S.R.L. UNIPERSONALE</t>
  </si>
  <si>
    <t>01698410675</t>
  </si>
  <si>
    <t>IT01698410675</t>
  </si>
  <si>
    <t>Pescara</t>
  </si>
  <si>
    <t>Abruzzo</t>
  </si>
  <si>
    <t>1554.</t>
  </si>
  <si>
    <t>MA.GI. SOCIETA' A RESPONSABILITA' LIMITATA</t>
  </si>
  <si>
    <t>01007430398</t>
  </si>
  <si>
    <t>IT01007430398</t>
  </si>
  <si>
    <t>141100</t>
  </si>
  <si>
    <t>Ravenna</t>
  </si>
  <si>
    <t>1555.</t>
  </si>
  <si>
    <t>MARIMA S.R.L.</t>
  </si>
  <si>
    <t>01054270671</t>
  </si>
  <si>
    <t>IT01054270671</t>
  </si>
  <si>
    <t>141910</t>
  </si>
  <si>
    <t>Teramo</t>
  </si>
  <si>
    <t>1556.</t>
  </si>
  <si>
    <t>RED HILL S.R.L.</t>
  </si>
  <si>
    <t>02134960174</t>
  </si>
  <si>
    <t>IT02134960174</t>
  </si>
  <si>
    <t>Brescia</t>
  </si>
  <si>
    <t>1557.</t>
  </si>
  <si>
    <t>ANDREA DEL VECCHIO SOLUZIONI ESCLUSIVE S.R.L.</t>
  </si>
  <si>
    <t>04004060283</t>
  </si>
  <si>
    <t>IT04004060283</t>
  </si>
  <si>
    <t>1558.</t>
  </si>
  <si>
    <t>MAAT - S.R.L.</t>
  </si>
  <si>
    <t>02447420429</t>
  </si>
  <si>
    <t>IT02447420429</t>
  </si>
  <si>
    <t>Ancona</t>
  </si>
  <si>
    <t>Marche</t>
  </si>
  <si>
    <t>1559.</t>
  </si>
  <si>
    <t>RWE ITALY S.R.L.</t>
  </si>
  <si>
    <t>03912380650</t>
  </si>
  <si>
    <t>IT03912380650</t>
  </si>
  <si>
    <t>1560.</t>
  </si>
  <si>
    <t>TIMIAMI S.R.L.</t>
  </si>
  <si>
    <t>02345260976</t>
  </si>
  <si>
    <t>IT02345260976</t>
  </si>
  <si>
    <t>1561.</t>
  </si>
  <si>
    <t>PAREA SONS SRL</t>
  </si>
  <si>
    <t>02787750989</t>
  </si>
  <si>
    <t>IT02787750989</t>
  </si>
  <si>
    <t>1562.</t>
  </si>
  <si>
    <t>ANDRA LINGERIE DI LATTANZIO FRANCESCO &amp; C. SOCIETA' A RESPONSABIL ITA' LIMITATA O IN FORMA ABBREVIATA ANDRA LINGERIE DI LATTANZIO FRANCESCO &amp; C. S.R.L.</t>
  </si>
  <si>
    <t>04385610722</t>
  </si>
  <si>
    <t>IT04385610722</t>
  </si>
  <si>
    <t>Barletta-Andria-Trani</t>
  </si>
  <si>
    <t>Puglia</t>
  </si>
  <si>
    <t>1563.</t>
  </si>
  <si>
    <t>SCHEDONI S.R.L.</t>
  </si>
  <si>
    <t>02797190366</t>
  </si>
  <si>
    <t>IT02797190366</t>
  </si>
  <si>
    <t>1564.</t>
  </si>
  <si>
    <t>MIAN S.R.L.</t>
  </si>
  <si>
    <t>09215381212</t>
  </si>
  <si>
    <t>IT09215381212</t>
  </si>
  <si>
    <t>1565.</t>
  </si>
  <si>
    <t>CALZATURIFICIO ARTIGIANA SCARPE S.R.L.</t>
  </si>
  <si>
    <t>05341741212</t>
  </si>
  <si>
    <t>IT05341741212</t>
  </si>
  <si>
    <t>1566.</t>
  </si>
  <si>
    <t>3F FASHION SERVICE S.R.L.</t>
  </si>
  <si>
    <t>07612591003</t>
  </si>
  <si>
    <t>IT07612591003</t>
  </si>
  <si>
    <t>Roma</t>
  </si>
  <si>
    <t>Lazio</t>
  </si>
  <si>
    <t>1567.</t>
  </si>
  <si>
    <t>PRETTY SOCIETA' COOPERATIVA</t>
  </si>
  <si>
    <t>03483840363</t>
  </si>
  <si>
    <t>IT03483840363</t>
  </si>
  <si>
    <t>1568.</t>
  </si>
  <si>
    <t>MAGICA - S.R.L.</t>
  </si>
  <si>
    <t>00718720121</t>
  </si>
  <si>
    <t>IT00718720121</t>
  </si>
  <si>
    <t>151209</t>
  </si>
  <si>
    <t>Varese</t>
  </si>
  <si>
    <t>Lombardia</t>
  </si>
  <si>
    <t>1569.</t>
  </si>
  <si>
    <t>RICHMAN S.R.L.</t>
  </si>
  <si>
    <t>02201400971</t>
  </si>
  <si>
    <t>IT02201400971</t>
  </si>
  <si>
    <t>143900</t>
  </si>
  <si>
    <t>Potenza</t>
  </si>
  <si>
    <t>Basilicata</t>
  </si>
  <si>
    <t>n.d.</t>
  </si>
  <si>
    <t>1570.</t>
  </si>
  <si>
    <t>L.F.G. S.R.L.</t>
  </si>
  <si>
    <t>02849770355</t>
  </si>
  <si>
    <t>IT02849770355</t>
  </si>
  <si>
    <t>141310</t>
  </si>
  <si>
    <t>Reggio nell'Emilia</t>
  </si>
  <si>
    <t>Emilia-Romagna</t>
  </si>
  <si>
    <t>1571.</t>
  </si>
  <si>
    <t>CALZATURIFICIO SPINNAKER S.R.L.</t>
  </si>
  <si>
    <t>02138720509</t>
  </si>
  <si>
    <t>IT02138720509</t>
  </si>
  <si>
    <t>152010</t>
  </si>
  <si>
    <t>Pisa</t>
  </si>
  <si>
    <t>Toscana</t>
  </si>
  <si>
    <t>1572.</t>
  </si>
  <si>
    <t>CEA MAGLIERIE S.R.L.</t>
  </si>
  <si>
    <t>03198740361</t>
  </si>
  <si>
    <t>IT03198740361</t>
  </si>
  <si>
    <t>Modena</t>
  </si>
  <si>
    <t>1573.</t>
  </si>
  <si>
    <t>BLUBOX S.R.L.</t>
  </si>
  <si>
    <t>08036690967</t>
  </si>
  <si>
    <t>IT08036690967</t>
  </si>
  <si>
    <t>Bologna</t>
  </si>
  <si>
    <t>1574.</t>
  </si>
  <si>
    <t>LUIGI E GUIDO TESI S.R.L.</t>
  </si>
  <si>
    <t>00436490486</t>
  </si>
  <si>
    <t>IT00436490486</t>
  </si>
  <si>
    <t>141910</t>
  </si>
  <si>
    <t>Firenze</t>
  </si>
  <si>
    <t>1575.</t>
  </si>
  <si>
    <t>G.A. LAB SRL</t>
  </si>
  <si>
    <t>03801590369</t>
  </si>
  <si>
    <t>IT03801590369</t>
  </si>
  <si>
    <t>1576.</t>
  </si>
  <si>
    <t>ROTTA S.R.L.</t>
  </si>
  <si>
    <t>02278170234</t>
  </si>
  <si>
    <t>IT02278170234</t>
  </si>
  <si>
    <t>Verona</t>
  </si>
  <si>
    <t>Veneto</t>
  </si>
  <si>
    <t>1577.</t>
  </si>
  <si>
    <t>CONFEZIONI DANIELE S.R.L.</t>
  </si>
  <si>
    <t>03672370487</t>
  </si>
  <si>
    <t>IT03672370487</t>
  </si>
  <si>
    <t>141929</t>
  </si>
  <si>
    <t>1578.</t>
  </si>
  <si>
    <t>DONNA SOFT S.R.L.</t>
  </si>
  <si>
    <t>01124830439</t>
  </si>
  <si>
    <t>IT01124830439</t>
  </si>
  <si>
    <t>Macerata</t>
  </si>
  <si>
    <t>Marche</t>
  </si>
  <si>
    <t>1579.</t>
  </si>
  <si>
    <t>BRUNO MANETTI S.R.L.</t>
  </si>
  <si>
    <t>04037460484</t>
  </si>
  <si>
    <t>IT04037460484</t>
  </si>
  <si>
    <t>1580.</t>
  </si>
  <si>
    <t>ALTA MANIFATTURA SALDI S.R.L.</t>
  </si>
  <si>
    <t>03793060546</t>
  </si>
  <si>
    <t>IT03793060546</t>
  </si>
  <si>
    <t>Perugia</t>
  </si>
  <si>
    <t>Umbria</t>
  </si>
  <si>
    <t>1581.</t>
  </si>
  <si>
    <t>ACCOPPIATURA RICCARDO S.R.L.</t>
  </si>
  <si>
    <t>01736560440</t>
  </si>
  <si>
    <t>IT01736560440</t>
  </si>
  <si>
    <t>152020</t>
  </si>
  <si>
    <t>Fermo</t>
  </si>
  <si>
    <t>1582.</t>
  </si>
  <si>
    <t>BENERICETTI S.R.L.</t>
  </si>
  <si>
    <t>01561830504</t>
  </si>
  <si>
    <t>IT01561830504</t>
  </si>
  <si>
    <t>151100</t>
  </si>
  <si>
    <t>1583.</t>
  </si>
  <si>
    <t>ESSEPI SRL</t>
  </si>
  <si>
    <t>04510340484</t>
  </si>
  <si>
    <t>IT04510340484</t>
  </si>
  <si>
    <t>1584.</t>
  </si>
  <si>
    <t>GRUPPO MARICA S.R.L.</t>
  </si>
  <si>
    <t>04843511215</t>
  </si>
  <si>
    <t>IT04843511215</t>
  </si>
  <si>
    <t>141300</t>
  </si>
  <si>
    <t>Napoli</t>
  </si>
  <si>
    <t>Campania</t>
  </si>
  <si>
    <t>1585.</t>
  </si>
  <si>
    <t>BERVIN SRL</t>
  </si>
  <si>
    <t>02789330731</t>
  </si>
  <si>
    <t>IT02789330731</t>
  </si>
  <si>
    <t>Taranto</t>
  </si>
  <si>
    <t>Puglia</t>
  </si>
  <si>
    <t>1586.</t>
  </si>
  <si>
    <t>GREEN LEATHER S.R.L.</t>
  </si>
  <si>
    <t>03108070248</t>
  </si>
  <si>
    <t>IT03108070248</t>
  </si>
  <si>
    <t>1587.</t>
  </si>
  <si>
    <t>ROSIS SRL</t>
  </si>
  <si>
    <t>01094290432</t>
  </si>
  <si>
    <t>IT01094290432</t>
  </si>
  <si>
    <t>1588.</t>
  </si>
  <si>
    <t>CONCERIA DALLA BARBA S.R.L.</t>
  </si>
  <si>
    <t>01777000249</t>
  </si>
  <si>
    <t>IT01777000249</t>
  </si>
  <si>
    <t>Vicenza</t>
  </si>
  <si>
    <t>1589.</t>
  </si>
  <si>
    <t>LUXURY TINA S.R.L. SB</t>
  </si>
  <si>
    <t>03593360120</t>
  </si>
  <si>
    <t>IT03593360120</t>
  </si>
  <si>
    <t>1590.</t>
  </si>
  <si>
    <t>ARTE PELLETTIERI S.R.L.</t>
  </si>
  <si>
    <t>06108350486</t>
  </si>
  <si>
    <t>IT06108350486</t>
  </si>
  <si>
    <t>1591.</t>
  </si>
  <si>
    <t>SER-MAR S.R.L.</t>
  </si>
  <si>
    <t>08187760155</t>
  </si>
  <si>
    <t>IT08187760155</t>
  </si>
  <si>
    <t>Milano</t>
  </si>
  <si>
    <t>1592.</t>
  </si>
  <si>
    <t>LUIGI AULETTA ALTA MODA S.R.L.</t>
  </si>
  <si>
    <t>03585460615</t>
  </si>
  <si>
    <t>IT03585460615</t>
  </si>
  <si>
    <t>1593.</t>
  </si>
  <si>
    <t>SAINT FERRY S.R.L.</t>
  </si>
  <si>
    <t>00339810442</t>
  </si>
  <si>
    <t>IT00339810442</t>
  </si>
  <si>
    <t>1594.</t>
  </si>
  <si>
    <t>PHOLYA - SOCIETA' A RESPONSABILITA' LIMITATA</t>
  </si>
  <si>
    <t>01994750485</t>
  </si>
  <si>
    <t>IT01994750485</t>
  </si>
  <si>
    <t>1595.</t>
  </si>
  <si>
    <t>CALZATURIFICIO GAL.MEN S.R.L.</t>
  </si>
  <si>
    <t>01039880446</t>
  </si>
  <si>
    <t>IT01039880446</t>
  </si>
  <si>
    <t>1596.</t>
  </si>
  <si>
    <t>CONFRAV S.P.A.</t>
  </si>
  <si>
    <t>02570330247</t>
  </si>
  <si>
    <t>IT02570330247</t>
  </si>
  <si>
    <t>141000</t>
  </si>
  <si>
    <t>1597.</t>
  </si>
  <si>
    <t>KIKKA MIA S.R.L.S.</t>
  </si>
  <si>
    <t>02329140970</t>
  </si>
  <si>
    <t>IT02329140970</t>
  </si>
  <si>
    <t>Prato</t>
  </si>
  <si>
    <t>1598.</t>
  </si>
  <si>
    <t>MAGLIFICIO DA-NI S.R.L.</t>
  </si>
  <si>
    <t>02272280401</t>
  </si>
  <si>
    <t>IT02272280401</t>
  </si>
  <si>
    <t>141921</t>
  </si>
  <si>
    <t>Forlì-Cesena</t>
  </si>
  <si>
    <t>1599.</t>
  </si>
  <si>
    <t>MASCA PROGETTO BORSA S.R.L.</t>
  </si>
  <si>
    <t>03809800166</t>
  </si>
  <si>
    <t>IT03809800166</t>
  </si>
  <si>
    <t>Bergamo</t>
  </si>
  <si>
    <t>1600.</t>
  </si>
  <si>
    <t>CASLAM SRL</t>
  </si>
  <si>
    <t>02712770649</t>
  </si>
  <si>
    <t>IT02712770649</t>
  </si>
  <si>
    <t>151100</t>
  </si>
  <si>
    <t>Avellino</t>
  </si>
  <si>
    <t>Campania</t>
  </si>
  <si>
    <t>1601.</t>
  </si>
  <si>
    <t>E.G.A.F. - ESERCIZIO GRANDI ALBERGHI FIRENZE - SRL</t>
  </si>
  <si>
    <t>05034761006</t>
  </si>
  <si>
    <t>04465180489</t>
  </si>
  <si>
    <t>IT04465180489</t>
  </si>
  <si>
    <t>141400</t>
  </si>
  <si>
    <t>Roma</t>
  </si>
  <si>
    <t>Lazio</t>
  </si>
  <si>
    <t>1602.</t>
  </si>
  <si>
    <t>SUTORIUS S.R.L.</t>
  </si>
  <si>
    <t>06495280486</t>
  </si>
  <si>
    <t>IT06495280486</t>
  </si>
  <si>
    <t>152010</t>
  </si>
  <si>
    <t>Firenze</t>
  </si>
  <si>
    <t>Toscana</t>
  </si>
  <si>
    <t>1603.</t>
  </si>
  <si>
    <t>GEMAX GROUP S.R.L.</t>
  </si>
  <si>
    <t>06966571215</t>
  </si>
  <si>
    <t>IT06966571215</t>
  </si>
  <si>
    <t>Napoli</t>
  </si>
  <si>
    <t>1604.</t>
  </si>
  <si>
    <t>CALZIFICIO ARGOPI S.R.L.</t>
  </si>
  <si>
    <t>00287210207</t>
  </si>
  <si>
    <t>IT00287210207</t>
  </si>
  <si>
    <t>143100</t>
  </si>
  <si>
    <t>Mantova</t>
  </si>
  <si>
    <t>Lombardia</t>
  </si>
  <si>
    <t>1605.</t>
  </si>
  <si>
    <t>GOLDENFIT S.R.L.</t>
  </si>
  <si>
    <t>05368250725</t>
  </si>
  <si>
    <t>IT05368250725</t>
  </si>
  <si>
    <t>Barletta-Andria-Trani</t>
  </si>
  <si>
    <t>Puglia</t>
  </si>
  <si>
    <t>1606.</t>
  </si>
  <si>
    <t>CARLO POZZI E C. S.R.L.</t>
  </si>
  <si>
    <t>00227690138</t>
  </si>
  <si>
    <t>IT00227690138</t>
  </si>
  <si>
    <t>141900</t>
  </si>
  <si>
    <t>Como</t>
  </si>
  <si>
    <t>1607.</t>
  </si>
  <si>
    <t>ELATA SALVATORE NICOLAZZO S.R.L.</t>
  </si>
  <si>
    <t>00039690755</t>
  </si>
  <si>
    <t>IT00039690755</t>
  </si>
  <si>
    <t>Lecce</t>
  </si>
  <si>
    <t>n.d.</t>
  </si>
  <si>
    <t>1608.</t>
  </si>
  <si>
    <t>ANDREW S.R.L.</t>
  </si>
  <si>
    <t>03138390269</t>
  </si>
  <si>
    <t>IT03138390269</t>
  </si>
  <si>
    <t>152000</t>
  </si>
  <si>
    <t>Treviso</t>
  </si>
  <si>
    <t>Veneto</t>
  </si>
  <si>
    <t>1609.</t>
  </si>
  <si>
    <t>MY LADY S.R.L.</t>
  </si>
  <si>
    <t>00906720446</t>
  </si>
  <si>
    <t>IT00906720446</t>
  </si>
  <si>
    <t>152020</t>
  </si>
  <si>
    <t>Fermo</t>
  </si>
  <si>
    <t>Marche</t>
  </si>
  <si>
    <t>1610.</t>
  </si>
  <si>
    <t>FA.BO.SS. S.R.L.</t>
  </si>
  <si>
    <t>12342130155</t>
  </si>
  <si>
    <t>IT12342130155</t>
  </si>
  <si>
    <t>151209</t>
  </si>
  <si>
    <t>Milano</t>
  </si>
  <si>
    <t>1611.</t>
  </si>
  <si>
    <t>PELLICCERIA GIANNA S.R.L.</t>
  </si>
  <si>
    <t>03470320288</t>
  </si>
  <si>
    <t>IT03470320288</t>
  </si>
  <si>
    <t>142000</t>
  </si>
  <si>
    <t>Padova</t>
  </si>
  <si>
    <t>1612.</t>
  </si>
  <si>
    <t>CALZATURIFICIO LORENZI SRL</t>
  </si>
  <si>
    <t>00985170448</t>
  </si>
  <si>
    <t>IT00985170448</t>
  </si>
  <si>
    <t>1613.</t>
  </si>
  <si>
    <t>CAMICERIA GIOVANNI TACCALITI S.R.L.</t>
  </si>
  <si>
    <t>02446890424</t>
  </si>
  <si>
    <t>IT02446890424</t>
  </si>
  <si>
    <t>Ancona</t>
  </si>
  <si>
    <t>1614.</t>
  </si>
  <si>
    <t>PIONEER S.R.L.</t>
  </si>
  <si>
    <t>00570200238</t>
  </si>
  <si>
    <t>IT00570200238</t>
  </si>
  <si>
    <t>141310</t>
  </si>
  <si>
    <t>Verona</t>
  </si>
  <si>
    <t>1615.</t>
  </si>
  <si>
    <t>FORME PHYSIQUE S.R.L.</t>
  </si>
  <si>
    <t>01973030362</t>
  </si>
  <si>
    <t>IT01973030362</t>
  </si>
  <si>
    <t>Modena</t>
  </si>
  <si>
    <t>Emilia-Romagna</t>
  </si>
  <si>
    <t>1616.</t>
  </si>
  <si>
    <t>CALZATURIFICIO TOGI S.R.L.</t>
  </si>
  <si>
    <t>04297300610</t>
  </si>
  <si>
    <t>IT04297300610</t>
  </si>
  <si>
    <t>Caserta</t>
  </si>
  <si>
    <t>1617.</t>
  </si>
  <si>
    <t>SALVATORE ZINGALES S.P.A.</t>
  </si>
  <si>
    <t>02823230830</t>
  </si>
  <si>
    <t>IT02823230830</t>
  </si>
  <si>
    <t>Messina</t>
  </si>
  <si>
    <t>Sicilia</t>
  </si>
  <si>
    <t>1618.</t>
  </si>
  <si>
    <t>BELLO S.P.A.</t>
  </si>
  <si>
    <t>04593730650</t>
  </si>
  <si>
    <t>IT04593730650</t>
  </si>
  <si>
    <t>Salerno</t>
  </si>
  <si>
    <t>1619.</t>
  </si>
  <si>
    <t>FEELING MODE SOCIETA' A RESPONSABILITA' LIMITATA</t>
  </si>
  <si>
    <t>07244980723</t>
  </si>
  <si>
    <t>IT07244980723</t>
  </si>
  <si>
    <t>Bari</t>
  </si>
  <si>
    <t>1620.</t>
  </si>
  <si>
    <t>CONCERIA MARCA TORO S.R.L.</t>
  </si>
  <si>
    <t>00245760509</t>
  </si>
  <si>
    <t>IT00245760509</t>
  </si>
  <si>
    <t>Pisa</t>
  </si>
  <si>
    <t>1621.</t>
  </si>
  <si>
    <t>DUCA S.R.L. - UNIPERSONALE</t>
  </si>
  <si>
    <t>02406800249</t>
  </si>
  <si>
    <t>IT02406800249</t>
  </si>
  <si>
    <t>Vicenza</t>
  </si>
  <si>
    <t>1622.</t>
  </si>
  <si>
    <t>M.P.E. S.R.L.</t>
  </si>
  <si>
    <t>00230000507</t>
  </si>
  <si>
    <t>IT00230000507</t>
  </si>
  <si>
    <t>1623.</t>
  </si>
  <si>
    <t>KLEO S.R.L.</t>
  </si>
  <si>
    <t>02755210982</t>
  </si>
  <si>
    <t>IT02755210982</t>
  </si>
  <si>
    <t>Brescia</t>
  </si>
  <si>
    <t>1624.</t>
  </si>
  <si>
    <t>EUREKA S.R.L.</t>
  </si>
  <si>
    <t>02103180978</t>
  </si>
  <si>
    <t>IT02103180978</t>
  </si>
  <si>
    <t>143900</t>
  </si>
  <si>
    <t>Prato</t>
  </si>
  <si>
    <t>1625.</t>
  </si>
  <si>
    <t>GALLETTI &amp; CARLINI S.R.L.</t>
  </si>
  <si>
    <t>01415780483</t>
  </si>
  <si>
    <t>IT01415780483</t>
  </si>
  <si>
    <t>1626.</t>
  </si>
  <si>
    <t>BELVEDERE CONFEZIONI S.R.L.</t>
  </si>
  <si>
    <t>02120100421</t>
  </si>
  <si>
    <t>IT02120100421</t>
  </si>
  <si>
    <t>141000</t>
  </si>
  <si>
    <t>1627.</t>
  </si>
  <si>
    <t>STIRATRICE M.C. DI RICCI DONATELLA S.R.L.</t>
  </si>
  <si>
    <t>00905990503</t>
  </si>
  <si>
    <t>IT00905990503</t>
  </si>
  <si>
    <t>1628.</t>
  </si>
  <si>
    <t>GABRIEL S.R.L.</t>
  </si>
  <si>
    <t>06743680487</t>
  </si>
  <si>
    <t>IT06743680487</t>
  </si>
  <si>
    <t>1629.</t>
  </si>
  <si>
    <t>DAL DOSSO GROUP S.R.L.</t>
  </si>
  <si>
    <t>01581100037</t>
  </si>
  <si>
    <t>IT01581100037</t>
  </si>
  <si>
    <t>141910</t>
  </si>
  <si>
    <t>Novara</t>
  </si>
  <si>
    <t>Piemonte</t>
  </si>
  <si>
    <t>1630.</t>
  </si>
  <si>
    <t>LAB DESIGN S.R.L.</t>
  </si>
  <si>
    <t>01828080679</t>
  </si>
  <si>
    <t>IT01828080679</t>
  </si>
  <si>
    <t>Teramo</t>
  </si>
  <si>
    <t>Abruzzo</t>
  </si>
  <si>
    <t>1631.</t>
  </si>
  <si>
    <t>BARTOLI &amp; C. S.R.L.</t>
  </si>
  <si>
    <t>01528000357</t>
  </si>
  <si>
    <t>IT01528000357</t>
  </si>
  <si>
    <t>Reggio nell'Emilia</t>
  </si>
  <si>
    <t>1632.</t>
  </si>
  <si>
    <t>ATLANTE FINISH - S.R.L.</t>
  </si>
  <si>
    <t>00940160500</t>
  </si>
  <si>
    <t>IT00940160500</t>
  </si>
  <si>
    <t>151100</t>
  </si>
  <si>
    <t>Pisa</t>
  </si>
  <si>
    <t>Toscana</t>
  </si>
  <si>
    <t>1633.</t>
  </si>
  <si>
    <t>SUPERIOR SUITE SRL</t>
  </si>
  <si>
    <t>04875300263</t>
  </si>
  <si>
    <t>IT04875300263</t>
  </si>
  <si>
    <t>141310</t>
  </si>
  <si>
    <t>Padova</t>
  </si>
  <si>
    <t>Veneto</t>
  </si>
  <si>
    <t>1634.</t>
  </si>
  <si>
    <t>CALZATURIFICIO CO.RAF. GROUP S.R.L.</t>
  </si>
  <si>
    <t>04253180618</t>
  </si>
  <si>
    <t>IT04253180618</t>
  </si>
  <si>
    <t>152010</t>
  </si>
  <si>
    <t>Caserta</t>
  </si>
  <si>
    <t>Campania</t>
  </si>
  <si>
    <t>n.d.</t>
  </si>
  <si>
    <t>1635.</t>
  </si>
  <si>
    <t>BE SNEAKERS SOCIETA' A RESPONSABILITA' LIMITATA</t>
  </si>
  <si>
    <t>08415940728</t>
  </si>
  <si>
    <t>IT08415940728</t>
  </si>
  <si>
    <t>Barletta-Andria-Trani</t>
  </si>
  <si>
    <t>Puglia</t>
  </si>
  <si>
    <t>1636.</t>
  </si>
  <si>
    <t>ESOTICA S.R.L.</t>
  </si>
  <si>
    <t>02143910129</t>
  </si>
  <si>
    <t>IT02143910129</t>
  </si>
  <si>
    <t>Varese</t>
  </si>
  <si>
    <t>Lombardia</t>
  </si>
  <si>
    <t>1637.</t>
  </si>
  <si>
    <t>AB CREATIVE SOCIETA' A RESPONSABILITA' LIMITATA SEMPLIFICATA UNIP ERSONALE</t>
  </si>
  <si>
    <t>06775670489</t>
  </si>
  <si>
    <t>IT06775670489</t>
  </si>
  <si>
    <t>151209</t>
  </si>
  <si>
    <t>Firenze</t>
  </si>
  <si>
    <t>1638.</t>
  </si>
  <si>
    <t>PACIOTTI S.R.L.</t>
  </si>
  <si>
    <t>00220950430</t>
  </si>
  <si>
    <t>IT00220950430</t>
  </si>
  <si>
    <t>Macerata</t>
  </si>
  <si>
    <t>Marche</t>
  </si>
  <si>
    <t>1639.</t>
  </si>
  <si>
    <t>PELLETTERIE DELFINO S.R.L.</t>
  </si>
  <si>
    <t>04345500286</t>
  </si>
  <si>
    <t>IT04345500286</t>
  </si>
  <si>
    <t>1640.</t>
  </si>
  <si>
    <t>CONCERIA ONDA VERDE S.R.L.</t>
  </si>
  <si>
    <t>00157280504</t>
  </si>
  <si>
    <t>IT00157280504</t>
  </si>
  <si>
    <t>1641.</t>
  </si>
  <si>
    <t>MAGLIFICIO GIO' S.R.L.</t>
  </si>
  <si>
    <t>01771920970</t>
  </si>
  <si>
    <t>IT01771920970</t>
  </si>
  <si>
    <t>143900</t>
  </si>
  <si>
    <t>Prato</t>
  </si>
  <si>
    <t>1642.</t>
  </si>
  <si>
    <t>ROSTI MAGLIFICIO SPORTIVO S.R.L.</t>
  </si>
  <si>
    <t>03033940168</t>
  </si>
  <si>
    <t>IT03033940168</t>
  </si>
  <si>
    <t>141929</t>
  </si>
  <si>
    <t>Bergamo</t>
  </si>
  <si>
    <t>1643.</t>
  </si>
  <si>
    <t>KINGS SERVICE S.R.L.</t>
  </si>
  <si>
    <t>03383910241</t>
  </si>
  <si>
    <t>IT03383910241</t>
  </si>
  <si>
    <t>141300</t>
  </si>
  <si>
    <t>Vicenza</t>
  </si>
  <si>
    <t>1644.</t>
  </si>
  <si>
    <t>DOMINO CREATIONS S.R.L.</t>
  </si>
  <si>
    <t>02544010412</t>
  </si>
  <si>
    <t>IT02544010412</t>
  </si>
  <si>
    <t>Pesaro e Urbino</t>
  </si>
  <si>
    <t>1645.</t>
  </si>
  <si>
    <t>GIOCATTOLINO S.R.L.</t>
  </si>
  <si>
    <t>02958961209</t>
  </si>
  <si>
    <t>IT02958961209</t>
  </si>
  <si>
    <t>Bologna</t>
  </si>
  <si>
    <t>Emilia-Romagna</t>
  </si>
  <si>
    <t>1646.</t>
  </si>
  <si>
    <t>LASER TEAM SOCIETA' A RESPONSABILITA' LIMITATA IN SIGLA LASER TEAM S.R.L.</t>
  </si>
  <si>
    <t>03193130402</t>
  </si>
  <si>
    <t>IT03193130402</t>
  </si>
  <si>
    <t>152020</t>
  </si>
  <si>
    <t>Forlì-Cesena</t>
  </si>
  <si>
    <t>1647.</t>
  </si>
  <si>
    <t>QUEEN FASHION - SOCIETA' A RESPONSABILITA' LIMITATA - IN FORMA ABBREVIATA QUEEN FASHION - S.R.L.</t>
  </si>
  <si>
    <t>01955120975</t>
  </si>
  <si>
    <t>IT01955120975</t>
  </si>
  <si>
    <t>1648.</t>
  </si>
  <si>
    <t>ARTEXBIELLA S.R.L.</t>
  </si>
  <si>
    <t>01690930027</t>
  </si>
  <si>
    <t>IT01690930027</t>
  </si>
  <si>
    <t>Biella</t>
  </si>
  <si>
    <t>Piemonte</t>
  </si>
  <si>
    <t>1649.</t>
  </si>
  <si>
    <t>PRANDINA &amp; CO. S.R.L.</t>
  </si>
  <si>
    <t>02200440242</t>
  </si>
  <si>
    <t>IT02200440242</t>
  </si>
  <si>
    <t>141100</t>
  </si>
  <si>
    <t>1650.</t>
  </si>
  <si>
    <t>CLOUDS S.R.L.</t>
  </si>
  <si>
    <t>02289180545</t>
  </si>
  <si>
    <t>IT02289180545</t>
  </si>
  <si>
    <t>Perugia</t>
  </si>
  <si>
    <t>Umbria</t>
  </si>
  <si>
    <t>1651.</t>
  </si>
  <si>
    <t>PETRARCA CONFEZIONI S.R.L.</t>
  </si>
  <si>
    <t>01089820516</t>
  </si>
  <si>
    <t>IT01089820516</t>
  </si>
  <si>
    <t>Arezzo</t>
  </si>
  <si>
    <t>1652.</t>
  </si>
  <si>
    <t>CALZATURIFICIO DONNA CAROLINA S.R.L.</t>
  </si>
  <si>
    <t>00423140276</t>
  </si>
  <si>
    <t>IT00423140276</t>
  </si>
  <si>
    <t>Venezia</t>
  </si>
  <si>
    <t>1653.</t>
  </si>
  <si>
    <t>CONCERIA ANNA RITA S.R.L.</t>
  </si>
  <si>
    <t>00318950508</t>
  </si>
  <si>
    <t>IT00318950508</t>
  </si>
  <si>
    <t>1654.</t>
  </si>
  <si>
    <t>EUROTOP &amp; BRADOR S.R.L.</t>
  </si>
  <si>
    <t>03826240404</t>
  </si>
  <si>
    <t>IT03826240404</t>
  </si>
  <si>
    <t>1655.</t>
  </si>
  <si>
    <t>MIRELLA MATTEINI S.R.L.</t>
  </si>
  <si>
    <t>01512410471</t>
  </si>
  <si>
    <t>IT01512410471</t>
  </si>
  <si>
    <t>Pistoia</t>
  </si>
  <si>
    <t>1656.</t>
  </si>
  <si>
    <t>M.C. S.R.L.</t>
  </si>
  <si>
    <t>03497611206</t>
  </si>
  <si>
    <t>IT03497611206</t>
  </si>
  <si>
    <t>1657.</t>
  </si>
  <si>
    <t>GIORGIO LINEA SRL</t>
  </si>
  <si>
    <t>04690810488</t>
  </si>
  <si>
    <t>IT04690810488</t>
  </si>
  <si>
    <t>1658.</t>
  </si>
  <si>
    <t>POLYFLEX S.R.L.</t>
  </si>
  <si>
    <t>08232670722</t>
  </si>
  <si>
    <t>IT08232670722</t>
  </si>
  <si>
    <t>1659.</t>
  </si>
  <si>
    <t>CALZIFICIO PRISCO S.R.L.</t>
  </si>
  <si>
    <t>00756740171</t>
  </si>
  <si>
    <t>IT00756740171</t>
  </si>
  <si>
    <t>143100</t>
  </si>
  <si>
    <t>Brescia</t>
  </si>
  <si>
    <t>1660.</t>
  </si>
  <si>
    <t>Z.C.H. ABBIGLIAMENTO SRL</t>
  </si>
  <si>
    <t>03908320983</t>
  </si>
  <si>
    <t>IT03908320983</t>
  </si>
  <si>
    <t>1661.</t>
  </si>
  <si>
    <t>M3 KNITWEAR S.R.L.</t>
  </si>
  <si>
    <t>02401050261</t>
  </si>
  <si>
    <t>IT02401050261</t>
  </si>
  <si>
    <t>143000</t>
  </si>
  <si>
    <t>Treviso</t>
  </si>
  <si>
    <t>1662.</t>
  </si>
  <si>
    <t>TEZUK SRL</t>
  </si>
  <si>
    <t>03581400375</t>
  </si>
  <si>
    <t>IT03581400375</t>
  </si>
  <si>
    <t>141320</t>
  </si>
  <si>
    <t>1663.</t>
  </si>
  <si>
    <t>CONFORT S.R.L.</t>
  </si>
  <si>
    <t>01592920431</t>
  </si>
  <si>
    <t>IT01592920431</t>
  </si>
  <si>
    <t>1664.</t>
  </si>
  <si>
    <t>MARYGOLD S.R.L.</t>
  </si>
  <si>
    <t>00390410207</t>
  </si>
  <si>
    <t>IT00390410207</t>
  </si>
  <si>
    <t>143100</t>
  </si>
  <si>
    <t>Mantova</t>
  </si>
  <si>
    <t>Lombardia</t>
  </si>
  <si>
    <t>1665.</t>
  </si>
  <si>
    <t>LE NOIR S.R.L.</t>
  </si>
  <si>
    <t>03461300489</t>
  </si>
  <si>
    <t>IT03461300489</t>
  </si>
  <si>
    <t>143000</t>
  </si>
  <si>
    <t>Firenze</t>
  </si>
  <si>
    <t>Toscana</t>
  </si>
  <si>
    <t>1666.</t>
  </si>
  <si>
    <t>HYPS SRL</t>
  </si>
  <si>
    <t>09147591219</t>
  </si>
  <si>
    <t>IT09147591219</t>
  </si>
  <si>
    <t>141910</t>
  </si>
  <si>
    <t>Napoli</t>
  </si>
  <si>
    <t>Campania</t>
  </si>
  <si>
    <t>n.d.</t>
  </si>
  <si>
    <t>1667.</t>
  </si>
  <si>
    <t>DANKE PELLETTERIA S.R.L.</t>
  </si>
  <si>
    <t>04416120162</t>
  </si>
  <si>
    <t>IT04416120162</t>
  </si>
  <si>
    <t>151209</t>
  </si>
  <si>
    <t>Bergamo</t>
  </si>
  <si>
    <t>1668.</t>
  </si>
  <si>
    <t>ZANDONA' SRL</t>
  </si>
  <si>
    <t>05090250266</t>
  </si>
  <si>
    <t>IT05090250266</t>
  </si>
  <si>
    <t>141929</t>
  </si>
  <si>
    <t>Treviso</t>
  </si>
  <si>
    <t>Veneto</t>
  </si>
  <si>
    <t>1669.</t>
  </si>
  <si>
    <t>MOLTENI CAMPIONARI S.R.L.</t>
  </si>
  <si>
    <t>00885260968</t>
  </si>
  <si>
    <t>08004910157</t>
  </si>
  <si>
    <t>IT08004910157</t>
  </si>
  <si>
    <t>141310</t>
  </si>
  <si>
    <t>Monza e della Brianza</t>
  </si>
  <si>
    <t>1670.</t>
  </si>
  <si>
    <t>G &amp; G FOOTWEAR S.R.L.</t>
  </si>
  <si>
    <t>00914400346</t>
  </si>
  <si>
    <t>IT00914400346</t>
  </si>
  <si>
    <t>152010</t>
  </si>
  <si>
    <t>Parma</t>
  </si>
  <si>
    <t>Emilia-Romagna</t>
  </si>
  <si>
    <t>1671.</t>
  </si>
  <si>
    <t>ACTIVE LAB S.R.L.</t>
  </si>
  <si>
    <t>01825850975</t>
  </si>
  <si>
    <t>IT01825850975</t>
  </si>
  <si>
    <t>142000</t>
  </si>
  <si>
    <t>Prato</t>
  </si>
  <si>
    <t>1672.</t>
  </si>
  <si>
    <t>CATARZI FILIPPO S.R.L.</t>
  </si>
  <si>
    <t>04506940487</t>
  </si>
  <si>
    <t>IT04506940487</t>
  </si>
  <si>
    <t>1673.</t>
  </si>
  <si>
    <t>TRABALDO GINO - S.R.L.</t>
  </si>
  <si>
    <t>01390890026</t>
  </si>
  <si>
    <t>IT01390890026</t>
  </si>
  <si>
    <t>Vercelli</t>
  </si>
  <si>
    <t>Piemonte</t>
  </si>
  <si>
    <t>1674.</t>
  </si>
  <si>
    <t>MAGLIFICIO DI MOMO S.R.L.</t>
  </si>
  <si>
    <t>02168000038</t>
  </si>
  <si>
    <t>IT02168000038</t>
  </si>
  <si>
    <t>143900</t>
  </si>
  <si>
    <t>Novara</t>
  </si>
  <si>
    <t>1675.</t>
  </si>
  <si>
    <t>SPIMAN S.R.L.</t>
  </si>
  <si>
    <t>00669310369</t>
  </si>
  <si>
    <t>IT00669310369</t>
  </si>
  <si>
    <t>141400</t>
  </si>
  <si>
    <t>Modena</t>
  </si>
  <si>
    <t>1676.</t>
  </si>
  <si>
    <t>LOTUS CALZE S.R.L.</t>
  </si>
  <si>
    <t>01698460209</t>
  </si>
  <si>
    <t>IT01698460209</t>
  </si>
  <si>
    <t>1677.</t>
  </si>
  <si>
    <t>SIMONE MARTINI S.R.L.</t>
  </si>
  <si>
    <t>05247380487</t>
  </si>
  <si>
    <t>IT05247380487</t>
  </si>
  <si>
    <t>1678.</t>
  </si>
  <si>
    <t>CONCERIA M B 3 S.R.L.</t>
  </si>
  <si>
    <t>01371250505</t>
  </si>
  <si>
    <t>IT01371250505</t>
  </si>
  <si>
    <t>151100</t>
  </si>
  <si>
    <t>Pisa</t>
  </si>
  <si>
    <t>1679.</t>
  </si>
  <si>
    <t>REHARD DISTRIBUZIONE SRL</t>
  </si>
  <si>
    <t>01962310221</t>
  </si>
  <si>
    <t>IT01962310221</t>
  </si>
  <si>
    <t>141100</t>
  </si>
  <si>
    <t>Vicenza</t>
  </si>
  <si>
    <t>1680.</t>
  </si>
  <si>
    <t>TREND S.R.L.</t>
  </si>
  <si>
    <t>02445490416</t>
  </si>
  <si>
    <t>IT02445490416</t>
  </si>
  <si>
    <t>141000</t>
  </si>
  <si>
    <t>Pesaro e Urbino</t>
  </si>
  <si>
    <t>Marche</t>
  </si>
  <si>
    <t>1681.</t>
  </si>
  <si>
    <t>CONFEZIONI ELSY - SOCIETA' PER AZIONI</t>
  </si>
  <si>
    <t>00624220059</t>
  </si>
  <si>
    <t>IT00624220059</t>
  </si>
  <si>
    <t>Asti</t>
  </si>
  <si>
    <t>1682.</t>
  </si>
  <si>
    <t>CONCERIA NUOVA ETRURIA S.R.L.</t>
  </si>
  <si>
    <t>00190660506</t>
  </si>
  <si>
    <t>IT00190660506</t>
  </si>
  <si>
    <t>1683.</t>
  </si>
  <si>
    <t>ALTAMODA BELT SRL</t>
  </si>
  <si>
    <t>01678970169</t>
  </si>
  <si>
    <t>IT01678970169</t>
  </si>
  <si>
    <t>151200</t>
  </si>
  <si>
    <t>1684.</t>
  </si>
  <si>
    <t>SA.CU.TEX. S.R.L.</t>
  </si>
  <si>
    <t>03469030286</t>
  </si>
  <si>
    <t>IT03469030286</t>
  </si>
  <si>
    <t>152020</t>
  </si>
  <si>
    <t>Padova</t>
  </si>
  <si>
    <t>1685.</t>
  </si>
  <si>
    <t>GE-FIN - S.R.L.</t>
  </si>
  <si>
    <t>00913880506</t>
  </si>
  <si>
    <t>IT00913880506</t>
  </si>
  <si>
    <t>1686.</t>
  </si>
  <si>
    <t>CAST BOLZONELLA SRL</t>
  </si>
  <si>
    <t>05160150289</t>
  </si>
  <si>
    <t>IT05160150289</t>
  </si>
  <si>
    <t>141200</t>
  </si>
  <si>
    <t>1687.</t>
  </si>
  <si>
    <t>DUEDI' SOCIETA' A RESPONSABILITA' LIMITATA</t>
  </si>
  <si>
    <t>03923350619</t>
  </si>
  <si>
    <t>IT03923350619</t>
  </si>
  <si>
    <t>Caserta</t>
  </si>
  <si>
    <t>1688.</t>
  </si>
  <si>
    <t>BOUNGALOW 5 S.R.L.</t>
  </si>
  <si>
    <t>02357070354</t>
  </si>
  <si>
    <t>IT02357070354</t>
  </si>
  <si>
    <t>141300</t>
  </si>
  <si>
    <t>Reggio nell'Emilia</t>
  </si>
  <si>
    <t>1689.</t>
  </si>
  <si>
    <t>BIANCALANI 975 S.R.L.</t>
  </si>
  <si>
    <t>06163940486</t>
  </si>
  <si>
    <t>IT06163940486</t>
  </si>
  <si>
    <t>1690.</t>
  </si>
  <si>
    <t>GIOVANNI VALENTINI S.R.L.</t>
  </si>
  <si>
    <t>03981490729</t>
  </si>
  <si>
    <t>IT03981490729</t>
  </si>
  <si>
    <t>Bari</t>
  </si>
  <si>
    <t>Puglia</t>
  </si>
  <si>
    <t>1691.</t>
  </si>
  <si>
    <t>DUSAN S.R.L.</t>
  </si>
  <si>
    <t>12675860154</t>
  </si>
  <si>
    <t>IT12675860154</t>
  </si>
  <si>
    <t>Milano</t>
  </si>
  <si>
    <t>1692.</t>
  </si>
  <si>
    <t>SESA SHOES SRL</t>
  </si>
  <si>
    <t>02442810442</t>
  </si>
  <si>
    <t>IT02442810442</t>
  </si>
  <si>
    <t>Fermo</t>
  </si>
  <si>
    <t>1693.</t>
  </si>
  <si>
    <t>MEMAR - S.R.L.</t>
  </si>
  <si>
    <t>03438440483</t>
  </si>
  <si>
    <t>IT03438440483</t>
  </si>
  <si>
    <t>1694.</t>
  </si>
  <si>
    <t>EGI.FRA. S.R.L.</t>
  </si>
  <si>
    <t>07991330965</t>
  </si>
  <si>
    <t>IT07991330965</t>
  </si>
  <si>
    <t>1695.</t>
  </si>
  <si>
    <t>CALZIFICIO M. BRESCIANI - S.R.L.</t>
  </si>
  <si>
    <t>00872770169</t>
  </si>
  <si>
    <t>IT00872770169</t>
  </si>
  <si>
    <t>1696.</t>
  </si>
  <si>
    <t>ACCOPPIATURE GC S.R.L.</t>
  </si>
  <si>
    <t>02209890462</t>
  </si>
  <si>
    <t>IT02209890462</t>
  </si>
  <si>
    <t>151100</t>
  </si>
  <si>
    <t>Lucca</t>
  </si>
  <si>
    <t>Toscana</t>
  </si>
  <si>
    <t>1697.</t>
  </si>
  <si>
    <t>SABY SPORT S.R.L.</t>
  </si>
  <si>
    <t>02860600242</t>
  </si>
  <si>
    <t>IT02860600242</t>
  </si>
  <si>
    <t>141929</t>
  </si>
  <si>
    <t>Vicenza</t>
  </si>
  <si>
    <t>Veneto</t>
  </si>
  <si>
    <t>n.d.</t>
  </si>
  <si>
    <t>1698.</t>
  </si>
  <si>
    <t>PELLECO S.R.L.</t>
  </si>
  <si>
    <t>00169460805</t>
  </si>
  <si>
    <t>IT00169460805</t>
  </si>
  <si>
    <t>Reggio di Calabria</t>
  </si>
  <si>
    <t>Calabria</t>
  </si>
  <si>
    <t>1699.</t>
  </si>
  <si>
    <t>GIPSY PRODUCTION S.R.L.</t>
  </si>
  <si>
    <t>05159111219</t>
  </si>
  <si>
    <t>IT05159111219</t>
  </si>
  <si>
    <t>152020</t>
  </si>
  <si>
    <t>Napoli</t>
  </si>
  <si>
    <t>Campania</t>
  </si>
  <si>
    <t>1700.</t>
  </si>
  <si>
    <t>I.T.A.R. S.R.L.</t>
  </si>
  <si>
    <t>00970030441</t>
  </si>
  <si>
    <t>IT00970030441</t>
  </si>
  <si>
    <t>141910</t>
  </si>
  <si>
    <t>Fermo</t>
  </si>
  <si>
    <t>Marche</t>
  </si>
  <si>
    <t>1701.</t>
  </si>
  <si>
    <t>CONCERIA DINGO S.R.L.</t>
  </si>
  <si>
    <t>00344250501</t>
  </si>
  <si>
    <t>IT00344250501</t>
  </si>
  <si>
    <t>Pisa</t>
  </si>
  <si>
    <t>1702.</t>
  </si>
  <si>
    <t>THEMOIRE S.R.L.</t>
  </si>
  <si>
    <t>04520880750</t>
  </si>
  <si>
    <t>IT04520880750</t>
  </si>
  <si>
    <t>151209</t>
  </si>
  <si>
    <t>Milano</t>
  </si>
  <si>
    <t>Lombardia</t>
  </si>
  <si>
    <t>1703.</t>
  </si>
  <si>
    <t>CONFEZIONI MIRCAM S.R.L.</t>
  </si>
  <si>
    <t>05125100726</t>
  </si>
  <si>
    <t>IT05125100726</t>
  </si>
  <si>
    <t>141400</t>
  </si>
  <si>
    <t>Barletta-Andria-Trani</t>
  </si>
  <si>
    <t>Puglia</t>
  </si>
  <si>
    <t>1704.</t>
  </si>
  <si>
    <t>ERNESTO DOLANI SRL</t>
  </si>
  <si>
    <t>01825860446</t>
  </si>
  <si>
    <t>IT01825860446</t>
  </si>
  <si>
    <t>152010</t>
  </si>
  <si>
    <t>1705.</t>
  </si>
  <si>
    <t>YPSILON S.R.L.</t>
  </si>
  <si>
    <t>02717590364</t>
  </si>
  <si>
    <t>IT02717590364</t>
  </si>
  <si>
    <t>141310</t>
  </si>
  <si>
    <t>Modena</t>
  </si>
  <si>
    <t>Emilia-Romagna</t>
  </si>
  <si>
    <t>1706.</t>
  </si>
  <si>
    <t>CONCERIA STELLA S.R.L.</t>
  </si>
  <si>
    <t>00668450489</t>
  </si>
  <si>
    <t>IT00668450489</t>
  </si>
  <si>
    <t>Firenze</t>
  </si>
  <si>
    <t>1707.</t>
  </si>
  <si>
    <t>2 SFT SOCIAL DENIM S.R.L.</t>
  </si>
  <si>
    <t>05557890653</t>
  </si>
  <si>
    <t>IT05557890653</t>
  </si>
  <si>
    <t>1708.</t>
  </si>
  <si>
    <t>PISCITELLI FOOTWEAR S.R.L.</t>
  </si>
  <si>
    <t>04308640616</t>
  </si>
  <si>
    <t>IT04308640616</t>
  </si>
  <si>
    <t>Caserta</t>
  </si>
  <si>
    <t>1709.</t>
  </si>
  <si>
    <t>STEFANIA CONFEZIONI S.R.L.</t>
  </si>
  <si>
    <t>01331250439</t>
  </si>
  <si>
    <t>IT01331250439</t>
  </si>
  <si>
    <t>Macerata</t>
  </si>
  <si>
    <t>1710.</t>
  </si>
  <si>
    <t>GUARDOLIFICIO DUE ROCCHE S.R.L.</t>
  </si>
  <si>
    <t>02156880268</t>
  </si>
  <si>
    <t>IT02156880268</t>
  </si>
  <si>
    <t>Treviso</t>
  </si>
  <si>
    <t>1711.</t>
  </si>
  <si>
    <t>ORIGINAL MOCASSIN S.R.L.</t>
  </si>
  <si>
    <t>02814050643</t>
  </si>
  <si>
    <t>IT02814050643</t>
  </si>
  <si>
    <t>Avellino</t>
  </si>
  <si>
    <t>1712.</t>
  </si>
  <si>
    <t>GAILLARDO - S.R.L.</t>
  </si>
  <si>
    <t>05337141005</t>
  </si>
  <si>
    <t>01616920482</t>
  </si>
  <si>
    <t>IT01616920482</t>
  </si>
  <si>
    <t>141100</t>
  </si>
  <si>
    <t>1713.</t>
  </si>
  <si>
    <t>CONCERIA YANKEE S.R.L.</t>
  </si>
  <si>
    <t>01103500508</t>
  </si>
  <si>
    <t>IT01103500508</t>
  </si>
  <si>
    <t>1714.</t>
  </si>
  <si>
    <t>PIAZZA AFFARI S.R.L.</t>
  </si>
  <si>
    <t>01439910553</t>
  </si>
  <si>
    <t>IT01439910553</t>
  </si>
  <si>
    <t>143900</t>
  </si>
  <si>
    <t>Terni</t>
  </si>
  <si>
    <t>Umbria</t>
  </si>
  <si>
    <t>1715.</t>
  </si>
  <si>
    <t>GALLUCCI S.R.L.</t>
  </si>
  <si>
    <t>01705780441</t>
  </si>
  <si>
    <t>IT01705780441</t>
  </si>
  <si>
    <t>1716.</t>
  </si>
  <si>
    <t>TEOREMA S.R.L.</t>
  </si>
  <si>
    <t>02532630403</t>
  </si>
  <si>
    <t>IT02532630403</t>
  </si>
  <si>
    <t>Forlì-Cesena</t>
  </si>
  <si>
    <t>1717.</t>
  </si>
  <si>
    <t>BOLDRINI SELLERIA S.R.L.</t>
  </si>
  <si>
    <t>01067830479</t>
  </si>
  <si>
    <t>03832850485</t>
  </si>
  <si>
    <t>IT03832850485</t>
  </si>
  <si>
    <t>Pistoia</t>
  </si>
  <si>
    <t>1718.</t>
  </si>
  <si>
    <t>PGN INTERNATIONAL S.R.L.</t>
  </si>
  <si>
    <t>02374090468</t>
  </si>
  <si>
    <t>IT02374090468</t>
  </si>
  <si>
    <t>141000</t>
  </si>
  <si>
    <t>1719.</t>
  </si>
  <si>
    <t>NOHOW S.R.L.</t>
  </si>
  <si>
    <t>03378740546</t>
  </si>
  <si>
    <t>IT03378740546</t>
  </si>
  <si>
    <t>Perugia</t>
  </si>
  <si>
    <t>1720.</t>
  </si>
  <si>
    <t>ELISA LANDRI SRL</t>
  </si>
  <si>
    <t>02417310162</t>
  </si>
  <si>
    <t>01928420247</t>
  </si>
  <si>
    <t>IT01928420247</t>
  </si>
  <si>
    <t>Bergamo</t>
  </si>
  <si>
    <t>1721.</t>
  </si>
  <si>
    <t>LUXURY SYSTEM S.R.L.</t>
  </si>
  <si>
    <t>04797020759</t>
  </si>
  <si>
    <t>IT04797020759</t>
  </si>
  <si>
    <t>Lecce</t>
  </si>
  <si>
    <t>1722.</t>
  </si>
  <si>
    <t>TOUS LES GARCONS S.R.L.</t>
  </si>
  <si>
    <t>01870570361</t>
  </si>
  <si>
    <t>IT01870570361</t>
  </si>
  <si>
    <t>1723.</t>
  </si>
  <si>
    <t>UNOERRE S.R.L.</t>
  </si>
  <si>
    <t>04438120752</t>
  </si>
  <si>
    <t>IT04438120752</t>
  </si>
  <si>
    <t>1724.</t>
  </si>
  <si>
    <t>PALAZZINA CAMICERIA S.R.L.</t>
  </si>
  <si>
    <t>00635000987</t>
  </si>
  <si>
    <t>01526050172</t>
  </si>
  <si>
    <t>IT01526050172</t>
  </si>
  <si>
    <t>Brescia</t>
  </si>
  <si>
    <t>1725.</t>
  </si>
  <si>
    <t>SISTEMA TESSILE S.R.L.</t>
  </si>
  <si>
    <t>02787720164</t>
  </si>
  <si>
    <t>01875220301</t>
  </si>
  <si>
    <t>IT01875220301</t>
  </si>
  <si>
    <t>1726.</t>
  </si>
  <si>
    <t>DUSY GROUP S.R.L.</t>
  </si>
  <si>
    <t>02157410461</t>
  </si>
  <si>
    <t>IT02157410461</t>
  </si>
  <si>
    <t>1727.</t>
  </si>
  <si>
    <t>FRANCIS &amp; CO S.R.L.</t>
  </si>
  <si>
    <t>06879430632</t>
  </si>
  <si>
    <t>IT06879430632</t>
  </si>
  <si>
    <t>1728.</t>
  </si>
  <si>
    <t>ZERO363 S.R.L.</t>
  </si>
  <si>
    <t>04448970162</t>
  </si>
  <si>
    <t>IT04448970162</t>
  </si>
  <si>
    <t>141400</t>
  </si>
  <si>
    <t>Bergamo</t>
  </si>
  <si>
    <t>Lombardia</t>
  </si>
  <si>
    <t>1729.</t>
  </si>
  <si>
    <t>BS SRL</t>
  </si>
  <si>
    <t>03993160245</t>
  </si>
  <si>
    <t>IT03993160245</t>
  </si>
  <si>
    <t>151100</t>
  </si>
  <si>
    <t>Vicenza</t>
  </si>
  <si>
    <t>Veneto</t>
  </si>
  <si>
    <t>1730.</t>
  </si>
  <si>
    <t>ANTONY GROUP SRL</t>
  </si>
  <si>
    <t>01051150363</t>
  </si>
  <si>
    <t>IT01051150363</t>
  </si>
  <si>
    <t>151200</t>
  </si>
  <si>
    <t>Modena</t>
  </si>
  <si>
    <t>Emilia-Romagna</t>
  </si>
  <si>
    <t>1731.</t>
  </si>
  <si>
    <t>SELF MAGLIERIA S.R.L.</t>
  </si>
  <si>
    <t>01439610138</t>
  </si>
  <si>
    <t>IT01439610138</t>
  </si>
  <si>
    <t>143900</t>
  </si>
  <si>
    <t>Como</t>
  </si>
  <si>
    <t>n.d.</t>
  </si>
  <si>
    <t>1732.</t>
  </si>
  <si>
    <t>LINDA - S.R.L.</t>
  </si>
  <si>
    <t>04767151006</t>
  </si>
  <si>
    <t>IT04767151006</t>
  </si>
  <si>
    <t>141000</t>
  </si>
  <si>
    <t>1733.</t>
  </si>
  <si>
    <t>PELLEGRINI GROUP S.R.L.</t>
  </si>
  <si>
    <t>03758890481</t>
  </si>
  <si>
    <t>IT03758890481</t>
  </si>
  <si>
    <t>Firenze</t>
  </si>
  <si>
    <t>Toscana</t>
  </si>
  <si>
    <t>1734.</t>
  </si>
  <si>
    <t>GRUPPO GIUFRAT ITALIA S.R.L.</t>
  </si>
  <si>
    <t>07381691216</t>
  </si>
  <si>
    <t>IT07381691216</t>
  </si>
  <si>
    <t>141310</t>
  </si>
  <si>
    <t>Napoli</t>
  </si>
  <si>
    <t>Campania</t>
  </si>
  <si>
    <t>1735.</t>
  </si>
  <si>
    <t>CREAZIONI MACRAME' - SOCIETA' A RESPONSABILITA' LIMITATA</t>
  </si>
  <si>
    <t>04066480650</t>
  </si>
  <si>
    <t>IT04066480650</t>
  </si>
  <si>
    <t>Salerno</t>
  </si>
  <si>
    <t>1736.</t>
  </si>
  <si>
    <t>M.P.G. INDUSTRIA CONCIARIA SRL</t>
  </si>
  <si>
    <t>00120900501</t>
  </si>
  <si>
    <t>IT00120900501</t>
  </si>
  <si>
    <t>Pisa</t>
  </si>
  <si>
    <t>1737.</t>
  </si>
  <si>
    <t>PRONTO MODA ROSE STYLE S.R.L.</t>
  </si>
  <si>
    <t>02307320974</t>
  </si>
  <si>
    <t>IT02307320974</t>
  </si>
  <si>
    <t>Prato</t>
  </si>
  <si>
    <t>1738.</t>
  </si>
  <si>
    <t>AMBRA AUTOMOTIVE LEATHER SRL</t>
  </si>
  <si>
    <t>03424640245</t>
  </si>
  <si>
    <t>IT03424640245</t>
  </si>
  <si>
    <t>1739.</t>
  </si>
  <si>
    <t>GOLD JEANS S.R.L.</t>
  </si>
  <si>
    <t>03581470618</t>
  </si>
  <si>
    <t>IT03581470618</t>
  </si>
  <si>
    <t>Caserta</t>
  </si>
  <si>
    <t>1740.</t>
  </si>
  <si>
    <t>SIM ITALIAN GLOVES SRL</t>
  </si>
  <si>
    <t>03260961218</t>
  </si>
  <si>
    <t>IT03260961218</t>
  </si>
  <si>
    <t>151209</t>
  </si>
  <si>
    <t>1741.</t>
  </si>
  <si>
    <t>NEW PEL COMPANY SRL</t>
  </si>
  <si>
    <t>00884830241</t>
  </si>
  <si>
    <t>IT00884830241</t>
  </si>
  <si>
    <t>1742.</t>
  </si>
  <si>
    <t>G.N.V. SRL</t>
  </si>
  <si>
    <t>01338800442</t>
  </si>
  <si>
    <t>IT01338800442</t>
  </si>
  <si>
    <t>152010</t>
  </si>
  <si>
    <t>Fermo</t>
  </si>
  <si>
    <t>Marche</t>
  </si>
  <si>
    <t>1743.</t>
  </si>
  <si>
    <t>CONCERIA CENTOMO S.R.L.</t>
  </si>
  <si>
    <t>01780950240</t>
  </si>
  <si>
    <t>IT01780950240</t>
  </si>
  <si>
    <t>1744.</t>
  </si>
  <si>
    <t>BERNACCHINI 1905 S.R.L.</t>
  </si>
  <si>
    <t>01635910431</t>
  </si>
  <si>
    <t>IT01635910431</t>
  </si>
  <si>
    <t>Macerata</t>
  </si>
  <si>
    <t>1745.</t>
  </si>
  <si>
    <t>I CASHMERISSIMI S.R.L.</t>
  </si>
  <si>
    <t>01644270470</t>
  </si>
  <si>
    <t>IT01644270470</t>
  </si>
  <si>
    <t>Pistoia</t>
  </si>
  <si>
    <t>1746.</t>
  </si>
  <si>
    <t>STHART S.R.L.</t>
  </si>
  <si>
    <t>02862890429</t>
  </si>
  <si>
    <t>IT02862890429</t>
  </si>
  <si>
    <t>Ancona</t>
  </si>
  <si>
    <t>1747.</t>
  </si>
  <si>
    <t>MIOMOJO S.R.L. SOCIETA' BENEFIT</t>
  </si>
  <si>
    <t>03800340162</t>
  </si>
  <si>
    <t>IT03800340162</t>
  </si>
  <si>
    <t>141910</t>
  </si>
  <si>
    <t>1748.</t>
  </si>
  <si>
    <t>CALZIFICIO NUOVA VIRGILIANA S.R.L.</t>
  </si>
  <si>
    <t>01378410201</t>
  </si>
  <si>
    <t>IT01378410201</t>
  </si>
  <si>
    <t>143100</t>
  </si>
  <si>
    <t>Mantova</t>
  </si>
  <si>
    <t>1749.</t>
  </si>
  <si>
    <t>EXTRO' STYLE S.R.L.</t>
  </si>
  <si>
    <t>03301190546</t>
  </si>
  <si>
    <t>IT03301190546</t>
  </si>
  <si>
    <t>Perugia</t>
  </si>
  <si>
    <t>Umbria</t>
  </si>
  <si>
    <t>1750.</t>
  </si>
  <si>
    <t>SHOES PROJECT VERONA SRL</t>
  </si>
  <si>
    <t>04683170239</t>
  </si>
  <si>
    <t>IT04683170239</t>
  </si>
  <si>
    <t>Verona</t>
  </si>
  <si>
    <t>1751.</t>
  </si>
  <si>
    <t>PIEMMEGI S.R.L.</t>
  </si>
  <si>
    <t>02485910265</t>
  </si>
  <si>
    <t>IT02485910265</t>
  </si>
  <si>
    <t>152020</t>
  </si>
  <si>
    <t>Treviso</t>
  </si>
  <si>
    <t>1752.</t>
  </si>
  <si>
    <t>NEW KOKO'S S.R.L.</t>
  </si>
  <si>
    <t>00939240255</t>
  </si>
  <si>
    <t>IT00939240255</t>
  </si>
  <si>
    <t>Belluno</t>
  </si>
  <si>
    <t>1753.</t>
  </si>
  <si>
    <t>LINEA DONNA S.R.L.</t>
  </si>
  <si>
    <t>01107470047</t>
  </si>
  <si>
    <t>IT01107470047</t>
  </si>
  <si>
    <t>Cuneo</t>
  </si>
  <si>
    <t>Piemonte</t>
  </si>
  <si>
    <t>1754.</t>
  </si>
  <si>
    <t>HEVO' S.R.L.</t>
  </si>
  <si>
    <t>02716240730</t>
  </si>
  <si>
    <t>IT02716240730</t>
  </si>
  <si>
    <t>Taranto</t>
  </si>
  <si>
    <t>Puglia</t>
  </si>
  <si>
    <t>1755.</t>
  </si>
  <si>
    <t>PIERRE MANTOUX S.R.L. BY ILCAT</t>
  </si>
  <si>
    <t>07592310150</t>
  </si>
  <si>
    <t>IT07592310150</t>
  </si>
  <si>
    <t>Milano</t>
  </si>
  <si>
    <t>1756.</t>
  </si>
  <si>
    <t>SUOLIFICIO MORROVALLESE SPA</t>
  </si>
  <si>
    <t>00336110432</t>
  </si>
  <si>
    <t>IT00336110432</t>
  </si>
  <si>
    <t>1757.</t>
  </si>
  <si>
    <t>ZANETTI MODA S.R.L.</t>
  </si>
  <si>
    <t>02118460241</t>
  </si>
  <si>
    <t>IT02118460241</t>
  </si>
  <si>
    <t>1758.</t>
  </si>
  <si>
    <t>DAVID Q S.R.L.</t>
  </si>
  <si>
    <t>03127440737</t>
  </si>
  <si>
    <t>IT03127440737</t>
  </si>
  <si>
    <t>1759.</t>
  </si>
  <si>
    <t>PLATINO S.R.L.</t>
  </si>
  <si>
    <t>02361970136</t>
  </si>
  <si>
    <t>IT02361970136</t>
  </si>
  <si>
    <t>1760.</t>
  </si>
  <si>
    <t>NEW MAGIC DREAM S.R.L.</t>
  </si>
  <si>
    <t>05150830726</t>
  </si>
  <si>
    <t>IT05150830726</t>
  </si>
  <si>
    <t>141400</t>
  </si>
  <si>
    <t>Barletta-Andria-Trani</t>
  </si>
  <si>
    <t>Puglia</t>
  </si>
  <si>
    <t>n.d.</t>
  </si>
  <si>
    <t>1761.</t>
  </si>
  <si>
    <t>CALZE BENEDUCI SRL</t>
  </si>
  <si>
    <t>02248840205</t>
  </si>
  <si>
    <t>IT02248840205</t>
  </si>
  <si>
    <t>143100</t>
  </si>
  <si>
    <t>Mantova</t>
  </si>
  <si>
    <t>Lombardia</t>
  </si>
  <si>
    <t>1762.</t>
  </si>
  <si>
    <t>RUBBER ITALY S.R.L.</t>
  </si>
  <si>
    <t>02070350448</t>
  </si>
  <si>
    <t>IT02070350448</t>
  </si>
  <si>
    <t>152020</t>
  </si>
  <si>
    <t>Fermo</t>
  </si>
  <si>
    <t>Marche</t>
  </si>
  <si>
    <t>1763.</t>
  </si>
  <si>
    <t>PEGASO S.R.L.</t>
  </si>
  <si>
    <t>03496980271</t>
  </si>
  <si>
    <t>IT03496980271</t>
  </si>
  <si>
    <t>152000</t>
  </si>
  <si>
    <t>Venezia</t>
  </si>
  <si>
    <t>Veneto</t>
  </si>
  <si>
    <t>1764.</t>
  </si>
  <si>
    <t>CONFITEX S.R.L.</t>
  </si>
  <si>
    <t>04317470658</t>
  </si>
  <si>
    <t>IT04317470658</t>
  </si>
  <si>
    <t>141310</t>
  </si>
  <si>
    <t>Salerno</t>
  </si>
  <si>
    <t>Campania</t>
  </si>
  <si>
    <t>1765.</t>
  </si>
  <si>
    <t>ACCOPPIATURE MISTRAL S.R.L.</t>
  </si>
  <si>
    <t>01718540501</t>
  </si>
  <si>
    <t>IT01718540501</t>
  </si>
  <si>
    <t>151100</t>
  </si>
  <si>
    <t>Pisa</t>
  </si>
  <si>
    <t>Toscana</t>
  </si>
  <si>
    <t>1766.</t>
  </si>
  <si>
    <t>CALZE CHIARINI S.R.L.</t>
  </si>
  <si>
    <t>01424320206</t>
  </si>
  <si>
    <t>IT01424320206</t>
  </si>
  <si>
    <t>1767.</t>
  </si>
  <si>
    <t>FOUR SYSTEM GROUP SRL</t>
  </si>
  <si>
    <t>01914680432</t>
  </si>
  <si>
    <t>IT01914680432</t>
  </si>
  <si>
    <t>Macerata</t>
  </si>
  <si>
    <t>1768.</t>
  </si>
  <si>
    <t>BONFANTI BORSE SRL</t>
  </si>
  <si>
    <t>00767090152</t>
  </si>
  <si>
    <t>IT00767090152</t>
  </si>
  <si>
    <t>151200</t>
  </si>
  <si>
    <t>Milano</t>
  </si>
  <si>
    <t>1769.</t>
  </si>
  <si>
    <t>MISS NAIKE' ITALIA S.R.L.</t>
  </si>
  <si>
    <t>02695840641</t>
  </si>
  <si>
    <t>IT02695840641</t>
  </si>
  <si>
    <t>Napoli</t>
  </si>
  <si>
    <t>1770.</t>
  </si>
  <si>
    <t>MARESCA S.R.L.</t>
  </si>
  <si>
    <t>00140690207</t>
  </si>
  <si>
    <t>IT00140690207</t>
  </si>
  <si>
    <t>152010</t>
  </si>
  <si>
    <t>1771.</t>
  </si>
  <si>
    <t>LINEA PROJECT LEATHER S.R.L.</t>
  </si>
  <si>
    <t>04232730244</t>
  </si>
  <si>
    <t>IT04232730244</t>
  </si>
  <si>
    <t>Vicenza</t>
  </si>
  <si>
    <t>1772.</t>
  </si>
  <si>
    <t>MADRAS ACCESSORI S.R.L.</t>
  </si>
  <si>
    <t>01709950479</t>
  </si>
  <si>
    <t>IT01709950479</t>
  </si>
  <si>
    <t>141910</t>
  </si>
  <si>
    <t>Prato</t>
  </si>
  <si>
    <t>1773.</t>
  </si>
  <si>
    <t>A.B. CREAZIONI S.R.L.</t>
  </si>
  <si>
    <t>01411500547</t>
  </si>
  <si>
    <t>IT01411500547</t>
  </si>
  <si>
    <t>143900</t>
  </si>
  <si>
    <t>Perugia</t>
  </si>
  <si>
    <t>Umbria</t>
  </si>
  <si>
    <t>1774.</t>
  </si>
  <si>
    <t>ANGHIARI TEXIL GROUP - S.R.L.</t>
  </si>
  <si>
    <t>01734450511</t>
  </si>
  <si>
    <t>IT01734450511</t>
  </si>
  <si>
    <t>Arezzo</t>
  </si>
  <si>
    <t>1775.</t>
  </si>
  <si>
    <t>M.I.B. - MANIFATTURA ITALIANA DEL BREMBO S.P.A.</t>
  </si>
  <si>
    <t>00917860165</t>
  </si>
  <si>
    <t>IT00917860165</t>
  </si>
  <si>
    <t>Bergamo</t>
  </si>
  <si>
    <t>1776.</t>
  </si>
  <si>
    <t>DRESS &amp; COMPANY S.R.L.</t>
  </si>
  <si>
    <t>05433931218</t>
  </si>
  <si>
    <t>IT05433931218</t>
  </si>
  <si>
    <t>1777.</t>
  </si>
  <si>
    <t>CALZATURIFICIO EUROPA SOCIETA' A RESPONSABILITA' LIMITATA IN SIGLA: CALZATURIFICIO EUROPA S.R.L.</t>
  </si>
  <si>
    <t>02655700611</t>
  </si>
  <si>
    <t>IT02655700611</t>
  </si>
  <si>
    <t>Caserta</t>
  </si>
  <si>
    <t>1778.</t>
  </si>
  <si>
    <t>C.C.P. SRL</t>
  </si>
  <si>
    <t>11277100159</t>
  </si>
  <si>
    <t>IT11277100159</t>
  </si>
  <si>
    <t>1779.</t>
  </si>
  <si>
    <t>MISSOURI S.R.L.</t>
  </si>
  <si>
    <t>01064680448</t>
  </si>
  <si>
    <t>IT01064680448</t>
  </si>
  <si>
    <t>1780.</t>
  </si>
  <si>
    <t>G.D.P. SOCIETA A RESPONSABILITA' LIMITATA</t>
  </si>
  <si>
    <t>02313110369</t>
  </si>
  <si>
    <t>IT02313110369</t>
  </si>
  <si>
    <t>141000</t>
  </si>
  <si>
    <t>Modena</t>
  </si>
  <si>
    <t>Emilia-Romagna</t>
  </si>
  <si>
    <t>1781.</t>
  </si>
  <si>
    <t>RIPANI ITALIANA PELLETTERIE SOCIETA' BENEFIT A RESPONSABILITA' LIMITATA OVVERO IN FORMA ABBREVIATA RIPANI ITALIANA PELLETTERIE S.B. SRL OPPUR E RIPANI ITALIANA PELLETTERIE S.B. R.L. OPPURE RIPANI ITALIANA PELLETTERIE S.R .L. S.B.</t>
  </si>
  <si>
    <t>00768000671</t>
  </si>
  <si>
    <t>IT00768000671</t>
  </si>
  <si>
    <t>Teramo</t>
  </si>
  <si>
    <t>Abruzzo</t>
  </si>
  <si>
    <t>1782.</t>
  </si>
  <si>
    <t>SUOLIFICIO MAYA S.R.L.</t>
  </si>
  <si>
    <t>01486940503</t>
  </si>
  <si>
    <t>IT01486940503</t>
  </si>
  <si>
    <t>1783.</t>
  </si>
  <si>
    <t>ETTORE MASOTTI S.R.L.</t>
  </si>
  <si>
    <t>03303930485</t>
  </si>
  <si>
    <t>IT03303930485</t>
  </si>
  <si>
    <t>Firenze</t>
  </si>
  <si>
    <t>1784.</t>
  </si>
  <si>
    <t>EMMEPI ITALIA S.R.L.</t>
  </si>
  <si>
    <t>03407140239</t>
  </si>
  <si>
    <t>IT03407140239</t>
  </si>
  <si>
    <t>141300</t>
  </si>
  <si>
    <t>Verona</t>
  </si>
  <si>
    <t>1785.</t>
  </si>
  <si>
    <t>ROTA - S.R.L.</t>
  </si>
  <si>
    <t>00800610347</t>
  </si>
  <si>
    <t>IT00800610347</t>
  </si>
  <si>
    <t>Parma</t>
  </si>
  <si>
    <t>1786.</t>
  </si>
  <si>
    <t>CALZATURIFICIO ROSSI S.R.L.</t>
  </si>
  <si>
    <t>01128030440</t>
  </si>
  <si>
    <t>IT01128030440</t>
  </si>
  <si>
    <t>1787.</t>
  </si>
  <si>
    <t>TAILOR OF VENICE S.R.L.</t>
  </si>
  <si>
    <t>02415840277</t>
  </si>
  <si>
    <t>IT02415840277</t>
  </si>
  <si>
    <t>1788.</t>
  </si>
  <si>
    <t>CONFEZIONI IOLE S.R.L.</t>
  </si>
  <si>
    <t>01486030230</t>
  </si>
  <si>
    <t>IT01486030230</t>
  </si>
  <si>
    <t>1789.</t>
  </si>
  <si>
    <t>ALBUM DI FAMIGLIA S.R.L.</t>
  </si>
  <si>
    <t>03084220130</t>
  </si>
  <si>
    <t>IT03084220130</t>
  </si>
  <si>
    <t>141929</t>
  </si>
  <si>
    <t>Como</t>
  </si>
  <si>
    <t>1790.</t>
  </si>
  <si>
    <t>V2 S.R.L.</t>
  </si>
  <si>
    <t>02564200026</t>
  </si>
  <si>
    <t>IT02564200026</t>
  </si>
  <si>
    <t>Biella</t>
  </si>
  <si>
    <t>Piemonte</t>
  </si>
  <si>
    <t>1791.</t>
  </si>
  <si>
    <t>COMET PELLI S.R.L.</t>
  </si>
  <si>
    <t>01973120247</t>
  </si>
  <si>
    <t>IT01973120247</t>
  </si>
  <si>
    <t>1792.</t>
  </si>
  <si>
    <t>CALZATURIFICIO MELIN S.R.L.</t>
  </si>
  <si>
    <t>01026620441</t>
  </si>
  <si>
    <t>IT01026620441</t>
  </si>
  <si>
    <t>152010</t>
  </si>
  <si>
    <t>Fermo</t>
  </si>
  <si>
    <t>Marche</t>
  </si>
  <si>
    <t>n.d.</t>
  </si>
  <si>
    <t>1793.</t>
  </si>
  <si>
    <t>MASIERO LORENZO S.R.L.</t>
  </si>
  <si>
    <t>03727890273</t>
  </si>
  <si>
    <t>IT03727890273</t>
  </si>
  <si>
    <t>Venezia</t>
  </si>
  <si>
    <t>Veneto</t>
  </si>
  <si>
    <t>1794.</t>
  </si>
  <si>
    <t>MAGLIFICIO MAZZONETTO S.R.L.</t>
  </si>
  <si>
    <t>00698880275</t>
  </si>
  <si>
    <t>IT00698880275</t>
  </si>
  <si>
    <t>143900</t>
  </si>
  <si>
    <t>1795.</t>
  </si>
  <si>
    <t>MUCCILLO GROUP SRL</t>
  </si>
  <si>
    <t>01207500628</t>
  </si>
  <si>
    <t>IT01207500628</t>
  </si>
  <si>
    <t>141310</t>
  </si>
  <si>
    <t>Benevento</t>
  </si>
  <si>
    <t>Campania</t>
  </si>
  <si>
    <t>1796.</t>
  </si>
  <si>
    <t>LEBB S.R.L.</t>
  </si>
  <si>
    <t>01067990414</t>
  </si>
  <si>
    <t>IT01067990414</t>
  </si>
  <si>
    <t>Pesaro e Urbino</t>
  </si>
  <si>
    <t>1797.</t>
  </si>
  <si>
    <t>CALZIFICIO CAROL S.R.L.</t>
  </si>
  <si>
    <t>00497950204</t>
  </si>
  <si>
    <t>IT00497950204</t>
  </si>
  <si>
    <t>143100</t>
  </si>
  <si>
    <t>Mantova</t>
  </si>
  <si>
    <t>Lombardia</t>
  </si>
  <si>
    <t>1798.</t>
  </si>
  <si>
    <t>M.A. ASCIUGATURA PELLI SRL</t>
  </si>
  <si>
    <t>04121660247</t>
  </si>
  <si>
    <t>IT04121660247</t>
  </si>
  <si>
    <t>151100</t>
  </si>
  <si>
    <t>Vicenza</t>
  </si>
  <si>
    <t>1799.</t>
  </si>
  <si>
    <t>M3 SRL</t>
  </si>
  <si>
    <t>04243050244</t>
  </si>
  <si>
    <t>IT04243050244</t>
  </si>
  <si>
    <t>1800.</t>
  </si>
  <si>
    <t>CONFEZIONE M.T. - S.R.L.</t>
  </si>
  <si>
    <t>04430520488</t>
  </si>
  <si>
    <t>IT04430520488</t>
  </si>
  <si>
    <t>141000</t>
  </si>
  <si>
    <t>Firenze</t>
  </si>
  <si>
    <t>Toscana</t>
  </si>
  <si>
    <t>1801.</t>
  </si>
  <si>
    <t>IL MARCHIO D'ORO S.R.L.</t>
  </si>
  <si>
    <t>05276800488</t>
  </si>
  <si>
    <t>IT05276800488</t>
  </si>
  <si>
    <t>141100</t>
  </si>
  <si>
    <t>1802.</t>
  </si>
  <si>
    <t>SERTEX S.R.L.</t>
  </si>
  <si>
    <t>07399070726</t>
  </si>
  <si>
    <t>IT07399070726</t>
  </si>
  <si>
    <t>141400</t>
  </si>
  <si>
    <t>Bari</t>
  </si>
  <si>
    <t>Puglia</t>
  </si>
  <si>
    <t>1803.</t>
  </si>
  <si>
    <t>FAST S.R.L.</t>
  </si>
  <si>
    <t>01648440442</t>
  </si>
  <si>
    <t>IT01648440442</t>
  </si>
  <si>
    <t>1804.</t>
  </si>
  <si>
    <t>RAPITEX S.R.L.</t>
  </si>
  <si>
    <t>01530720299</t>
  </si>
  <si>
    <t>IT01530720299</t>
  </si>
  <si>
    <t>Modena</t>
  </si>
  <si>
    <t>Emilia-Romagna</t>
  </si>
  <si>
    <t>1805.</t>
  </si>
  <si>
    <t>SUOLIFICIO GLORIA S.R.L.</t>
  </si>
  <si>
    <t>00178530408</t>
  </si>
  <si>
    <t>IT00178530408</t>
  </si>
  <si>
    <t>152020</t>
  </si>
  <si>
    <t>Forlì-Cesena</t>
  </si>
  <si>
    <t>1806.</t>
  </si>
  <si>
    <t>THULE ITALIA SRL</t>
  </si>
  <si>
    <t>02230550507</t>
  </si>
  <si>
    <t>IT02230550507</t>
  </si>
  <si>
    <t>Pisa</t>
  </si>
  <si>
    <t>1807.</t>
  </si>
  <si>
    <t>GIORDANI GIANCARLO S.R.L.</t>
  </si>
  <si>
    <t>03376820282</t>
  </si>
  <si>
    <t>IT03376820282</t>
  </si>
  <si>
    <t>141200</t>
  </si>
  <si>
    <t>Padova</t>
  </si>
  <si>
    <t>1808.</t>
  </si>
  <si>
    <t>CONCERIA LA BRETAGNA S.R.L.</t>
  </si>
  <si>
    <t>00970850509</t>
  </si>
  <si>
    <t>IT00970850509</t>
  </si>
  <si>
    <t>1809.</t>
  </si>
  <si>
    <t>TIEMMEGI S.R.L.</t>
  </si>
  <si>
    <t>01505260446</t>
  </si>
  <si>
    <t>IT01505260446</t>
  </si>
  <si>
    <t>1810.</t>
  </si>
  <si>
    <t>GROUP ROCHEL S.R.L.</t>
  </si>
  <si>
    <t>02407840970</t>
  </si>
  <si>
    <t>IT02407840970</t>
  </si>
  <si>
    <t>151209</t>
  </si>
  <si>
    <t>Prato</t>
  </si>
  <si>
    <t>1811.</t>
  </si>
  <si>
    <t>IFC INTERNATIONAL FASHION CULTURE S.R.L.</t>
  </si>
  <si>
    <t>02331150447</t>
  </si>
  <si>
    <t>IT02331150447</t>
  </si>
  <si>
    <t>Teramo</t>
  </si>
  <si>
    <t>Abruzzo</t>
  </si>
  <si>
    <t>1812.</t>
  </si>
  <si>
    <t>B-HOMME S.R.L.</t>
  </si>
  <si>
    <t>02373430970</t>
  </si>
  <si>
    <t>IT02373430970</t>
  </si>
  <si>
    <t>1813.</t>
  </si>
  <si>
    <t>CALZATURIFICIO GRESIL S.R.L.</t>
  </si>
  <si>
    <t>07514601215</t>
  </si>
  <si>
    <t>IT07514601215</t>
  </si>
  <si>
    <t>Napoli</t>
  </si>
  <si>
    <t>1814.</t>
  </si>
  <si>
    <t>A &amp; M SRL</t>
  </si>
  <si>
    <t>08098670964</t>
  </si>
  <si>
    <t>IT08098670964</t>
  </si>
  <si>
    <t>141910</t>
  </si>
  <si>
    <t>Milano</t>
  </si>
  <si>
    <t>1815.</t>
  </si>
  <si>
    <t>GORDON 1956 S.R.L.</t>
  </si>
  <si>
    <t>02399000443</t>
  </si>
  <si>
    <t>IT02399000443</t>
  </si>
  <si>
    <t>1816.</t>
  </si>
  <si>
    <t>SILVER S.R.L.</t>
  </si>
  <si>
    <t>04839341213</t>
  </si>
  <si>
    <t>IT04839341213</t>
  </si>
  <si>
    <t>1817.</t>
  </si>
  <si>
    <t>GUIDO FALCINI S.R.L.</t>
  </si>
  <si>
    <t>03016730487</t>
  </si>
  <si>
    <t>IT03016730487</t>
  </si>
  <si>
    <t>1818.</t>
  </si>
  <si>
    <t>LAMONACA GROUP S.R.L.</t>
  </si>
  <si>
    <t>07113380724</t>
  </si>
  <si>
    <t>IT07113380724</t>
  </si>
  <si>
    <t>Barletta-Andria-Trani</t>
  </si>
  <si>
    <t>1819.</t>
  </si>
  <si>
    <t>CAPECE S.R.L.</t>
  </si>
  <si>
    <t>04118900655</t>
  </si>
  <si>
    <t>IT04118900655</t>
  </si>
  <si>
    <t>Salerno</t>
  </si>
  <si>
    <t>1820.</t>
  </si>
  <si>
    <t>SHOE MANUFACTURE S.R.L.</t>
  </si>
  <si>
    <t>04294170271</t>
  </si>
  <si>
    <t>IT04294170271</t>
  </si>
  <si>
    <t>1821.</t>
  </si>
  <si>
    <t>S.C. TANNERY S.R.L.</t>
  </si>
  <si>
    <t>01915710501</t>
  </si>
  <si>
    <t>IT01915710501</t>
  </si>
  <si>
    <t>1822.</t>
  </si>
  <si>
    <t>SINTESI MANIFATTURE S.R.L.</t>
  </si>
  <si>
    <t>01258400447</t>
  </si>
  <si>
    <t>IT01258400447</t>
  </si>
  <si>
    <t>Ascoli Piceno</t>
  </si>
  <si>
    <t>1823.</t>
  </si>
  <si>
    <t>FASHION ACADEMY S.R.L.</t>
  </si>
  <si>
    <t>04704780750</t>
  </si>
  <si>
    <t>IT04704780750</t>
  </si>
  <si>
    <t>Lecce</t>
  </si>
  <si>
    <t>1824.</t>
  </si>
  <si>
    <t>ELE. MAR. S.R.L.</t>
  </si>
  <si>
    <t>01598800512</t>
  </si>
  <si>
    <t>IT01598800512</t>
  </si>
  <si>
    <t>141310</t>
  </si>
  <si>
    <t>Arezzo</t>
  </si>
  <si>
    <t>Toscana</t>
  </si>
  <si>
    <t>1825.</t>
  </si>
  <si>
    <t>IL CAPPELLO - INDUSTRIA ITALIANA DEL COPRICAPO - SOC. A R.L.</t>
  </si>
  <si>
    <t>00109780445</t>
  </si>
  <si>
    <t>IT00109780445</t>
  </si>
  <si>
    <t>141910</t>
  </si>
  <si>
    <t>Fermo</t>
  </si>
  <si>
    <t>Marche</t>
  </si>
  <si>
    <t>1826.</t>
  </si>
  <si>
    <t>F.LLI STANGHELLINI S.R.L.</t>
  </si>
  <si>
    <t>02624260242</t>
  </si>
  <si>
    <t>IT02624260242</t>
  </si>
  <si>
    <t>151100</t>
  </si>
  <si>
    <t>Vicenza</t>
  </si>
  <si>
    <t>Veneto</t>
  </si>
  <si>
    <t>1827.</t>
  </si>
  <si>
    <t>INIZIATIVE MODA ITALIANA S.R.L.</t>
  </si>
  <si>
    <t>00653271205</t>
  </si>
  <si>
    <t>03712850373</t>
  </si>
  <si>
    <t>IT03712850373</t>
  </si>
  <si>
    <t>141000</t>
  </si>
  <si>
    <t>Bologna</t>
  </si>
  <si>
    <t>Emilia-Romagna</t>
  </si>
  <si>
    <t>1828.</t>
  </si>
  <si>
    <t>BERRETTIFICIO DE.PA S.R.L.</t>
  </si>
  <si>
    <t>02793571213</t>
  </si>
  <si>
    <t>IT02793571213</t>
  </si>
  <si>
    <t>Napoli</t>
  </si>
  <si>
    <t>Campania</t>
  </si>
  <si>
    <t>n.d.</t>
  </si>
  <si>
    <t>1829.</t>
  </si>
  <si>
    <t>CONCERIA DEA-PEL S.R.L.</t>
  </si>
  <si>
    <t>01308530508</t>
  </si>
  <si>
    <t>IT01308530508</t>
  </si>
  <si>
    <t>Firenze</t>
  </si>
  <si>
    <t>1830.</t>
  </si>
  <si>
    <t>CERTALDESE S.R.L.</t>
  </si>
  <si>
    <t>03396560488</t>
  </si>
  <si>
    <t>IT03396560488</t>
  </si>
  <si>
    <t>152020</t>
  </si>
  <si>
    <t>1831.</t>
  </si>
  <si>
    <t>CIELLE CONFEZIONI S.R.L.</t>
  </si>
  <si>
    <t>02663240733</t>
  </si>
  <si>
    <t>IT02663240733</t>
  </si>
  <si>
    <t>Taranto</t>
  </si>
  <si>
    <t>Puglia</t>
  </si>
  <si>
    <t>1832.</t>
  </si>
  <si>
    <t>C.F.G. CLOTHING FASHION GROUP S.R.L.</t>
  </si>
  <si>
    <t>04374940163</t>
  </si>
  <si>
    <t>IT04374940163</t>
  </si>
  <si>
    <t>Bergamo</t>
  </si>
  <si>
    <t>Lombardia</t>
  </si>
  <si>
    <t>1833.</t>
  </si>
  <si>
    <t>COBA S.R.L.</t>
  </si>
  <si>
    <t>00843340449</t>
  </si>
  <si>
    <t>IT00843340449</t>
  </si>
  <si>
    <t>1834.</t>
  </si>
  <si>
    <t>HF 2000 - S.R.L.</t>
  </si>
  <si>
    <t>03993460728</t>
  </si>
  <si>
    <t>IT03993460728</t>
  </si>
  <si>
    <t>Barletta-Andria-Trani</t>
  </si>
  <si>
    <t>1835.</t>
  </si>
  <si>
    <t>TOP SYSTEM S.R.L.</t>
  </si>
  <si>
    <t>03265210280</t>
  </si>
  <si>
    <t>IT03265210280</t>
  </si>
  <si>
    <t>152010</t>
  </si>
  <si>
    <t>Padova</t>
  </si>
  <si>
    <t>1836.</t>
  </si>
  <si>
    <t>GAIA CONFEZIONI S.R.L.</t>
  </si>
  <si>
    <t>01767610684</t>
  </si>
  <si>
    <t>IT01767610684</t>
  </si>
  <si>
    <t>Pescara</t>
  </si>
  <si>
    <t>Abruzzo</t>
  </si>
  <si>
    <t>1837.</t>
  </si>
  <si>
    <t>INDIOS SHOES S.R.L.</t>
  </si>
  <si>
    <t>01376220479</t>
  </si>
  <si>
    <t>04720380486</t>
  </si>
  <si>
    <t>IT04720380486</t>
  </si>
  <si>
    <t>Pistoia</t>
  </si>
  <si>
    <t>1838.</t>
  </si>
  <si>
    <t>DEAPEL S.R.L.</t>
  </si>
  <si>
    <t>02814330243</t>
  </si>
  <si>
    <t>IT02814330243</t>
  </si>
  <si>
    <t>1839.</t>
  </si>
  <si>
    <t>FA.PEL S.R.L.</t>
  </si>
  <si>
    <t>01852810249</t>
  </si>
  <si>
    <t>IT01852810249</t>
  </si>
  <si>
    <t>1840.</t>
  </si>
  <si>
    <t>CREAZIONI MARIAROSA S.R.L.</t>
  </si>
  <si>
    <t>02235600240</t>
  </si>
  <si>
    <t>IT02235600240</t>
  </si>
  <si>
    <t>1841.</t>
  </si>
  <si>
    <t>D'ARIENZO S.R.L.</t>
  </si>
  <si>
    <t>02365700646</t>
  </si>
  <si>
    <t>IT02365700646</t>
  </si>
  <si>
    <t>141100</t>
  </si>
  <si>
    <t>Avellino</t>
  </si>
  <si>
    <t>1842.</t>
  </si>
  <si>
    <t>PELLICCERIA BERLINCIONI S.R.L.</t>
  </si>
  <si>
    <t>03663870487</t>
  </si>
  <si>
    <t>IT03663870487</t>
  </si>
  <si>
    <t>142000</t>
  </si>
  <si>
    <t>1843.</t>
  </si>
  <si>
    <t>DOL CAST - S.R.L.</t>
  </si>
  <si>
    <t>01161320468</t>
  </si>
  <si>
    <t>IT01161320468</t>
  </si>
  <si>
    <t>Lucca</t>
  </si>
  <si>
    <t>1844.</t>
  </si>
  <si>
    <t>DONI FASHION LAB SRL</t>
  </si>
  <si>
    <t>04979430289</t>
  </si>
  <si>
    <t>IT04979430289</t>
  </si>
  <si>
    <t>Venezia</t>
  </si>
  <si>
    <t>1845.</t>
  </si>
  <si>
    <t>FRANKALZA SRL</t>
  </si>
  <si>
    <t>03200140170</t>
  </si>
  <si>
    <t>IT03200140170</t>
  </si>
  <si>
    <t>143100</t>
  </si>
  <si>
    <t>Brescia</t>
  </si>
  <si>
    <t>1846.</t>
  </si>
  <si>
    <t>SERVIZIO MODA SRL UNIPERSONALE</t>
  </si>
  <si>
    <t>06539281219</t>
  </si>
  <si>
    <t>IT06539281219</t>
  </si>
  <si>
    <t>1847.</t>
  </si>
  <si>
    <t>KEPA S.R.L.</t>
  </si>
  <si>
    <t>03718800166</t>
  </si>
  <si>
    <t>IT03718800166</t>
  </si>
  <si>
    <t>1848.</t>
  </si>
  <si>
    <t>SILCA DEI F.LLI BELDI' S.R.L.</t>
  </si>
  <si>
    <t>00228170122</t>
  </si>
  <si>
    <t>IT00228170122</t>
  </si>
  <si>
    <t>Varese</t>
  </si>
  <si>
    <t>1849.</t>
  </si>
  <si>
    <t>CONCERIA CORRADI S.R.L.</t>
  </si>
  <si>
    <t>00876890245</t>
  </si>
  <si>
    <t>IT00876890245</t>
  </si>
  <si>
    <t>1850.</t>
  </si>
  <si>
    <t>EVOL FASHION GROUP S.R.L.</t>
  </si>
  <si>
    <t>04822820280</t>
  </si>
  <si>
    <t>IT04822820280</t>
  </si>
  <si>
    <t>151209</t>
  </si>
  <si>
    <t>1851.</t>
  </si>
  <si>
    <t>VALIGERIA BERTONI S.R.L.</t>
  </si>
  <si>
    <t>01408250122</t>
  </si>
  <si>
    <t>IT01408250122</t>
  </si>
  <si>
    <t>1852.</t>
  </si>
  <si>
    <t>POKER S.R.L.</t>
  </si>
  <si>
    <t>00340700509</t>
  </si>
  <si>
    <t>IT00340700509</t>
  </si>
  <si>
    <t>Pisa</t>
  </si>
  <si>
    <t>1853.</t>
  </si>
  <si>
    <t>ABOUT SRL</t>
  </si>
  <si>
    <t>08650260964</t>
  </si>
  <si>
    <t>IT08650260964</t>
  </si>
  <si>
    <t>Monza e della Brianza</t>
  </si>
  <si>
    <t>1854.</t>
  </si>
  <si>
    <t>GIUPEL S.R.L.</t>
  </si>
  <si>
    <t>01829810975</t>
  </si>
  <si>
    <t>IT01829810975</t>
  </si>
  <si>
    <t>Prato</t>
  </si>
  <si>
    <t>1855.</t>
  </si>
  <si>
    <t>NUOVA RIVIERA S.R.L.</t>
  </si>
  <si>
    <t>04632301216</t>
  </si>
  <si>
    <t>IT04632301216</t>
  </si>
  <si>
    <t>1856.</t>
  </si>
  <si>
    <t>CIVICO 93 S.R.L.</t>
  </si>
  <si>
    <t>09200151216</t>
  </si>
  <si>
    <t>IT09200151216</t>
  </si>
  <si>
    <t>151209</t>
  </si>
  <si>
    <t>Napoli</t>
  </si>
  <si>
    <t>Campania</t>
  </si>
  <si>
    <t>1857.</t>
  </si>
  <si>
    <t>DABO' PELLETTERIA S.R.L.</t>
  </si>
  <si>
    <t>08226880964</t>
  </si>
  <si>
    <t>IT08226880964</t>
  </si>
  <si>
    <t>Milano</t>
  </si>
  <si>
    <t>Lombardia</t>
  </si>
  <si>
    <t>1858.</t>
  </si>
  <si>
    <t>P.J. PROJECT S.R.L.</t>
  </si>
  <si>
    <t>02091300026</t>
  </si>
  <si>
    <t>IT02091300026</t>
  </si>
  <si>
    <t>141000</t>
  </si>
  <si>
    <t>Varese</t>
  </si>
  <si>
    <t>1859.</t>
  </si>
  <si>
    <t>ROSSO &amp; NERO SRL</t>
  </si>
  <si>
    <t>01905960447</t>
  </si>
  <si>
    <t>IT01905960447</t>
  </si>
  <si>
    <t>152020</t>
  </si>
  <si>
    <t>Fermo</t>
  </si>
  <si>
    <t>Marche</t>
  </si>
  <si>
    <t>1860.</t>
  </si>
  <si>
    <t>DREA SRL</t>
  </si>
  <si>
    <t>02090540366</t>
  </si>
  <si>
    <t>IT02090540366</t>
  </si>
  <si>
    <t>143900</t>
  </si>
  <si>
    <t>Modena</t>
  </si>
  <si>
    <t>Emilia-Romagna</t>
  </si>
  <si>
    <t>1861.</t>
  </si>
  <si>
    <t>BENVENUTI S.R.L.</t>
  </si>
  <si>
    <t>01188360489</t>
  </si>
  <si>
    <t>IT01188360489</t>
  </si>
  <si>
    <t>151100</t>
  </si>
  <si>
    <t>Firenze</t>
  </si>
  <si>
    <t>Toscana</t>
  </si>
  <si>
    <t>1862.</t>
  </si>
  <si>
    <t>CAMICERIA E.MAFFEIS S.R.L.</t>
  </si>
  <si>
    <t>03167050164</t>
  </si>
  <si>
    <t>IT03167050164</t>
  </si>
  <si>
    <t>Bergamo</t>
  </si>
  <si>
    <t>1863.</t>
  </si>
  <si>
    <t>GALA CO. S.R.L.</t>
  </si>
  <si>
    <t>01343310411</t>
  </si>
  <si>
    <t>IT01343310411</t>
  </si>
  <si>
    <t>141310</t>
  </si>
  <si>
    <t>Pesaro e Urbino</t>
  </si>
  <si>
    <t>1864.</t>
  </si>
  <si>
    <t>ALBACHIARA S.R.L.</t>
  </si>
  <si>
    <t>01763300512</t>
  </si>
  <si>
    <t>IT01763300512</t>
  </si>
  <si>
    <t>141910</t>
  </si>
  <si>
    <t>Arezzo</t>
  </si>
  <si>
    <t>1865.</t>
  </si>
  <si>
    <t>CALZIFICIO NUOVO GIODI S.R.L.</t>
  </si>
  <si>
    <t>00571230200</t>
  </si>
  <si>
    <t>IT00571230200</t>
  </si>
  <si>
    <t>143100</t>
  </si>
  <si>
    <t>Mantova</t>
  </si>
  <si>
    <t>1866.</t>
  </si>
  <si>
    <t>CALZATURIFICIO TREEMME S.R.L.</t>
  </si>
  <si>
    <t>05059570266</t>
  </si>
  <si>
    <t>IT05059570266</t>
  </si>
  <si>
    <t>152010</t>
  </si>
  <si>
    <t>Treviso</t>
  </si>
  <si>
    <t>Veneto</t>
  </si>
  <si>
    <t>1867.</t>
  </si>
  <si>
    <t>SA.MA.TEX S.R.L.</t>
  </si>
  <si>
    <t>02303660027</t>
  </si>
  <si>
    <t>IT02303660027</t>
  </si>
  <si>
    <t>1868.</t>
  </si>
  <si>
    <t>INVERNI S.R.L.</t>
  </si>
  <si>
    <t>00271900979</t>
  </si>
  <si>
    <t>01790330482</t>
  </si>
  <si>
    <t>IT01790330482</t>
  </si>
  <si>
    <t>Prato</t>
  </si>
  <si>
    <t>n.d.</t>
  </si>
  <si>
    <t>1869.</t>
  </si>
  <si>
    <t>MR HATTER S.R.L.</t>
  </si>
  <si>
    <t>04307810616</t>
  </si>
  <si>
    <t>IT04307810616</t>
  </si>
  <si>
    <t>Caserta</t>
  </si>
  <si>
    <t>1870.</t>
  </si>
  <si>
    <t>EDESIM S.R.L.</t>
  </si>
  <si>
    <t>06472641213</t>
  </si>
  <si>
    <t>IT06472641213</t>
  </si>
  <si>
    <t>1871.</t>
  </si>
  <si>
    <t>BONTONI SRL</t>
  </si>
  <si>
    <t>01884950443</t>
  </si>
  <si>
    <t>IT01884950443</t>
  </si>
  <si>
    <t>1872.</t>
  </si>
  <si>
    <t>SIXS SRL</t>
  </si>
  <si>
    <t>02336170390</t>
  </si>
  <si>
    <t>IT02336170390</t>
  </si>
  <si>
    <t>141929</t>
  </si>
  <si>
    <t>Ravenna</t>
  </si>
  <si>
    <t>1873.</t>
  </si>
  <si>
    <t>I.G.G. S.R.L.</t>
  </si>
  <si>
    <t>03409930249</t>
  </si>
  <si>
    <t>IT03409930249</t>
  </si>
  <si>
    <t>Vicenza</t>
  </si>
  <si>
    <t>1874.</t>
  </si>
  <si>
    <t>MAGLIERIA ARTIGIANA S.R.L.</t>
  </si>
  <si>
    <t>01804290979</t>
  </si>
  <si>
    <t>IT01804290979</t>
  </si>
  <si>
    <t>1875.</t>
  </si>
  <si>
    <t>NIBI - S.R.L.</t>
  </si>
  <si>
    <t>00264650979</t>
  </si>
  <si>
    <t>01625080484</t>
  </si>
  <si>
    <t>IT01625080484</t>
  </si>
  <si>
    <t>1876.</t>
  </si>
  <si>
    <t>CREAZIONI BA-BO S.R.L.</t>
  </si>
  <si>
    <t>01714770482</t>
  </si>
  <si>
    <t>IT01714770482</t>
  </si>
  <si>
    <t>1877.</t>
  </si>
  <si>
    <t>MORGANA S.R.L.</t>
  </si>
  <si>
    <t>05858160962</t>
  </si>
  <si>
    <t>IT05858160962</t>
  </si>
  <si>
    <t>141320</t>
  </si>
  <si>
    <t>1878.</t>
  </si>
  <si>
    <t>BAYBLU S.R.L.</t>
  </si>
  <si>
    <t>05906331219</t>
  </si>
  <si>
    <t>IT05906331219</t>
  </si>
  <si>
    <t>1879.</t>
  </si>
  <si>
    <t>TOPTEN S.R.L</t>
  </si>
  <si>
    <t>02273040978</t>
  </si>
  <si>
    <t>IT02273040978</t>
  </si>
  <si>
    <t>1880.</t>
  </si>
  <si>
    <t>CIVAS S.R.L.</t>
  </si>
  <si>
    <t>00697580967</t>
  </si>
  <si>
    <t>00854580156</t>
  </si>
  <si>
    <t>IT00854580156</t>
  </si>
  <si>
    <t>Monza e della Brianza</t>
  </si>
  <si>
    <t>1881.</t>
  </si>
  <si>
    <t>GRUPPO PALMIERI S.R.L.</t>
  </si>
  <si>
    <t>03497341218</t>
  </si>
  <si>
    <t>IT03497341218</t>
  </si>
  <si>
    <t>1882.</t>
  </si>
  <si>
    <t>TEO SPORT S.R.L.</t>
  </si>
  <si>
    <t>00586630261</t>
  </si>
  <si>
    <t>IT00586630261</t>
  </si>
  <si>
    <t>1883.</t>
  </si>
  <si>
    <t>ANSELMI FRANCO S.R.L.</t>
  </si>
  <si>
    <t>02161650508</t>
  </si>
  <si>
    <t>IT02161650508</t>
  </si>
  <si>
    <t>Pisa</t>
  </si>
  <si>
    <t>1884.</t>
  </si>
  <si>
    <t>CALZATURIFICIO PELLICO - S.R.L.</t>
  </si>
  <si>
    <t>01525350276</t>
  </si>
  <si>
    <t>IT01525350276</t>
  </si>
  <si>
    <t>Venezia</t>
  </si>
  <si>
    <t>1885.</t>
  </si>
  <si>
    <t>CONFEZIONI VELVET S.R.L.</t>
  </si>
  <si>
    <t>03707270983</t>
  </si>
  <si>
    <t>IT03707270983</t>
  </si>
  <si>
    <t>Brescia</t>
  </si>
  <si>
    <t>1886.</t>
  </si>
  <si>
    <t>FACTORY LAB SRL</t>
  </si>
  <si>
    <t>01949200438</t>
  </si>
  <si>
    <t>IT01949200438</t>
  </si>
  <si>
    <t>Macerata</t>
  </si>
  <si>
    <t>1887.</t>
  </si>
  <si>
    <t>FRATELLI TOSETTI TESSUTI S.R.L.</t>
  </si>
  <si>
    <t>06011000483</t>
  </si>
  <si>
    <t>IT06011000483</t>
  </si>
  <si>
    <t>1888.</t>
  </si>
  <si>
    <t>CALZATURIFICIO FALCO S.R.L.</t>
  </si>
  <si>
    <t>00871360392</t>
  </si>
  <si>
    <t>IT00871360392</t>
  </si>
  <si>
    <t>152010</t>
  </si>
  <si>
    <t>Ravenna</t>
  </si>
  <si>
    <t>Emilia-Romagna</t>
  </si>
  <si>
    <t>1889.</t>
  </si>
  <si>
    <t>MILVEN TRICOT S.R.L.</t>
  </si>
  <si>
    <t>02322040185</t>
  </si>
  <si>
    <t>IT02322040185</t>
  </si>
  <si>
    <t>143900</t>
  </si>
  <si>
    <t>Milano</t>
  </si>
  <si>
    <t>Lombardia</t>
  </si>
  <si>
    <t>1890.</t>
  </si>
  <si>
    <t>TOMAIFICIO-GUARDOLIFICIO CINDERELLA'S SHOES S.R.L.</t>
  </si>
  <si>
    <t>02501540468</t>
  </si>
  <si>
    <t>IT02501540468</t>
  </si>
  <si>
    <t>152020</t>
  </si>
  <si>
    <t>Lucca</t>
  </si>
  <si>
    <t>Toscana</t>
  </si>
  <si>
    <t>1891.</t>
  </si>
  <si>
    <t>LA PREMIERE S.R.L.</t>
  </si>
  <si>
    <t>02700730647</t>
  </si>
  <si>
    <t>IT02700730647</t>
  </si>
  <si>
    <t>151100</t>
  </si>
  <si>
    <t>Avellino</t>
  </si>
  <si>
    <t>Campania</t>
  </si>
  <si>
    <t>n.d.</t>
  </si>
  <si>
    <t>1892.</t>
  </si>
  <si>
    <t>MEDDY ITALIA S.R.L.</t>
  </si>
  <si>
    <t>00904690138</t>
  </si>
  <si>
    <t>IT00904690138</t>
  </si>
  <si>
    <t>141000</t>
  </si>
  <si>
    <t>Como</t>
  </si>
  <si>
    <t>1893.</t>
  </si>
  <si>
    <t>CALZATURIFICIO BALLERINA S.R.L.</t>
  </si>
  <si>
    <t>01812660502</t>
  </si>
  <si>
    <t>IT01812660502</t>
  </si>
  <si>
    <t>Pisa</t>
  </si>
  <si>
    <t>1894.</t>
  </si>
  <si>
    <t>GUARDOLIFICIO BIEFFE S.R.L.</t>
  </si>
  <si>
    <t>01679660504</t>
  </si>
  <si>
    <t>IT01679660504</t>
  </si>
  <si>
    <t>1895.</t>
  </si>
  <si>
    <t>REV'IT! TAILORTECH S.R.L.</t>
  </si>
  <si>
    <t>04183630245</t>
  </si>
  <si>
    <t>IT04183630245</t>
  </si>
  <si>
    <t>141100</t>
  </si>
  <si>
    <t>Vicenza</t>
  </si>
  <si>
    <t>Veneto</t>
  </si>
  <si>
    <t>1896.</t>
  </si>
  <si>
    <t>ALBERTO FASCIANI GROUP SRL</t>
  </si>
  <si>
    <t>02400050445</t>
  </si>
  <si>
    <t>IT02400050445</t>
  </si>
  <si>
    <t>Fermo</t>
  </si>
  <si>
    <t>Marche</t>
  </si>
  <si>
    <t>1897.</t>
  </si>
  <si>
    <t>ESSEDONNA S.R.L.</t>
  </si>
  <si>
    <t>06019141214</t>
  </si>
  <si>
    <t>IT06019141214</t>
  </si>
  <si>
    <t>Napoli</t>
  </si>
  <si>
    <t>1898.</t>
  </si>
  <si>
    <t>CONFEZIONI DAMAP S.R.L.</t>
  </si>
  <si>
    <t>00188750129</t>
  </si>
  <si>
    <t>IT00188750129</t>
  </si>
  <si>
    <t>141400</t>
  </si>
  <si>
    <t>Varese</t>
  </si>
  <si>
    <t>1899.</t>
  </si>
  <si>
    <t>OBLIQUE CREATIONS S.R.L.</t>
  </si>
  <si>
    <t>02866491208</t>
  </si>
  <si>
    <t>IT02866491208</t>
  </si>
  <si>
    <t>141910</t>
  </si>
  <si>
    <t>Bologna</t>
  </si>
  <si>
    <t>1900.</t>
  </si>
  <si>
    <t>MAROS SRL</t>
  </si>
  <si>
    <t>03095790485</t>
  </si>
  <si>
    <t>IT03095790485</t>
  </si>
  <si>
    <t>Firenze</t>
  </si>
  <si>
    <t>1901.</t>
  </si>
  <si>
    <t>C.S. EMERGENZA S.R.L.</t>
  </si>
  <si>
    <t>02198900686</t>
  </si>
  <si>
    <t>IT02198900686</t>
  </si>
  <si>
    <t>141200</t>
  </si>
  <si>
    <t>Pescara</t>
  </si>
  <si>
    <t>Abruzzo</t>
  </si>
  <si>
    <t>1902.</t>
  </si>
  <si>
    <t>ANGIE S.R.L.</t>
  </si>
  <si>
    <t>02241420971</t>
  </si>
  <si>
    <t>IT02241420971</t>
  </si>
  <si>
    <t>151209</t>
  </si>
  <si>
    <t>1903.</t>
  </si>
  <si>
    <t>TRENDFASHION S.R.L.</t>
  </si>
  <si>
    <t>02112610445</t>
  </si>
  <si>
    <t>IT02112610445</t>
  </si>
  <si>
    <t>Ascoli Piceno</t>
  </si>
  <si>
    <t>1904.</t>
  </si>
  <si>
    <t>CONFISTIR S.R.L.</t>
  </si>
  <si>
    <t>02040340412</t>
  </si>
  <si>
    <t>IT02040340412</t>
  </si>
  <si>
    <t>Pesaro e Urbino</t>
  </si>
  <si>
    <t>1905.</t>
  </si>
  <si>
    <t>AL-FA S.R.L.</t>
  </si>
  <si>
    <t>02097950501</t>
  </si>
  <si>
    <t>IT02097950501</t>
  </si>
  <si>
    <t>1906.</t>
  </si>
  <si>
    <t>LABORATORI PIAZZA S.R.L.</t>
  </si>
  <si>
    <t>00264510207</t>
  </si>
  <si>
    <t>IT00264510207</t>
  </si>
  <si>
    <t>143100</t>
  </si>
  <si>
    <t>Mantova</t>
  </si>
  <si>
    <t>1907.</t>
  </si>
  <si>
    <t>PAOLO SCAFORA S.R.L.</t>
  </si>
  <si>
    <t>05051861218</t>
  </si>
  <si>
    <t>IT05051861218</t>
  </si>
  <si>
    <t>1908.</t>
  </si>
  <si>
    <t>MAGLIFICIO LOREDANA S.R.L.</t>
  </si>
  <si>
    <t>01883780247</t>
  </si>
  <si>
    <t>IT01883780247</t>
  </si>
  <si>
    <t>1909.</t>
  </si>
  <si>
    <t>SELOR GROUP S.R.L.</t>
  </si>
  <si>
    <t>03098130366</t>
  </si>
  <si>
    <t>IT03098130366</t>
  </si>
  <si>
    <t>Modena</t>
  </si>
  <si>
    <t>1910.</t>
  </si>
  <si>
    <t>GEBEL S.R.L.</t>
  </si>
  <si>
    <t>01114900689</t>
  </si>
  <si>
    <t>IT01114900689</t>
  </si>
  <si>
    <t>1911.</t>
  </si>
  <si>
    <t>SARA SRL</t>
  </si>
  <si>
    <t>01460200676</t>
  </si>
  <si>
    <t>IT01460200676</t>
  </si>
  <si>
    <t>Teramo</t>
  </si>
  <si>
    <t>1912.</t>
  </si>
  <si>
    <t>CONFEZIONI TUTAL S.R.L.</t>
  </si>
  <si>
    <t>00770100964</t>
  </si>
  <si>
    <t>04078810159</t>
  </si>
  <si>
    <t>IT04078810159</t>
  </si>
  <si>
    <t>Monza e della Brianza</t>
  </si>
  <si>
    <t>1913.</t>
  </si>
  <si>
    <t>CONCERIA IL GABBIANO S.R.L.</t>
  </si>
  <si>
    <t>00181400508</t>
  </si>
  <si>
    <t>IT00181400508</t>
  </si>
  <si>
    <t>1914.</t>
  </si>
  <si>
    <t>VALCUVIA S.R.L.</t>
  </si>
  <si>
    <t>00395890122</t>
  </si>
  <si>
    <t>IT00395890122</t>
  </si>
  <si>
    <t>141310</t>
  </si>
  <si>
    <t>1915.</t>
  </si>
  <si>
    <t>C.F.T. S.R.L.</t>
  </si>
  <si>
    <t>01971890676</t>
  </si>
  <si>
    <t>IT01971890676</t>
  </si>
  <si>
    <t>1916.</t>
  </si>
  <si>
    <t>SCHEGGI BEATRICE S.R.L.</t>
  </si>
  <si>
    <t>06384650484</t>
  </si>
  <si>
    <t>IT06384650484</t>
  </si>
  <si>
    <t>1917.</t>
  </si>
  <si>
    <t>CALZATURIFICIO NOE S.R.L.</t>
  </si>
  <si>
    <t>07342910721</t>
  </si>
  <si>
    <t>IT07342910721</t>
  </si>
  <si>
    <t>Barletta-Andria-Trani</t>
  </si>
  <si>
    <t>Puglia</t>
  </si>
  <si>
    <t>1918.</t>
  </si>
  <si>
    <t>GOLD LINE S.R.L.</t>
  </si>
  <si>
    <t>01816960205</t>
  </si>
  <si>
    <t>IT01816960205</t>
  </si>
  <si>
    <t>1919.</t>
  </si>
  <si>
    <t>NUOVA VARESE PELLICCE SOCIETA' COOPERATIVA</t>
  </si>
  <si>
    <t>03219340126</t>
  </si>
  <si>
    <t>IT03219340126</t>
  </si>
  <si>
    <t>142000</t>
  </si>
  <si>
    <t>1920.</t>
  </si>
  <si>
    <t>ARGON SETTE S.R.L.</t>
  </si>
  <si>
    <t>03117901201</t>
  </si>
  <si>
    <t>IT03117901201</t>
  </si>
  <si>
    <t>141200</t>
  </si>
  <si>
    <t>Bologna</t>
  </si>
  <si>
    <t>Emilia-Romagna</t>
  </si>
  <si>
    <t>1921.</t>
  </si>
  <si>
    <t>ROMI.HO' S.R.L.</t>
  </si>
  <si>
    <t>02644441210</t>
  </si>
  <si>
    <t>IT02644441210</t>
  </si>
  <si>
    <t>141310</t>
  </si>
  <si>
    <t>Napoli</t>
  </si>
  <si>
    <t>Campania</t>
  </si>
  <si>
    <t>1922.</t>
  </si>
  <si>
    <t>SAB SHOES S.R.L.</t>
  </si>
  <si>
    <t>02101080469</t>
  </si>
  <si>
    <t>IT02101080469</t>
  </si>
  <si>
    <t>152010</t>
  </si>
  <si>
    <t>Lucca</t>
  </si>
  <si>
    <t>Toscana</t>
  </si>
  <si>
    <t>n.d.</t>
  </si>
  <si>
    <t>1923.</t>
  </si>
  <si>
    <t>J &amp; J SOCIETA' A RESPONSABILITA' LIMITATA</t>
  </si>
  <si>
    <t>05528590820</t>
  </si>
  <si>
    <t>IT05528590820</t>
  </si>
  <si>
    <t>Palermo</t>
  </si>
  <si>
    <t>Sicilia</t>
  </si>
  <si>
    <t>1924.</t>
  </si>
  <si>
    <t>SUPERFLEX - S.R.L.</t>
  </si>
  <si>
    <t>00753170158</t>
  </si>
  <si>
    <t>IT00753170158</t>
  </si>
  <si>
    <t>152000</t>
  </si>
  <si>
    <t>Milano</t>
  </si>
  <si>
    <t>Lombardia</t>
  </si>
  <si>
    <t>1925.</t>
  </si>
  <si>
    <t>PELLETTERIE CLAUDIA-S.R.L.</t>
  </si>
  <si>
    <t>00441810488</t>
  </si>
  <si>
    <t>IT00441810488</t>
  </si>
  <si>
    <t>151200</t>
  </si>
  <si>
    <t>Firenze</t>
  </si>
  <si>
    <t>1926.</t>
  </si>
  <si>
    <t>VENETA S.R.L.</t>
  </si>
  <si>
    <t>04200350272</t>
  </si>
  <si>
    <t>IT04200350272</t>
  </si>
  <si>
    <t>151209</t>
  </si>
  <si>
    <t>Venezia</t>
  </si>
  <si>
    <t>Veneto</t>
  </si>
  <si>
    <t>1927.</t>
  </si>
  <si>
    <t>FRANCO TUCCI S.R.L.</t>
  </si>
  <si>
    <t>04822730265</t>
  </si>
  <si>
    <t>IT04822730265</t>
  </si>
  <si>
    <t>Treviso</t>
  </si>
  <si>
    <t>1928.</t>
  </si>
  <si>
    <t>MAGLIERIA GEMMA SRL</t>
  </si>
  <si>
    <t>00198510158</t>
  </si>
  <si>
    <t>IT00198510158</t>
  </si>
  <si>
    <t>143900</t>
  </si>
  <si>
    <t>1929.</t>
  </si>
  <si>
    <t>DARITEX SPORTS WEAR S.R.L.</t>
  </si>
  <si>
    <t>01016950162</t>
  </si>
  <si>
    <t>IT01016950162</t>
  </si>
  <si>
    <t>141910</t>
  </si>
  <si>
    <t>Bergamo</t>
  </si>
  <si>
    <t>1930.</t>
  </si>
  <si>
    <t>LE' NOA' S.R.L.</t>
  </si>
  <si>
    <t>03172870234</t>
  </si>
  <si>
    <t>IT03172870234</t>
  </si>
  <si>
    <t>141000</t>
  </si>
  <si>
    <t>Verona</t>
  </si>
  <si>
    <t>1931.</t>
  </si>
  <si>
    <t>BRC S.R.L.</t>
  </si>
  <si>
    <t>06640980485</t>
  </si>
  <si>
    <t>IT06640980485</t>
  </si>
  <si>
    <t>1932.</t>
  </si>
  <si>
    <t>LA FEMME - S.R.L.</t>
  </si>
  <si>
    <t>00401900428</t>
  </si>
  <si>
    <t>IT00401900428</t>
  </si>
  <si>
    <t>Ancona</t>
  </si>
  <si>
    <t>Marche</t>
  </si>
  <si>
    <t>1933.</t>
  </si>
  <si>
    <t>ROCCO RAGNI S.R.L.</t>
  </si>
  <si>
    <t>03209420540</t>
  </si>
  <si>
    <t>IT03209420540</t>
  </si>
  <si>
    <t>Perugia</t>
  </si>
  <si>
    <t>Umbria</t>
  </si>
  <si>
    <t>1934.</t>
  </si>
  <si>
    <t>CONFEZIONI PULERI S.R.L.</t>
  </si>
  <si>
    <t>02307510517</t>
  </si>
  <si>
    <t>IT02307510517</t>
  </si>
  <si>
    <t>Arezzo</t>
  </si>
  <si>
    <t>1935.</t>
  </si>
  <si>
    <t>CALZIFICIO ITALIANO SRL</t>
  </si>
  <si>
    <t>02346330968</t>
  </si>
  <si>
    <t>IT02346330968</t>
  </si>
  <si>
    <t>143100</t>
  </si>
  <si>
    <t>Monza e della Brianza</t>
  </si>
  <si>
    <t>1936.</t>
  </si>
  <si>
    <t>SADAL S.R.L.</t>
  </si>
  <si>
    <t>01797670237</t>
  </si>
  <si>
    <t>IT01797670237</t>
  </si>
  <si>
    <t>1937.</t>
  </si>
  <si>
    <t>ESSEZETA S.R.L.</t>
  </si>
  <si>
    <t>01931490989</t>
  </si>
  <si>
    <t>IT01931490989</t>
  </si>
  <si>
    <t>Brescia</t>
  </si>
  <si>
    <t>1938.</t>
  </si>
  <si>
    <t>CALZATURIFICIO ELGAM SRL</t>
  </si>
  <si>
    <t>01703260446</t>
  </si>
  <si>
    <t>IT01703260446</t>
  </si>
  <si>
    <t>Fermo</t>
  </si>
  <si>
    <t>1939.</t>
  </si>
  <si>
    <t>F.LLI BARBIERI SRL</t>
  </si>
  <si>
    <t>00427870670</t>
  </si>
  <si>
    <t>IT00427870670</t>
  </si>
  <si>
    <t>141400</t>
  </si>
  <si>
    <t>Teramo</t>
  </si>
  <si>
    <t>Abruzzo</t>
  </si>
  <si>
    <t>1940.</t>
  </si>
  <si>
    <t>ROMY PELLETTERIE SRL</t>
  </si>
  <si>
    <t>01819370519</t>
  </si>
  <si>
    <t>IT01819370519</t>
  </si>
  <si>
    <t>1941.</t>
  </si>
  <si>
    <t>BIHOS S.R.L.</t>
  </si>
  <si>
    <t>01865630287</t>
  </si>
  <si>
    <t>IT01865630287</t>
  </si>
  <si>
    <t>Padova</t>
  </si>
  <si>
    <t>1942.</t>
  </si>
  <si>
    <t>NUOVA MAS S.R.L.</t>
  </si>
  <si>
    <t>03971160167</t>
  </si>
  <si>
    <t>IT03971160167</t>
  </si>
  <si>
    <t>1943.</t>
  </si>
  <si>
    <t>FRAMBO' S.R.L.</t>
  </si>
  <si>
    <t>07716531210</t>
  </si>
  <si>
    <t>IT07716531210</t>
  </si>
  <si>
    <t>1944.</t>
  </si>
  <si>
    <t>BETTEGA CONDIZIONATURA PELLI S.R.L.</t>
  </si>
  <si>
    <t>03722920240</t>
  </si>
  <si>
    <t>IT03722920240</t>
  </si>
  <si>
    <t>151100</t>
  </si>
  <si>
    <t>Vicenza</t>
  </si>
  <si>
    <t>1945.</t>
  </si>
  <si>
    <t>CALZATURIFICIO CINZIA VALLE S.R.L.</t>
  </si>
  <si>
    <t>01513000446</t>
  </si>
  <si>
    <t>IT01513000446</t>
  </si>
  <si>
    <t>1946.</t>
  </si>
  <si>
    <t>B.V.M. SHOES S.R.L.</t>
  </si>
  <si>
    <t>01663020434</t>
  </si>
  <si>
    <t>IT01663020434</t>
  </si>
  <si>
    <t>Macerata</t>
  </si>
  <si>
    <t>1947.</t>
  </si>
  <si>
    <t>JUSTMINE S.R.L.</t>
  </si>
  <si>
    <t>03380210124</t>
  </si>
  <si>
    <t>IT03380210124</t>
  </si>
  <si>
    <t>Novara</t>
  </si>
  <si>
    <t>Piemonte</t>
  </si>
  <si>
    <t>1948.</t>
  </si>
  <si>
    <t>GABRY S.R.L.</t>
  </si>
  <si>
    <t>01361650524</t>
  </si>
  <si>
    <t>IT01361650524</t>
  </si>
  <si>
    <t>Siena</t>
  </si>
  <si>
    <t>1949.</t>
  </si>
  <si>
    <t>EDELINA CASTANO SRL</t>
  </si>
  <si>
    <t>02669820835</t>
  </si>
  <si>
    <t>IT02669820835</t>
  </si>
  <si>
    <t>141320</t>
  </si>
  <si>
    <t>Messina</t>
  </si>
  <si>
    <t>1950.</t>
  </si>
  <si>
    <t>D.C. 69 S.R.L.</t>
  </si>
  <si>
    <t>02123620516</t>
  </si>
  <si>
    <t>IT02123620516</t>
  </si>
  <si>
    <t>1951.</t>
  </si>
  <si>
    <t>AZZANO CALZE S.R.L.</t>
  </si>
  <si>
    <t>02438470300</t>
  </si>
  <si>
    <t>IT02438470300</t>
  </si>
  <si>
    <t>Udine</t>
  </si>
  <si>
    <t>Friuli-Venezia Giulia</t>
  </si>
  <si>
    <t>1952.</t>
  </si>
  <si>
    <t>GKS SRL</t>
  </si>
  <si>
    <t>01189130444</t>
  </si>
  <si>
    <t>IT01189130444</t>
  </si>
  <si>
    <t>152010</t>
  </si>
  <si>
    <t>Fermo</t>
  </si>
  <si>
    <t>Marche</t>
  </si>
  <si>
    <t>1953.</t>
  </si>
  <si>
    <t>MAGLIERIE MONTEGRAPPA S.R.L.</t>
  </si>
  <si>
    <t>04622660266</t>
  </si>
  <si>
    <t>IT04622660266</t>
  </si>
  <si>
    <t>143900</t>
  </si>
  <si>
    <t>Treviso</t>
  </si>
  <si>
    <t>Veneto</t>
  </si>
  <si>
    <t>1954.</t>
  </si>
  <si>
    <t>ITALVEN CONCERIA S.R.L.</t>
  </si>
  <si>
    <t>01786520500</t>
  </si>
  <si>
    <t>IT01786520500</t>
  </si>
  <si>
    <t>151100</t>
  </si>
  <si>
    <t>Pisa</t>
  </si>
  <si>
    <t>Toscana</t>
  </si>
  <si>
    <t>1955.</t>
  </si>
  <si>
    <t>COMPAGNIA CALZETTAI 969 S.R.L.</t>
  </si>
  <si>
    <t>03062820273</t>
  </si>
  <si>
    <t>IT03062820273</t>
  </si>
  <si>
    <t>143100</t>
  </si>
  <si>
    <t>Venezia</t>
  </si>
  <si>
    <t>n.d.</t>
  </si>
  <si>
    <t>1956.</t>
  </si>
  <si>
    <t>EMY CALZE S.R.L.</t>
  </si>
  <si>
    <t>01949690208</t>
  </si>
  <si>
    <t>IT01949690208</t>
  </si>
  <si>
    <t>Mantova</t>
  </si>
  <si>
    <t>Lombardia</t>
  </si>
  <si>
    <t>1957.</t>
  </si>
  <si>
    <t>LA FURLANA S.R.L.</t>
  </si>
  <si>
    <t>01970600308</t>
  </si>
  <si>
    <t>IT01970600308</t>
  </si>
  <si>
    <t>141400</t>
  </si>
  <si>
    <t>Udine</t>
  </si>
  <si>
    <t>Friuli-Venezia Giulia</t>
  </si>
  <si>
    <t>1958.</t>
  </si>
  <si>
    <t>GOLD FREEDOM S.R.L.</t>
  </si>
  <si>
    <t>04803730268</t>
  </si>
  <si>
    <t>IT04803730268</t>
  </si>
  <si>
    <t>1959.</t>
  </si>
  <si>
    <t>MAGLIFICIO DI VERONA SRL</t>
  </si>
  <si>
    <t>02997320235</t>
  </si>
  <si>
    <t>IT02997320235</t>
  </si>
  <si>
    <t>143000</t>
  </si>
  <si>
    <t>Verona</t>
  </si>
  <si>
    <t>1960.</t>
  </si>
  <si>
    <t>NIPMAR S.R.L.</t>
  </si>
  <si>
    <t>00128830288</t>
  </si>
  <si>
    <t>IT00128830288</t>
  </si>
  <si>
    <t>Padova</t>
  </si>
  <si>
    <t>1961.</t>
  </si>
  <si>
    <t>ANNAMODE 68 - SOCIETA A RESPONSABILITA LIMITATA</t>
  </si>
  <si>
    <t>00920601002</t>
  </si>
  <si>
    <t>00653090589</t>
  </si>
  <si>
    <t>IT00653090589</t>
  </si>
  <si>
    <t>141200</t>
  </si>
  <si>
    <t>Roma</t>
  </si>
  <si>
    <t>Lazio</t>
  </si>
  <si>
    <t>1962.</t>
  </si>
  <si>
    <t>BARONE S.R.L.</t>
  </si>
  <si>
    <t>06056010488</t>
  </si>
  <si>
    <t>IT06056010488</t>
  </si>
  <si>
    <t>141000</t>
  </si>
  <si>
    <t>Firenze</t>
  </si>
  <si>
    <t>1963.</t>
  </si>
  <si>
    <t>T.R. GROUP S.R.L.</t>
  </si>
  <si>
    <t>02021010687</t>
  </si>
  <si>
    <t>IT02021010687</t>
  </si>
  <si>
    <t>141910</t>
  </si>
  <si>
    <t>Pescara</t>
  </si>
  <si>
    <t>Abruzzo</t>
  </si>
  <si>
    <t>1964.</t>
  </si>
  <si>
    <t>CALZATURIFICIO BROKER S.R.L.</t>
  </si>
  <si>
    <t>01254510298</t>
  </si>
  <si>
    <t>IT01254510298</t>
  </si>
  <si>
    <t>152000</t>
  </si>
  <si>
    <t>Rovigo</t>
  </si>
  <si>
    <t>1965.</t>
  </si>
  <si>
    <t>CO.TI.NA. S.R.L.</t>
  </si>
  <si>
    <t>01886520640</t>
  </si>
  <si>
    <t>02603351210</t>
  </si>
  <si>
    <t>IT02603351210</t>
  </si>
  <si>
    <t>Avellino</t>
  </si>
  <si>
    <t>Campania</t>
  </si>
  <si>
    <t>1966.</t>
  </si>
  <si>
    <t>CALZATURIFICIO CONFORT SHOES - S.R.L.</t>
  </si>
  <si>
    <t>02917290658</t>
  </si>
  <si>
    <t>IT02917290658</t>
  </si>
  <si>
    <t>Salerno</t>
  </si>
  <si>
    <t>1967.</t>
  </si>
  <si>
    <t>FINISSAGGIO COMPAGNONE 2 S.R.L.</t>
  </si>
  <si>
    <t>07851770151</t>
  </si>
  <si>
    <t>IT07851770151</t>
  </si>
  <si>
    <t>152020</t>
  </si>
  <si>
    <t>Milano</t>
  </si>
  <si>
    <t>1968.</t>
  </si>
  <si>
    <t>KLER ITALIA SOCIETA' COOPERATIVA</t>
  </si>
  <si>
    <t>06339710722</t>
  </si>
  <si>
    <t>IT06339710722</t>
  </si>
  <si>
    <t>Bari</t>
  </si>
  <si>
    <t>Puglia</t>
  </si>
  <si>
    <t>1969.</t>
  </si>
  <si>
    <t>BEST WALLET &amp; CO S.R.L.</t>
  </si>
  <si>
    <t>12014920156</t>
  </si>
  <si>
    <t>IT12014920156</t>
  </si>
  <si>
    <t>151209</t>
  </si>
  <si>
    <t>Monza e della Brianza</t>
  </si>
  <si>
    <t>1970.</t>
  </si>
  <si>
    <t>GRAMAR SHOES S.R.L.</t>
  </si>
  <si>
    <t>03113330611</t>
  </si>
  <si>
    <t>IT03113330611</t>
  </si>
  <si>
    <t>Caserta</t>
  </si>
  <si>
    <t>1971.</t>
  </si>
  <si>
    <t>ASKO S.R.L.</t>
  </si>
  <si>
    <t>04544760269</t>
  </si>
  <si>
    <t>IT04544760269</t>
  </si>
  <si>
    <t>141310</t>
  </si>
  <si>
    <t>1972.</t>
  </si>
  <si>
    <t>PIERRE STUDIO S.R.L.</t>
  </si>
  <si>
    <t>01954900989</t>
  </si>
  <si>
    <t>IT01954900989</t>
  </si>
  <si>
    <t>Brescia</t>
  </si>
  <si>
    <t>1973.</t>
  </si>
  <si>
    <t>CONF. STIR. S.R.L.</t>
  </si>
  <si>
    <t>02931100982</t>
  </si>
  <si>
    <t>IT02931100982</t>
  </si>
  <si>
    <t>1974.</t>
  </si>
  <si>
    <t>STIRITALIA S.R.L.</t>
  </si>
  <si>
    <t>03188420735</t>
  </si>
  <si>
    <t>IT03188420735</t>
  </si>
  <si>
    <t>Taranto</t>
  </si>
  <si>
    <t>1975.</t>
  </si>
  <si>
    <t>XTECH SRL</t>
  </si>
  <si>
    <t>04194770980</t>
  </si>
  <si>
    <t>IT04194770980</t>
  </si>
  <si>
    <t>1976.</t>
  </si>
  <si>
    <t>SERGIO GRASSO INDUSTRIES S.R.L.</t>
  </si>
  <si>
    <t>04861030239</t>
  </si>
  <si>
    <t>IT04861030239</t>
  </si>
  <si>
    <t>1977.</t>
  </si>
  <si>
    <t>ONEMORE S.R.L.</t>
  </si>
  <si>
    <t>02853670210</t>
  </si>
  <si>
    <t>IT02853670210</t>
  </si>
  <si>
    <t>141929</t>
  </si>
  <si>
    <t>Bolzano/Bozen</t>
  </si>
  <si>
    <t>Trentino-Alto Adige/Südtirol</t>
  </si>
  <si>
    <t>1978.</t>
  </si>
  <si>
    <t>NEW MELODY S.R.L. - SOCIETA' UNIPERSONALE</t>
  </si>
  <si>
    <t>01998590978</t>
  </si>
  <si>
    <t>IT01998590978</t>
  </si>
  <si>
    <t>Prato</t>
  </si>
  <si>
    <t>1979.</t>
  </si>
  <si>
    <t>MAGLIFICIO ANGORELLE SRL</t>
  </si>
  <si>
    <t>02127930978</t>
  </si>
  <si>
    <t>IT02127930978</t>
  </si>
  <si>
    <t>1980.</t>
  </si>
  <si>
    <t>PE' PE' S.R.L.</t>
  </si>
  <si>
    <t>00283040186</t>
  </si>
  <si>
    <t>IT00283040186</t>
  </si>
  <si>
    <t>Pavia</t>
  </si>
  <si>
    <t>1981.</t>
  </si>
  <si>
    <t>SKINTITE S.R.L.</t>
  </si>
  <si>
    <t>03851500268</t>
  </si>
  <si>
    <t>IT03851500268</t>
  </si>
  <si>
    <t>1982.</t>
  </si>
  <si>
    <t>ENEA S.R.L.</t>
  </si>
  <si>
    <t>01318750443</t>
  </si>
  <si>
    <t>IT01318750443</t>
  </si>
  <si>
    <t>1983.</t>
  </si>
  <si>
    <t>CORVARI SHOES S.R.L.</t>
  </si>
  <si>
    <t>01874340449</t>
  </si>
  <si>
    <t>IT01874340449</t>
  </si>
  <si>
    <t>1984.</t>
  </si>
  <si>
    <t>FLORIANA S.R.L.</t>
  </si>
  <si>
    <t>05865181217</t>
  </si>
  <si>
    <t>IT05865181217</t>
  </si>
  <si>
    <t>141000</t>
  </si>
  <si>
    <t>Napoli</t>
  </si>
  <si>
    <t>Campania</t>
  </si>
  <si>
    <t>n.d.</t>
  </si>
  <si>
    <t>1985.</t>
  </si>
  <si>
    <t>MIVA S.R.L.</t>
  </si>
  <si>
    <t>02167240163</t>
  </si>
  <si>
    <t>IT02167240163</t>
  </si>
  <si>
    <t>143100</t>
  </si>
  <si>
    <t>Bergamo</t>
  </si>
  <si>
    <t>Lombardia</t>
  </si>
  <si>
    <t>1986.</t>
  </si>
  <si>
    <t>PELLETTERIE DOVICO S.R.L. - IN SIGLA P.D. S.R.L.</t>
  </si>
  <si>
    <t>06749140486</t>
  </si>
  <si>
    <t>IT06749140486</t>
  </si>
  <si>
    <t>151209</t>
  </si>
  <si>
    <t>Firenze</t>
  </si>
  <si>
    <t>Toscana</t>
  </si>
  <si>
    <t>1987.</t>
  </si>
  <si>
    <t>SNEAKNIT SRL</t>
  </si>
  <si>
    <t>02396880441</t>
  </si>
  <si>
    <t>IT02396880441</t>
  </si>
  <si>
    <t>152020</t>
  </si>
  <si>
    <t>Milano</t>
  </si>
  <si>
    <t>1988.</t>
  </si>
  <si>
    <t>SUOLIFICIO D'ANGELO S.R.L.</t>
  </si>
  <si>
    <t>05970511217</t>
  </si>
  <si>
    <t>IT05970511217</t>
  </si>
  <si>
    <t>Caserta</t>
  </si>
  <si>
    <t>1989.</t>
  </si>
  <si>
    <t>TRANCERIA VALTENNA SRL</t>
  </si>
  <si>
    <t>02403630441</t>
  </si>
  <si>
    <t>IT02403630441</t>
  </si>
  <si>
    <t>Fermo</t>
  </si>
  <si>
    <t>Marche</t>
  </si>
  <si>
    <t>1990.</t>
  </si>
  <si>
    <t>TALENTI S.R.L.</t>
  </si>
  <si>
    <t>04212690483</t>
  </si>
  <si>
    <t>IT04212690483</t>
  </si>
  <si>
    <t>141100</t>
  </si>
  <si>
    <t>1991.</t>
  </si>
  <si>
    <t>KIMOCO S.R.L.</t>
  </si>
  <si>
    <t>00382610509</t>
  </si>
  <si>
    <t>IT00382610509</t>
  </si>
  <si>
    <t>151100</t>
  </si>
  <si>
    <t>Pisa</t>
  </si>
  <si>
    <t>1992.</t>
  </si>
  <si>
    <t>TUTU SRL</t>
  </si>
  <si>
    <t>03361130986</t>
  </si>
  <si>
    <t>IT03361130986</t>
  </si>
  <si>
    <t>Brescia</t>
  </si>
  <si>
    <t>1993.</t>
  </si>
  <si>
    <t>SOL.E.A SRL</t>
  </si>
  <si>
    <t>01943640449</t>
  </si>
  <si>
    <t>IT01943640449</t>
  </si>
  <si>
    <t>1994.</t>
  </si>
  <si>
    <t>DUBLO S.R.L.</t>
  </si>
  <si>
    <t>02496670593</t>
  </si>
  <si>
    <t>IT02496670593</t>
  </si>
  <si>
    <t>Latina</t>
  </si>
  <si>
    <t>Lazio</t>
  </si>
  <si>
    <t>1995.</t>
  </si>
  <si>
    <t>MIRIAM2 S.R.L.</t>
  </si>
  <si>
    <t>05821340485</t>
  </si>
  <si>
    <t>IT05821340485</t>
  </si>
  <si>
    <t>141310</t>
  </si>
  <si>
    <t>1996.</t>
  </si>
  <si>
    <t>ARCIER S.R.L.</t>
  </si>
  <si>
    <t>06578960152</t>
  </si>
  <si>
    <t>IT06578960152</t>
  </si>
  <si>
    <t>151200</t>
  </si>
  <si>
    <t>1997.</t>
  </si>
  <si>
    <t>GIMEZ COLLECTION S.R.L.</t>
  </si>
  <si>
    <t>01991730449</t>
  </si>
  <si>
    <t>IT01991730449</t>
  </si>
  <si>
    <t>152010</t>
  </si>
  <si>
    <t>1998.</t>
  </si>
  <si>
    <t>VINCIFUR SOCIETA' A RESPONSABILITA' LIMITATA</t>
  </si>
  <si>
    <t>05937900487</t>
  </si>
  <si>
    <t>IT05937900487</t>
  </si>
  <si>
    <t>142000</t>
  </si>
  <si>
    <t>1999.</t>
  </si>
  <si>
    <t>LE CLAIR S.R.L.</t>
  </si>
  <si>
    <t>00658960984</t>
  </si>
  <si>
    <t>01848050173</t>
  </si>
  <si>
    <t>IT01848050173</t>
  </si>
  <si>
    <t>141910</t>
  </si>
  <si>
    <t>2000.</t>
  </si>
  <si>
    <t>SKYLINE S.R.L. - SOCIETA' BENEFIT</t>
  </si>
  <si>
    <t>03485100261</t>
  </si>
  <si>
    <t>IT03485100261</t>
  </si>
  <si>
    <t>Treviso</t>
  </si>
  <si>
    <t>Veneto</t>
  </si>
  <si>
    <t>2001.</t>
  </si>
  <si>
    <t>BINAR S.R.L.</t>
  </si>
  <si>
    <t>11504620961</t>
  </si>
  <si>
    <t>IT11504620961</t>
  </si>
  <si>
    <t>2002.</t>
  </si>
  <si>
    <t>WOOLIWEISS S.R.L.</t>
  </si>
  <si>
    <t>11084350963</t>
  </si>
  <si>
    <t>IT11084350963</t>
  </si>
  <si>
    <t>2003.</t>
  </si>
  <si>
    <t>DI&amp;DI COMPANY S.R.L.</t>
  </si>
  <si>
    <t>09379801211</t>
  </si>
  <si>
    <t>IT09379801211</t>
  </si>
  <si>
    <t>2004.</t>
  </si>
  <si>
    <t>G.B.G. - S.R.L.</t>
  </si>
  <si>
    <t>02315980652</t>
  </si>
  <si>
    <t>IT02315980652</t>
  </si>
  <si>
    <t>Salerno</t>
  </si>
  <si>
    <t>2005.</t>
  </si>
  <si>
    <t>NUOVA RIGOMAR S.R.L.</t>
  </si>
  <si>
    <t>04708400280</t>
  </si>
  <si>
    <t>IT04708400280</t>
  </si>
  <si>
    <t>Padova</t>
  </si>
  <si>
    <t>2006.</t>
  </si>
  <si>
    <t>F.B.L. S.R.L.</t>
  </si>
  <si>
    <t>01777730241</t>
  </si>
  <si>
    <t>IT01777730241</t>
  </si>
  <si>
    <t>Vicenza</t>
  </si>
  <si>
    <t>2007.</t>
  </si>
  <si>
    <t>MARINI RICAMI 1986 SRL</t>
  </si>
  <si>
    <t>01851660678</t>
  </si>
  <si>
    <t>IT01851660678</t>
  </si>
  <si>
    <t>Teramo</t>
  </si>
  <si>
    <t>Abruzzo</t>
  </si>
  <si>
    <t>2008.</t>
  </si>
  <si>
    <t>CARBIPEL GROUP S.R.L.</t>
  </si>
  <si>
    <t>03407930241</t>
  </si>
  <si>
    <t>IT03407930241</t>
  </si>
  <si>
    <t>2009.</t>
  </si>
  <si>
    <t>RUEESCH SRL</t>
  </si>
  <si>
    <t>02059450847</t>
  </si>
  <si>
    <t>IT02059450847</t>
  </si>
  <si>
    <t>141200</t>
  </si>
  <si>
    <t>Agrigento</t>
  </si>
  <si>
    <t>Sicilia</t>
  </si>
  <si>
    <t>2010.</t>
  </si>
  <si>
    <t>INCH STUDIO SRL</t>
  </si>
  <si>
    <t>04122070248</t>
  </si>
  <si>
    <t>IT04122070248</t>
  </si>
  <si>
    <t>2011.</t>
  </si>
  <si>
    <t>CROSS POINT SRL UNIPERSONALE</t>
  </si>
  <si>
    <t>02416200240</t>
  </si>
  <si>
    <t>IT02416200240</t>
  </si>
  <si>
    <t>2012.</t>
  </si>
  <si>
    <t>ODEON PELLAMI SRL</t>
  </si>
  <si>
    <t>02279080507</t>
  </si>
  <si>
    <t>IT02279080507</t>
  </si>
  <si>
    <t>2013.</t>
  </si>
  <si>
    <t>MONEY STYLE S.R.L.</t>
  </si>
  <si>
    <t>03687040968</t>
  </si>
  <si>
    <t>IT03687040968</t>
  </si>
  <si>
    <t>143900</t>
  </si>
  <si>
    <t>Varese</t>
  </si>
  <si>
    <t>2014.</t>
  </si>
  <si>
    <t>NEMESI S.R.L.</t>
  </si>
  <si>
    <t>04399080284</t>
  </si>
  <si>
    <t>IT04399080284</t>
  </si>
  <si>
    <t>Venezia</t>
  </si>
  <si>
    <t>2015.</t>
  </si>
  <si>
    <t>ZIBO S.R.L.</t>
  </si>
  <si>
    <t>06391691216</t>
  </si>
  <si>
    <t>IT06391691216</t>
  </si>
  <si>
    <t>2016.</t>
  </si>
  <si>
    <t>GIANNONI GROUP S.R.L.</t>
  </si>
  <si>
    <t>05516150488</t>
  </si>
  <si>
    <t>IT05516150488</t>
  </si>
  <si>
    <t>152010</t>
  </si>
  <si>
    <t>Firenze</t>
  </si>
  <si>
    <t>Toscana</t>
  </si>
  <si>
    <t>2017.</t>
  </si>
  <si>
    <t>SXP STILMOTOR EXTRA PROTECTION SRL</t>
  </si>
  <si>
    <t>01263850503</t>
  </si>
  <si>
    <t>01491690309</t>
  </si>
  <si>
    <t>IT01491690309</t>
  </si>
  <si>
    <t>141929</t>
  </si>
  <si>
    <t>Pisa</t>
  </si>
  <si>
    <t>2018.</t>
  </si>
  <si>
    <t>AGOSTINI SHOES SRL</t>
  </si>
  <si>
    <t>04271340277</t>
  </si>
  <si>
    <t>IT04271340277</t>
  </si>
  <si>
    <t>Venezia</t>
  </si>
  <si>
    <t>Veneto</t>
  </si>
  <si>
    <t>2019.</t>
  </si>
  <si>
    <t>CAPPELLIFICIO CERVO S.R.L.</t>
  </si>
  <si>
    <t>02654910021</t>
  </si>
  <si>
    <t>IT02654910021</t>
  </si>
  <si>
    <t>141910</t>
  </si>
  <si>
    <t>Biella</t>
  </si>
  <si>
    <t>Piemonte</t>
  </si>
  <si>
    <t>2020.</t>
  </si>
  <si>
    <t>BLUEYES S.R.L.</t>
  </si>
  <si>
    <t>02297850204</t>
  </si>
  <si>
    <t>IT02297850204</t>
  </si>
  <si>
    <t>143900</t>
  </si>
  <si>
    <t>Mantova</t>
  </si>
  <si>
    <t>Lombardia</t>
  </si>
  <si>
    <t>2021.</t>
  </si>
  <si>
    <t>AXIS SRL DI FORTI CARLO</t>
  </si>
  <si>
    <t>02220570440</t>
  </si>
  <si>
    <t>IT02220570440</t>
  </si>
  <si>
    <t>Fermo</t>
  </si>
  <si>
    <t>Marche</t>
  </si>
  <si>
    <t>2022.</t>
  </si>
  <si>
    <t>NEW LORIMA S.R.L.</t>
  </si>
  <si>
    <t>01475130504</t>
  </si>
  <si>
    <t>IT01475130504</t>
  </si>
  <si>
    <t>151100</t>
  </si>
  <si>
    <t>2023.</t>
  </si>
  <si>
    <t>JOLLY PIU' CONFEZIONI S.R.L.</t>
  </si>
  <si>
    <t>01031210162</t>
  </si>
  <si>
    <t>IT01031210162</t>
  </si>
  <si>
    <t>141310</t>
  </si>
  <si>
    <t>Bergamo</t>
  </si>
  <si>
    <t>2024.</t>
  </si>
  <si>
    <t>CALZATURIFICIO R.G. DI ROSSI &amp; GALIE' S.R.L.</t>
  </si>
  <si>
    <t>01008400440</t>
  </si>
  <si>
    <t>IT01008400440</t>
  </si>
  <si>
    <t>n.d.</t>
  </si>
  <si>
    <t>2025.</t>
  </si>
  <si>
    <t>CRAVATTIFICIO ALBA - S.R.L.</t>
  </si>
  <si>
    <t>03873700755</t>
  </si>
  <si>
    <t>IT03873700755</t>
  </si>
  <si>
    <t>Lecce</t>
  </si>
  <si>
    <t>Puglia</t>
  </si>
  <si>
    <t>2026.</t>
  </si>
  <si>
    <t>F.E.A. S.R.L.</t>
  </si>
  <si>
    <t>01971240542</t>
  </si>
  <si>
    <t>IT01971240542</t>
  </si>
  <si>
    <t>Perugia</t>
  </si>
  <si>
    <t>Umbria</t>
  </si>
  <si>
    <t>2027.</t>
  </si>
  <si>
    <t>CONFEZIONI UMBRE S.R.L.</t>
  </si>
  <si>
    <t>01706730544</t>
  </si>
  <si>
    <t>IT01706730544</t>
  </si>
  <si>
    <t>141200</t>
  </si>
  <si>
    <t>2028.</t>
  </si>
  <si>
    <t>GMG SERVICE S.R.L.</t>
  </si>
  <si>
    <t>02250130974</t>
  </si>
  <si>
    <t>IT02250130974</t>
  </si>
  <si>
    <t>Livorno</t>
  </si>
  <si>
    <t>2029.</t>
  </si>
  <si>
    <t>ETIELLE S.R.L.</t>
  </si>
  <si>
    <t>07058030722</t>
  </si>
  <si>
    <t>IT07058030722</t>
  </si>
  <si>
    <t>Bari</t>
  </si>
  <si>
    <t>2030.</t>
  </si>
  <si>
    <t>CINTELLI &amp; GALLUZZO S.R.L.</t>
  </si>
  <si>
    <t>04279560488</t>
  </si>
  <si>
    <t>IT04279560488</t>
  </si>
  <si>
    <t>2031.</t>
  </si>
  <si>
    <t>BETTI'S SRL</t>
  </si>
  <si>
    <t>01541110431</t>
  </si>
  <si>
    <t>IT01541110431</t>
  </si>
  <si>
    <t>Macerata</t>
  </si>
  <si>
    <t>2032.</t>
  </si>
  <si>
    <t>EFFE GRINTA SRL</t>
  </si>
  <si>
    <t>02654080734</t>
  </si>
  <si>
    <t>IT02654080734</t>
  </si>
  <si>
    <t>141000</t>
  </si>
  <si>
    <t>Taranto</t>
  </si>
  <si>
    <t>2033.</t>
  </si>
  <si>
    <t>LO STILE SRL</t>
  </si>
  <si>
    <t>06840390485</t>
  </si>
  <si>
    <t>IT06840390485</t>
  </si>
  <si>
    <t>151209</t>
  </si>
  <si>
    <t>2034.</t>
  </si>
  <si>
    <t>SOLETTIFICIO FONTANETO S.R.L.</t>
  </si>
  <si>
    <t>02406570032</t>
  </si>
  <si>
    <t>IT02406570032</t>
  </si>
  <si>
    <t>152020</t>
  </si>
  <si>
    <t>Novara</t>
  </si>
  <si>
    <t>2035.</t>
  </si>
  <si>
    <t>ART MODA - S.R.L.</t>
  </si>
  <si>
    <t>04477740486</t>
  </si>
  <si>
    <t>IT04477740486</t>
  </si>
  <si>
    <t>2036.</t>
  </si>
  <si>
    <t>DORAFALU' S.R.L.</t>
  </si>
  <si>
    <t>04203190964</t>
  </si>
  <si>
    <t>IT04203190964</t>
  </si>
  <si>
    <t>Milano</t>
  </si>
  <si>
    <t>2037.</t>
  </si>
  <si>
    <t>SELINA SRL</t>
  </si>
  <si>
    <t>06533001001</t>
  </si>
  <si>
    <t>IT06533001001</t>
  </si>
  <si>
    <t>141400</t>
  </si>
  <si>
    <t>Treviso</t>
  </si>
  <si>
    <t>2038.</t>
  </si>
  <si>
    <t>CHIARUGI FIRENZE PELLETTERIA S.R.L.</t>
  </si>
  <si>
    <t>00961350485</t>
  </si>
  <si>
    <t>IT00961350485</t>
  </si>
  <si>
    <t>2039.</t>
  </si>
  <si>
    <t>BERDINI S.R.L.</t>
  </si>
  <si>
    <t>00197350440</t>
  </si>
  <si>
    <t>IT00197350440</t>
  </si>
  <si>
    <t>2040.</t>
  </si>
  <si>
    <t>UNION S.R.L.</t>
  </si>
  <si>
    <t>03581100728</t>
  </si>
  <si>
    <t>IT03581100728</t>
  </si>
  <si>
    <t>2041.</t>
  </si>
  <si>
    <t>C.D.M. SRL</t>
  </si>
  <si>
    <t>02792800738</t>
  </si>
  <si>
    <t>IT02792800738</t>
  </si>
  <si>
    <t>2042.</t>
  </si>
  <si>
    <t>MAGLIFICIO FRAGI - S.P.A.</t>
  </si>
  <si>
    <t>00180580128</t>
  </si>
  <si>
    <t>IT00180580128</t>
  </si>
  <si>
    <t>Varese</t>
  </si>
  <si>
    <t>2043.</t>
  </si>
  <si>
    <t>SCETTRO S.R.L.</t>
  </si>
  <si>
    <t>04177970482</t>
  </si>
  <si>
    <t>IT04177970482</t>
  </si>
  <si>
    <t>141100</t>
  </si>
  <si>
    <t>2044.</t>
  </si>
  <si>
    <t>CONCERIA ZERMEPEL S.R.L.</t>
  </si>
  <si>
    <t>00622880243</t>
  </si>
  <si>
    <t>IT00622880243</t>
  </si>
  <si>
    <t>Vicenza</t>
  </si>
  <si>
    <t>2045.</t>
  </si>
  <si>
    <t>VICTORIA - R S.R.L.</t>
  </si>
  <si>
    <t>02466630973</t>
  </si>
  <si>
    <t>IT02466630973</t>
  </si>
  <si>
    <t>Prato</t>
  </si>
  <si>
    <t>2046.</t>
  </si>
  <si>
    <t>RIFO S.R.L.</t>
  </si>
  <si>
    <t>02426250979</t>
  </si>
  <si>
    <t>IT02426250979</t>
  </si>
  <si>
    <t>2047.</t>
  </si>
  <si>
    <t>MOD'IN S.R.L.</t>
  </si>
  <si>
    <t>05825920720</t>
  </si>
  <si>
    <t>IT05825920720</t>
  </si>
  <si>
    <t>2048.</t>
  </si>
  <si>
    <t>ASOLA S.R.L.</t>
  </si>
  <si>
    <t>01992180677</t>
  </si>
  <si>
    <t>IT01992180677</t>
  </si>
  <si>
    <t>141320</t>
  </si>
  <si>
    <t>Teramo</t>
  </si>
  <si>
    <t>Abruzzo</t>
  </si>
  <si>
    <t>2049.</t>
  </si>
  <si>
    <t>CALZATURIFICIO LEOPAMY S.R.L.</t>
  </si>
  <si>
    <t>01900200443</t>
  </si>
  <si>
    <t>IT01900200443</t>
  </si>
  <si>
    <t>152010</t>
  </si>
  <si>
    <t>Fermo</t>
  </si>
  <si>
    <t>Marche</t>
  </si>
  <si>
    <t>2050.</t>
  </si>
  <si>
    <t>ROSEE S.R.L.</t>
  </si>
  <si>
    <t>06407650487</t>
  </si>
  <si>
    <t>IT06407650487</t>
  </si>
  <si>
    <t>141000</t>
  </si>
  <si>
    <t>Firenze</t>
  </si>
  <si>
    <t>Toscana</t>
  </si>
  <si>
    <t>2051.</t>
  </si>
  <si>
    <t>GIUSEPPE CARETTI S.R.L.</t>
  </si>
  <si>
    <t>01212850125</t>
  </si>
  <si>
    <t>IT01212850125</t>
  </si>
  <si>
    <t>Varese</t>
  </si>
  <si>
    <t>Lombardia</t>
  </si>
  <si>
    <t>2052.</t>
  </si>
  <si>
    <t>ARCADIA S.R.L.</t>
  </si>
  <si>
    <t>00760080671</t>
  </si>
  <si>
    <t>IT00760080671</t>
  </si>
  <si>
    <t>151209</t>
  </si>
  <si>
    <t>2053.</t>
  </si>
  <si>
    <t>PRIMAVERA INTERNATIONAL S.R.L.</t>
  </si>
  <si>
    <t>01291510194</t>
  </si>
  <si>
    <t>IT01291510194</t>
  </si>
  <si>
    <t>143100</t>
  </si>
  <si>
    <t>Brescia</t>
  </si>
  <si>
    <t>n.d.</t>
  </si>
  <si>
    <t>2054.</t>
  </si>
  <si>
    <t>AIRILY S.R.L.</t>
  </si>
  <si>
    <t>01743500132</t>
  </si>
  <si>
    <t>IT01743500132</t>
  </si>
  <si>
    <t>Como</t>
  </si>
  <si>
    <t>2055.</t>
  </si>
  <si>
    <t>PELLETTERIE D &amp; D S.R.L.</t>
  </si>
  <si>
    <t>06541790488</t>
  </si>
  <si>
    <t>IT06541790488</t>
  </si>
  <si>
    <t>2056.</t>
  </si>
  <si>
    <t>ALESSANDRO DI MARCO S.R.L.</t>
  </si>
  <si>
    <t>06138910481</t>
  </si>
  <si>
    <t>IT06138910481</t>
  </si>
  <si>
    <t>Prato</t>
  </si>
  <si>
    <t>2057.</t>
  </si>
  <si>
    <t>THE PLAY S.R.L.</t>
  </si>
  <si>
    <t>02632120362</t>
  </si>
  <si>
    <t>IT02632120362</t>
  </si>
  <si>
    <t>143900</t>
  </si>
  <si>
    <t>Modena</t>
  </si>
  <si>
    <t>Emilia-Romagna</t>
  </si>
  <si>
    <t>2058.</t>
  </si>
  <si>
    <t>SCARPEITALIA S.R.L.</t>
  </si>
  <si>
    <t>08292201210</t>
  </si>
  <si>
    <t>IT08292201210</t>
  </si>
  <si>
    <t>Napoli</t>
  </si>
  <si>
    <t>Campania</t>
  </si>
  <si>
    <t>2059.</t>
  </si>
  <si>
    <t>AEFFEGI SOCIETA' A RESPONSABILITA' LIMITATA , IN SIGLA AEFFEGI S.R.L.</t>
  </si>
  <si>
    <t>06618930728</t>
  </si>
  <si>
    <t>IT06618930728</t>
  </si>
  <si>
    <t>Bari</t>
  </si>
  <si>
    <t>Puglia</t>
  </si>
  <si>
    <t>2060.</t>
  </si>
  <si>
    <t>G.S. CONFEZIONI - S.R.L.</t>
  </si>
  <si>
    <t>01937500518</t>
  </si>
  <si>
    <t>IT01937500518</t>
  </si>
  <si>
    <t>Arezzo</t>
  </si>
  <si>
    <t>2061.</t>
  </si>
  <si>
    <t>M.T.S. S.R.L.</t>
  </si>
  <si>
    <t>09459721214</t>
  </si>
  <si>
    <t>IT09459721214</t>
  </si>
  <si>
    <t>141310</t>
  </si>
  <si>
    <t>2062.</t>
  </si>
  <si>
    <t>LOIPELL S.R.L.</t>
  </si>
  <si>
    <t>06934130482</t>
  </si>
  <si>
    <t>IT06934130482</t>
  </si>
  <si>
    <t>2063.</t>
  </si>
  <si>
    <t>SANTO STEFANO DI ITALO FERRETTI S.R.L.</t>
  </si>
  <si>
    <t>00958520678</t>
  </si>
  <si>
    <t>IT00958520678</t>
  </si>
  <si>
    <t>141910</t>
  </si>
  <si>
    <t>2064.</t>
  </si>
  <si>
    <t>UBBIALI SRL</t>
  </si>
  <si>
    <t>02971520164</t>
  </si>
  <si>
    <t>IT02971520164</t>
  </si>
  <si>
    <t>141200</t>
  </si>
  <si>
    <t>Bergamo</t>
  </si>
  <si>
    <t>2065.</t>
  </si>
  <si>
    <t>ZETAFASHION SOCIETA' COOPERATIVA</t>
  </si>
  <si>
    <t>03302060961</t>
  </si>
  <si>
    <t>IT03302060961</t>
  </si>
  <si>
    <t>Milano</t>
  </si>
  <si>
    <t>2066.</t>
  </si>
  <si>
    <t>CONFEZIONI SA.RA S.R.L.</t>
  </si>
  <si>
    <t>00564750388</t>
  </si>
  <si>
    <t>IT00564750388</t>
  </si>
  <si>
    <t>Ferrara</t>
  </si>
  <si>
    <t>2067.</t>
  </si>
  <si>
    <t>SARTORIA DELL'INTIMO S.R.L.</t>
  </si>
  <si>
    <t>08739901216</t>
  </si>
  <si>
    <t>IT08739901216</t>
  </si>
  <si>
    <t>141400</t>
  </si>
  <si>
    <t>2068.</t>
  </si>
  <si>
    <t>VE.AN. FASHION S.R.L.</t>
  </si>
  <si>
    <t>02891580736</t>
  </si>
  <si>
    <t>IT02891580736</t>
  </si>
  <si>
    <t>Taranto</t>
  </si>
  <si>
    <t>2069.</t>
  </si>
  <si>
    <t>TASTE SRL</t>
  </si>
  <si>
    <t>04038300986</t>
  </si>
  <si>
    <t>IT04038300986</t>
  </si>
  <si>
    <t>2070.</t>
  </si>
  <si>
    <t>ILARI SRL</t>
  </si>
  <si>
    <t>02011620446</t>
  </si>
  <si>
    <t>IT02011620446</t>
  </si>
  <si>
    <t>2071.</t>
  </si>
  <si>
    <t>ANATRIELLO TARGET S.R.L.</t>
  </si>
  <si>
    <t>04152541217</t>
  </si>
  <si>
    <t>IT04152541217</t>
  </si>
  <si>
    <t>2072.</t>
  </si>
  <si>
    <t>SAP FUR SRL</t>
  </si>
  <si>
    <t>00537210288</t>
  </si>
  <si>
    <t>IT00537210288</t>
  </si>
  <si>
    <t>142000</t>
  </si>
  <si>
    <t>Padova</t>
  </si>
  <si>
    <t>Veneto</t>
  </si>
  <si>
    <t>2073.</t>
  </si>
  <si>
    <t>CRISTIAN COPPONI SRL</t>
  </si>
  <si>
    <t>02304100445</t>
  </si>
  <si>
    <t>IT02304100445</t>
  </si>
  <si>
    <t>Macerata</t>
  </si>
  <si>
    <t>2074.</t>
  </si>
  <si>
    <t>MAGLIFICIO CAPELLI SRL</t>
  </si>
  <si>
    <t>02528100395</t>
  </si>
  <si>
    <t>IT02528100395</t>
  </si>
  <si>
    <t>Ravenna</t>
  </si>
  <si>
    <t>2075.</t>
  </si>
  <si>
    <t>PEPLO SRL</t>
  </si>
  <si>
    <t>02420910024</t>
  </si>
  <si>
    <t>IT02420910024</t>
  </si>
  <si>
    <t>Biella</t>
  </si>
  <si>
    <t>Piemonte</t>
  </si>
  <si>
    <t>2076.</t>
  </si>
  <si>
    <t>CALZATURIFICIO LADY LAURA S.R.L.</t>
  </si>
  <si>
    <t>03707920280</t>
  </si>
  <si>
    <t>IT03707920280</t>
  </si>
  <si>
    <t>2077.</t>
  </si>
  <si>
    <t>CALZATURIFICIO NUOVA P.R. S.R.L.</t>
  </si>
  <si>
    <t>01972460461</t>
  </si>
  <si>
    <t>IT01972460461</t>
  </si>
  <si>
    <t>Lucca</t>
  </si>
  <si>
    <t>2078.</t>
  </si>
  <si>
    <t>PELLEGRINI A. E C. - S.R.L.</t>
  </si>
  <si>
    <t>03512220488</t>
  </si>
  <si>
    <t>IT03512220488</t>
  </si>
  <si>
    <t>2079.</t>
  </si>
  <si>
    <t>CENTRAL PROJECT S.R.L.</t>
  </si>
  <si>
    <t>02694900230</t>
  </si>
  <si>
    <t>IT02694900230</t>
  </si>
  <si>
    <t>Verona</t>
  </si>
  <si>
    <t>2080.</t>
  </si>
  <si>
    <t>LINE@ MODA S.R.L.</t>
  </si>
  <si>
    <t>02395920974</t>
  </si>
  <si>
    <t>IT02395920974</t>
  </si>
  <si>
    <t>141310</t>
  </si>
  <si>
    <t>Prato</t>
  </si>
  <si>
    <t>Toscana</t>
  </si>
  <si>
    <t>n.d.</t>
  </si>
  <si>
    <t>2081.</t>
  </si>
  <si>
    <t>SUOLIFICIO SA.FI. SRL</t>
  </si>
  <si>
    <t>05471430487</t>
  </si>
  <si>
    <t>IT05471430487</t>
  </si>
  <si>
    <t>152020</t>
  </si>
  <si>
    <t>Firenze</t>
  </si>
  <si>
    <t>2082.</t>
  </si>
  <si>
    <t>CUOIFICIO OTELLO S.R.L.</t>
  </si>
  <si>
    <t>00346870504</t>
  </si>
  <si>
    <t>IT00346870504</t>
  </si>
  <si>
    <t>151100</t>
  </si>
  <si>
    <t>Pisa</t>
  </si>
  <si>
    <t>2083.</t>
  </si>
  <si>
    <t>STAMPE &amp; STAMPE S.R.L</t>
  </si>
  <si>
    <t>01755160502</t>
  </si>
  <si>
    <t>IT01755160502</t>
  </si>
  <si>
    <t>2084.</t>
  </si>
  <si>
    <t>CALZATURIFICIO STAR - S.P.A.</t>
  </si>
  <si>
    <t>00196350128</t>
  </si>
  <si>
    <t>IT00196350128</t>
  </si>
  <si>
    <t>152010</t>
  </si>
  <si>
    <t>Varese</t>
  </si>
  <si>
    <t>Lombardia</t>
  </si>
  <si>
    <t>2085.</t>
  </si>
  <si>
    <t>CREATIVE LEATHER S.R.L.</t>
  </si>
  <si>
    <t>06724810483</t>
  </si>
  <si>
    <t>IT06724810483</t>
  </si>
  <si>
    <t>151209</t>
  </si>
  <si>
    <t>2086.</t>
  </si>
  <si>
    <t>E.F.B. SRL</t>
  </si>
  <si>
    <t>02629890399</t>
  </si>
  <si>
    <t>IT02629890399</t>
  </si>
  <si>
    <t>Ravenna</t>
  </si>
  <si>
    <t>Emilia-Romagna</t>
  </si>
  <si>
    <t>2087.</t>
  </si>
  <si>
    <t>OLGA LAB SRL</t>
  </si>
  <si>
    <t>03837890361</t>
  </si>
  <si>
    <t>IT03837890361</t>
  </si>
  <si>
    <t>143900</t>
  </si>
  <si>
    <t>Modena</t>
  </si>
  <si>
    <t>2088.</t>
  </si>
  <si>
    <t>GIFRAMED SRL</t>
  </si>
  <si>
    <t>11954600158</t>
  </si>
  <si>
    <t>02045720717</t>
  </si>
  <si>
    <t>IT02045720717</t>
  </si>
  <si>
    <t>141200</t>
  </si>
  <si>
    <t>Milano</t>
  </si>
  <si>
    <t>2089.</t>
  </si>
  <si>
    <t>GARGIULO LEATHER S.R.L.</t>
  </si>
  <si>
    <t>08356771215</t>
  </si>
  <si>
    <t>IT08356771215</t>
  </si>
  <si>
    <t>141100</t>
  </si>
  <si>
    <t>Napoli</t>
  </si>
  <si>
    <t>Campania</t>
  </si>
  <si>
    <t>2090.</t>
  </si>
  <si>
    <t>UOMO PIU' ITALIA S.R.L.</t>
  </si>
  <si>
    <t>01407220514</t>
  </si>
  <si>
    <t>IT01407220514</t>
  </si>
  <si>
    <t>Arezzo</t>
  </si>
  <si>
    <t>2091.</t>
  </si>
  <si>
    <t>MARETTO S.R.L.</t>
  </si>
  <si>
    <t>01417410287</t>
  </si>
  <si>
    <t>IT01417410287</t>
  </si>
  <si>
    <t>152000</t>
  </si>
  <si>
    <t>Padova</t>
  </si>
  <si>
    <t>Veneto</t>
  </si>
  <si>
    <t>2092.</t>
  </si>
  <si>
    <t>CAPPELLIFICIO TREMOLADA S.R.L.</t>
  </si>
  <si>
    <t>07244410960</t>
  </si>
  <si>
    <t>IT07244410960</t>
  </si>
  <si>
    <t>141910</t>
  </si>
  <si>
    <t>Monza e della Brianza</t>
  </si>
  <si>
    <t>2093.</t>
  </si>
  <si>
    <t>FILOLAB SOCIETA' A RESPONSABILITA' LIMITATA</t>
  </si>
  <si>
    <t>14569711006</t>
  </si>
  <si>
    <t>IT14569711006</t>
  </si>
  <si>
    <t>141000</t>
  </si>
  <si>
    <t>2094.</t>
  </si>
  <si>
    <t>PRISCO MODA GROUP S.R.L.</t>
  </si>
  <si>
    <t>06133451218</t>
  </si>
  <si>
    <t>IT06133451218</t>
  </si>
  <si>
    <t>2095.</t>
  </si>
  <si>
    <t>PLANET BAGS S.R.L.</t>
  </si>
  <si>
    <t>00749080677</t>
  </si>
  <si>
    <t>IT00749080677</t>
  </si>
  <si>
    <t>Teramo</t>
  </si>
  <si>
    <t>Abruzzo</t>
  </si>
  <si>
    <t>2096.</t>
  </si>
  <si>
    <t>BRUGLIA S.R.L.</t>
  </si>
  <si>
    <t>01269600431</t>
  </si>
  <si>
    <t>IT01269600431</t>
  </si>
  <si>
    <t>Macerata</t>
  </si>
  <si>
    <t>Marche</t>
  </si>
  <si>
    <t>2097.</t>
  </si>
  <si>
    <t>GRUPPO EFFE S.R.L.</t>
  </si>
  <si>
    <t>02358120737</t>
  </si>
  <si>
    <t>IT02358120737</t>
  </si>
  <si>
    <t>Brindisi</t>
  </si>
  <si>
    <t>Puglia</t>
  </si>
  <si>
    <t>2098.</t>
  </si>
  <si>
    <t>COMETA SRL</t>
  </si>
  <si>
    <t>02885430369</t>
  </si>
  <si>
    <t>IT02885430369</t>
  </si>
  <si>
    <t>2099.</t>
  </si>
  <si>
    <t>MC QUADRO SOCIETA' A RESPONSABILITA' LIMITATA</t>
  </si>
  <si>
    <t>02492600644</t>
  </si>
  <si>
    <t>IT02492600644</t>
  </si>
  <si>
    <t>Avellino</t>
  </si>
  <si>
    <t>2100.</t>
  </si>
  <si>
    <t>CALZIFICIO BRAGA S.R.L.</t>
  </si>
  <si>
    <t>03893450985</t>
  </si>
  <si>
    <t>IT03893450985</t>
  </si>
  <si>
    <t>143100</t>
  </si>
  <si>
    <t>Brescia</t>
  </si>
  <si>
    <t>2101.</t>
  </si>
  <si>
    <t>FALCA S.R.L.</t>
  </si>
  <si>
    <t>02051640205</t>
  </si>
  <si>
    <t>IT02051640205</t>
  </si>
  <si>
    <t>Mantova</t>
  </si>
  <si>
    <t>2102.</t>
  </si>
  <si>
    <t>EFFEGI S.R.L.</t>
  </si>
  <si>
    <t>02244580441</t>
  </si>
  <si>
    <t>IT02244580441</t>
  </si>
  <si>
    <t>Fermo</t>
  </si>
  <si>
    <t>2103.</t>
  </si>
  <si>
    <t>TAMA S.R.L.</t>
  </si>
  <si>
    <t>04409321215</t>
  </si>
  <si>
    <t>IT04409321215</t>
  </si>
  <si>
    <t>2104.</t>
  </si>
  <si>
    <t>L.M.N. SERVICE SRL</t>
  </si>
  <si>
    <t>02671580732</t>
  </si>
  <si>
    <t>IT02671580732</t>
  </si>
  <si>
    <t>Taranto</t>
  </si>
  <si>
    <t>2105.</t>
  </si>
  <si>
    <t>MANIFATTURA BERNINA S.R.L.</t>
  </si>
  <si>
    <t>00657980140</t>
  </si>
  <si>
    <t>IT00657980140</t>
  </si>
  <si>
    <t>Sondrio</t>
  </si>
  <si>
    <t>2106.</t>
  </si>
  <si>
    <t>MAXWAY SRL</t>
  </si>
  <si>
    <t>02001490438</t>
  </si>
  <si>
    <t>IT02001490438</t>
  </si>
  <si>
    <t>2107.</t>
  </si>
  <si>
    <t>MAXWORKS S.R.L.</t>
  </si>
  <si>
    <t>03363530241</t>
  </si>
  <si>
    <t>IT03363530241</t>
  </si>
  <si>
    <t>Vicenza</t>
  </si>
  <si>
    <t>2108.</t>
  </si>
  <si>
    <t>XENIA S.R.L.</t>
  </si>
  <si>
    <t>02319610230</t>
  </si>
  <si>
    <t>IT02319610230</t>
  </si>
  <si>
    <t>Verona</t>
  </si>
  <si>
    <t>2109.</t>
  </si>
  <si>
    <t>GLORIA - S.R.L.</t>
  </si>
  <si>
    <t>08518490019</t>
  </si>
  <si>
    <t>IT08518490019</t>
  </si>
  <si>
    <t>141929</t>
  </si>
  <si>
    <t>Torino</t>
  </si>
  <si>
    <t>Piemonte</t>
  </si>
  <si>
    <t>2110.</t>
  </si>
  <si>
    <t>CLUXTER SRL SOCIETA' BENEFIT</t>
  </si>
  <si>
    <t>07101590482</t>
  </si>
  <si>
    <t>IT07101590482</t>
  </si>
  <si>
    <t>2111.</t>
  </si>
  <si>
    <t>SPALLINIFICIO B M - S.R.L.</t>
  </si>
  <si>
    <t>00875500241</t>
  </si>
  <si>
    <t>IT00875500241</t>
  </si>
  <si>
    <t>2112.</t>
  </si>
  <si>
    <t>FABIO GUIDI PELLETTERIE - S.R.L.</t>
  </si>
  <si>
    <t>06237640484</t>
  </si>
  <si>
    <t>IT06237640484</t>
  </si>
  <si>
    <t>151209</t>
  </si>
  <si>
    <t>Firenze</t>
  </si>
  <si>
    <t>Toscana</t>
  </si>
  <si>
    <t>2113.</t>
  </si>
  <si>
    <t>CONFEZIONI ELENA S.R.L.</t>
  </si>
  <si>
    <t>03171840238</t>
  </si>
  <si>
    <t>IT03171840238</t>
  </si>
  <si>
    <t>141310</t>
  </si>
  <si>
    <t>Verona</t>
  </si>
  <si>
    <t>Veneto</t>
  </si>
  <si>
    <t>2114.</t>
  </si>
  <si>
    <t>MARTINA S.R.L.</t>
  </si>
  <si>
    <t>01024770446</t>
  </si>
  <si>
    <t>IT01024770446</t>
  </si>
  <si>
    <t>152010</t>
  </si>
  <si>
    <t>Fermo</t>
  </si>
  <si>
    <t>Marche</t>
  </si>
  <si>
    <t>2115.</t>
  </si>
  <si>
    <t>CALZATURIFICIO FRATELLI GRAVINO SOCIETA' A RESPONSABILITA' LIMITA TA IN SIGLA CALZATURIFICIO F.LLI GRAVINO S.R.L.</t>
  </si>
  <si>
    <t>02691240614</t>
  </si>
  <si>
    <t>IT02691240614</t>
  </si>
  <si>
    <t>Caserta</t>
  </si>
  <si>
    <t>Campania</t>
  </si>
  <si>
    <t>2116.</t>
  </si>
  <si>
    <t>AFFINITO S.R.L.</t>
  </si>
  <si>
    <t>03764261214</t>
  </si>
  <si>
    <t>IT03764261214</t>
  </si>
  <si>
    <t>141400</t>
  </si>
  <si>
    <t>Napoli</t>
  </si>
  <si>
    <t>2117.</t>
  </si>
  <si>
    <t>MIMANERA S.R.L.</t>
  </si>
  <si>
    <t>04558070407</t>
  </si>
  <si>
    <t>IT04558070407</t>
  </si>
  <si>
    <t>Rimini</t>
  </si>
  <si>
    <t>Emilia-Romagna</t>
  </si>
  <si>
    <t>2118.</t>
  </si>
  <si>
    <t>C3 S.R.L.</t>
  </si>
  <si>
    <t>06234860010</t>
  </si>
  <si>
    <t>IT06234860010</t>
  </si>
  <si>
    <t>141910</t>
  </si>
  <si>
    <t>Torino</t>
  </si>
  <si>
    <t>Piemonte</t>
  </si>
  <si>
    <t>2119.</t>
  </si>
  <si>
    <t>AXEL S.R.L.</t>
  </si>
  <si>
    <t>01683010647</t>
  </si>
  <si>
    <t>IT01683010647</t>
  </si>
  <si>
    <t>151100</t>
  </si>
  <si>
    <t>Avellino</t>
  </si>
  <si>
    <t>2120.</t>
  </si>
  <si>
    <t>NUCCI ACCESSORI SRL</t>
  </si>
  <si>
    <t>03993190408</t>
  </si>
  <si>
    <t>IT03993190408</t>
  </si>
  <si>
    <t>152020</t>
  </si>
  <si>
    <t>Forlì-Cesena</t>
  </si>
  <si>
    <t>2121.</t>
  </si>
  <si>
    <t>DE.VI. INDUSTRIA TESSILE S.R.L.</t>
  </si>
  <si>
    <t>07477160639</t>
  </si>
  <si>
    <t>IT07477160639</t>
  </si>
  <si>
    <t>141000</t>
  </si>
  <si>
    <t>2122.</t>
  </si>
  <si>
    <t>SECONDO STEFANO PAVESE S.R.L.</t>
  </si>
  <si>
    <t>04589910159</t>
  </si>
  <si>
    <t>IT04589910159</t>
  </si>
  <si>
    <t>Milano</t>
  </si>
  <si>
    <t>Lombardia</t>
  </si>
  <si>
    <t>2123.</t>
  </si>
  <si>
    <t>LE PANIER S.R.L.</t>
  </si>
  <si>
    <t>05256200873</t>
  </si>
  <si>
    <t>IT05256200873</t>
  </si>
  <si>
    <t>Catania</t>
  </si>
  <si>
    <t>Sicilia</t>
  </si>
  <si>
    <t>2124.</t>
  </si>
  <si>
    <t>FOX PELLETTERIE S.R.L.</t>
  </si>
  <si>
    <t>04090261217</t>
  </si>
  <si>
    <t>07772940636</t>
  </si>
  <si>
    <t>IT07772940636</t>
  </si>
  <si>
    <t>151200</t>
  </si>
  <si>
    <t>n.d.</t>
  </si>
  <si>
    <t>2125.</t>
  </si>
  <si>
    <t>GREENNESS S.R.L.</t>
  </si>
  <si>
    <t>02477910976</t>
  </si>
  <si>
    <t>IT02477910976</t>
  </si>
  <si>
    <t>Prato</t>
  </si>
  <si>
    <t>2126.</t>
  </si>
  <si>
    <t>NVL S.R.L.</t>
  </si>
  <si>
    <t>04564881219</t>
  </si>
  <si>
    <t>IT04564881219</t>
  </si>
  <si>
    <t>141929</t>
  </si>
  <si>
    <t>2127.</t>
  </si>
  <si>
    <t>GIGLIOLI S.R.L.</t>
  </si>
  <si>
    <t>05591910483</t>
  </si>
  <si>
    <t>IT05591910483</t>
  </si>
  <si>
    <t>2128.</t>
  </si>
  <si>
    <t>EMME EFFE S.R.L.</t>
  </si>
  <si>
    <t>03004500132</t>
  </si>
  <si>
    <t>IT03004500132</t>
  </si>
  <si>
    <t>Como</t>
  </si>
  <si>
    <t>2129.</t>
  </si>
  <si>
    <t>ERREPI SRL</t>
  </si>
  <si>
    <t>02719410363</t>
  </si>
  <si>
    <t>01669060368</t>
  </si>
  <si>
    <t>IT01669060368</t>
  </si>
  <si>
    <t>Modena</t>
  </si>
  <si>
    <t>2130.</t>
  </si>
  <si>
    <t>PRETTY PINK S.R.L.</t>
  </si>
  <si>
    <t>02640790362</t>
  </si>
  <si>
    <t>IT02640790362</t>
  </si>
  <si>
    <t>143900</t>
  </si>
  <si>
    <t>2131.</t>
  </si>
  <si>
    <t>MIRATEX FASHION GROUP S.R.L.</t>
  </si>
  <si>
    <t>09784251218</t>
  </si>
  <si>
    <t>IT09784251218</t>
  </si>
  <si>
    <t>2132.</t>
  </si>
  <si>
    <t>NEO.B-LAB S.R.L.</t>
  </si>
  <si>
    <t>03199240759</t>
  </si>
  <si>
    <t>IT03199240759</t>
  </si>
  <si>
    <t>Lecce</t>
  </si>
  <si>
    <t>Puglia</t>
  </si>
  <si>
    <t>2133.</t>
  </si>
  <si>
    <t>NEWPORT S.R.L.</t>
  </si>
  <si>
    <t>01504370501</t>
  </si>
  <si>
    <t>IT01504370501</t>
  </si>
  <si>
    <t>Pisa</t>
  </si>
  <si>
    <t>2134.</t>
  </si>
  <si>
    <t>LITTLE SHELL SRL</t>
  </si>
  <si>
    <t>02421970977</t>
  </si>
  <si>
    <t>IT02421970977</t>
  </si>
  <si>
    <t>2135.</t>
  </si>
  <si>
    <t>BGT SRL</t>
  </si>
  <si>
    <t>08972951217</t>
  </si>
  <si>
    <t>IT08972951217</t>
  </si>
  <si>
    <t>Salerno</t>
  </si>
  <si>
    <t>2136.</t>
  </si>
  <si>
    <t>CAMICERIA FRAY S.R.L.</t>
  </si>
  <si>
    <t>02031221209</t>
  </si>
  <si>
    <t>IT02031221209</t>
  </si>
  <si>
    <t>Bologna</t>
  </si>
  <si>
    <t>2137.</t>
  </si>
  <si>
    <t>BLUE ITALY INDUSTRY SOCIETA' A RESPONSABILITA' LIMITATA</t>
  </si>
  <si>
    <t>02111400681</t>
  </si>
  <si>
    <t>IT02111400681</t>
  </si>
  <si>
    <t>Pescara</t>
  </si>
  <si>
    <t>Abruzzo</t>
  </si>
  <si>
    <t>2138.</t>
  </si>
  <si>
    <t>SOSSI S.R.L.</t>
  </si>
  <si>
    <t>01489670172</t>
  </si>
  <si>
    <t>IT01489670172</t>
  </si>
  <si>
    <t>Brescia</t>
  </si>
  <si>
    <t>2139.</t>
  </si>
  <si>
    <t>MONTE SPORT - S.R.L.</t>
  </si>
  <si>
    <t>01859400267</t>
  </si>
  <si>
    <t>IT01859400267</t>
  </si>
  <si>
    <t>Treviso</t>
  </si>
  <si>
    <t>2140.</t>
  </si>
  <si>
    <t>GPT GROUP SRL</t>
  </si>
  <si>
    <t>06378930488</t>
  </si>
  <si>
    <t>IT06378930488</t>
  </si>
  <si>
    <t>2141.</t>
  </si>
  <si>
    <t>FIPEL S.R.L. - UNICO SOCIO</t>
  </si>
  <si>
    <t>02645630241</t>
  </si>
  <si>
    <t>IT02645630241</t>
  </si>
  <si>
    <t>Vicenza</t>
  </si>
  <si>
    <t>2142.</t>
  </si>
  <si>
    <t>ASIA SOCIETA' A RESPONSABILITA' LIMITATA</t>
  </si>
  <si>
    <t>14789041002</t>
  </si>
  <si>
    <t>IT14789041002</t>
  </si>
  <si>
    <t>Teramo</t>
  </si>
  <si>
    <t>2143.</t>
  </si>
  <si>
    <t>FALERIA S.R.L.</t>
  </si>
  <si>
    <t>01448150449</t>
  </si>
  <si>
    <t>IT01448150449</t>
  </si>
  <si>
    <t>2144.</t>
  </si>
  <si>
    <t>ARGOPEL S.R.L.</t>
  </si>
  <si>
    <t>01563040128</t>
  </si>
  <si>
    <t>IT01563040128</t>
  </si>
  <si>
    <t>151200</t>
  </si>
  <si>
    <t>Varese</t>
  </si>
  <si>
    <t>Lombardia</t>
  </si>
  <si>
    <t>n.d.</t>
  </si>
  <si>
    <t>2145.</t>
  </si>
  <si>
    <t>MASNADA S.R.L.</t>
  </si>
  <si>
    <t>01691590978</t>
  </si>
  <si>
    <t>IT01691590978</t>
  </si>
  <si>
    <t>141310</t>
  </si>
  <si>
    <t>Firenze</t>
  </si>
  <si>
    <t>Toscana</t>
  </si>
  <si>
    <t>2146.</t>
  </si>
  <si>
    <t>B.EVO S.R.L.</t>
  </si>
  <si>
    <t>04099830244</t>
  </si>
  <si>
    <t>IT04099830244</t>
  </si>
  <si>
    <t>141929</t>
  </si>
  <si>
    <t>Vicenza</t>
  </si>
  <si>
    <t>Veneto</t>
  </si>
  <si>
    <t>2147.</t>
  </si>
  <si>
    <t>FASHION MANAGEMENT S.R.L.</t>
  </si>
  <si>
    <t>10464530012</t>
  </si>
  <si>
    <t>IT10464530012</t>
  </si>
  <si>
    <t>141910</t>
  </si>
  <si>
    <t>Torino</t>
  </si>
  <si>
    <t>Piemonte</t>
  </si>
  <si>
    <t>2148.</t>
  </si>
  <si>
    <t>COSTUMI D'ARTE - SOCIETA' A RESPONSABILITA' LIMITATA</t>
  </si>
  <si>
    <t>01007681008</t>
  </si>
  <si>
    <t>01576500589</t>
  </si>
  <si>
    <t>IT01576500589</t>
  </si>
  <si>
    <t>141200</t>
  </si>
  <si>
    <t>Roma</t>
  </si>
  <si>
    <t>Lazio</t>
  </si>
  <si>
    <t>2149.</t>
  </si>
  <si>
    <t>NIA S.R.L.</t>
  </si>
  <si>
    <t>07442391004</t>
  </si>
  <si>
    <t>IT07442391004</t>
  </si>
  <si>
    <t>141320</t>
  </si>
  <si>
    <t>2150.</t>
  </si>
  <si>
    <t>BRUNO ROSSI BAGS S.R.L.</t>
  </si>
  <si>
    <t>05350900485</t>
  </si>
  <si>
    <t>IT05350900485</t>
  </si>
  <si>
    <t>151209</t>
  </si>
  <si>
    <t>2151.</t>
  </si>
  <si>
    <t>SPALLINIFICIO F.M.G. S.R.L.</t>
  </si>
  <si>
    <t>00615820248</t>
  </si>
  <si>
    <t>IT00615820248</t>
  </si>
  <si>
    <t>2152.</t>
  </si>
  <si>
    <t>GIMOTO S.R.L.</t>
  </si>
  <si>
    <t>10740660153</t>
  </si>
  <si>
    <t>IT10740660153</t>
  </si>
  <si>
    <t>Milano</t>
  </si>
  <si>
    <t>2153.</t>
  </si>
  <si>
    <t>STUDIO DESIGNER SRL</t>
  </si>
  <si>
    <t>04408090407</t>
  </si>
  <si>
    <t>IT04408090407</t>
  </si>
  <si>
    <t>Forlì-Cesena</t>
  </si>
  <si>
    <t>Emilia-Romagna</t>
  </si>
  <si>
    <t>2154.</t>
  </si>
  <si>
    <t>TRE-EMME SRL</t>
  </si>
  <si>
    <t>03455080121</t>
  </si>
  <si>
    <t>IT03455080121</t>
  </si>
  <si>
    <t>152010</t>
  </si>
  <si>
    <t>2155.</t>
  </si>
  <si>
    <t>DELLALO' S.R.L.</t>
  </si>
  <si>
    <t>04712560285</t>
  </si>
  <si>
    <t>IT04712560285</t>
  </si>
  <si>
    <t>2156.</t>
  </si>
  <si>
    <t>STUCCATURA PELLI DORINA SRL</t>
  </si>
  <si>
    <t>03861840241</t>
  </si>
  <si>
    <t>IT03861840241</t>
  </si>
  <si>
    <t>151100</t>
  </si>
  <si>
    <t>2157.</t>
  </si>
  <si>
    <t>SPERNANZONI S.R.L.</t>
  </si>
  <si>
    <t>01581820436</t>
  </si>
  <si>
    <t>IT01581820436</t>
  </si>
  <si>
    <t>Macerata</t>
  </si>
  <si>
    <t>Marche</t>
  </si>
  <si>
    <t>2158.</t>
  </si>
  <si>
    <t>YOOKER S.R.L.</t>
  </si>
  <si>
    <t>05818711003</t>
  </si>
  <si>
    <t>IT05818711003</t>
  </si>
  <si>
    <t>2159.</t>
  </si>
  <si>
    <t>ANDREA MAGLIE S.R.L.</t>
  </si>
  <si>
    <t>03377180751</t>
  </si>
  <si>
    <t>IT03377180751</t>
  </si>
  <si>
    <t>Lecce</t>
  </si>
  <si>
    <t>Puglia</t>
  </si>
  <si>
    <t>2160.</t>
  </si>
  <si>
    <t>SERGI S.R.L.</t>
  </si>
  <si>
    <t>04895930750</t>
  </si>
  <si>
    <t>IT04895930750</t>
  </si>
  <si>
    <t>2161.</t>
  </si>
  <si>
    <t>VITTORIO MARTINELLI - S.R.L.</t>
  </si>
  <si>
    <t>02138370230</t>
  </si>
  <si>
    <t>IT02138370230</t>
  </si>
  <si>
    <t>Verona</t>
  </si>
  <si>
    <t>2162.</t>
  </si>
  <si>
    <t>PRICOH'S S.R.L.</t>
  </si>
  <si>
    <t>00798230629</t>
  </si>
  <si>
    <t>IT00798230629</t>
  </si>
  <si>
    <t>143900</t>
  </si>
  <si>
    <t>Benevento</t>
  </si>
  <si>
    <t>Campania</t>
  </si>
  <si>
    <t>2163.</t>
  </si>
  <si>
    <t>JAAM ITALIA SRL</t>
  </si>
  <si>
    <t>10181280016</t>
  </si>
  <si>
    <t>IT10181280016</t>
  </si>
  <si>
    <t>2164.</t>
  </si>
  <si>
    <t>VICARIO CINQUE SRL</t>
  </si>
  <si>
    <t>04186870244</t>
  </si>
  <si>
    <t>IT04186870244</t>
  </si>
  <si>
    <t>2165.</t>
  </si>
  <si>
    <t>GREEN POINT S.R.L.</t>
  </si>
  <si>
    <t>02589170246</t>
  </si>
  <si>
    <t>IT02589170246</t>
  </si>
  <si>
    <t>2166.</t>
  </si>
  <si>
    <t>GALAXI S.R.L.</t>
  </si>
  <si>
    <t>02327320020</t>
  </si>
  <si>
    <t>IT02327320020</t>
  </si>
  <si>
    <t>Vercelli</t>
  </si>
  <si>
    <t>2167.</t>
  </si>
  <si>
    <t>AYMEI S.R.L.</t>
  </si>
  <si>
    <t>02451790972</t>
  </si>
  <si>
    <t>IT02451790972</t>
  </si>
  <si>
    <t>Prato</t>
  </si>
  <si>
    <t>2168.</t>
  </si>
  <si>
    <t>BIMAC S.R.L.</t>
  </si>
  <si>
    <t>01553870039</t>
  </si>
  <si>
    <t>IT01553870039</t>
  </si>
  <si>
    <t>Novara</t>
  </si>
  <si>
    <t>2169.</t>
  </si>
  <si>
    <t>GARDA 1975 S.R.L.</t>
  </si>
  <si>
    <t>10399770964</t>
  </si>
  <si>
    <t>IT10399770964</t>
  </si>
  <si>
    <t>141400</t>
  </si>
  <si>
    <t>2170.</t>
  </si>
  <si>
    <t>NEMEA S.R.L</t>
  </si>
  <si>
    <t>04323040263</t>
  </si>
  <si>
    <t>IT04323040263</t>
  </si>
  <si>
    <t>Treviso</t>
  </si>
  <si>
    <t>2171.</t>
  </si>
  <si>
    <t>PRATESI 1948 S.R.L.</t>
  </si>
  <si>
    <t>02281310488</t>
  </si>
  <si>
    <t>IT02281310488</t>
  </si>
  <si>
    <t>2172.</t>
  </si>
  <si>
    <t>FILIPPI S.R.L.</t>
  </si>
  <si>
    <t>03553180286</t>
  </si>
  <si>
    <t>IT03553180286</t>
  </si>
  <si>
    <t>Padova</t>
  </si>
  <si>
    <t>2173.</t>
  </si>
  <si>
    <t>NONSOLOSTUDIO S.R.L.</t>
  </si>
  <si>
    <t>05443111215</t>
  </si>
  <si>
    <t>IT05443111215</t>
  </si>
  <si>
    <t>Napoli</t>
  </si>
  <si>
    <t>2174.</t>
  </si>
  <si>
    <t>EMME EVOLUTION S.R.L.</t>
  </si>
  <si>
    <t>03049600731</t>
  </si>
  <si>
    <t>IT03049600731</t>
  </si>
  <si>
    <t>Taranto</t>
  </si>
  <si>
    <t>2175.</t>
  </si>
  <si>
    <t>DEJAVU' FACTORY S.R.L.</t>
  </si>
  <si>
    <t>07634711217</t>
  </si>
  <si>
    <t>IT07634711217</t>
  </si>
  <si>
    <t>2176.</t>
  </si>
  <si>
    <t>NUOVA ELLE EMME S.R.L.</t>
  </si>
  <si>
    <t>01240790475</t>
  </si>
  <si>
    <t>IT01240790475</t>
  </si>
  <si>
    <t>143900</t>
  </si>
  <si>
    <t>Pistoia</t>
  </si>
  <si>
    <t>Toscana</t>
  </si>
  <si>
    <t>n.d.</t>
  </si>
  <si>
    <t>2177.</t>
  </si>
  <si>
    <t>BARONET S.R.L.</t>
  </si>
  <si>
    <t>03025610365</t>
  </si>
  <si>
    <t>IT03025610365</t>
  </si>
  <si>
    <t>141910</t>
  </si>
  <si>
    <t>Modena</t>
  </si>
  <si>
    <t>Emilia-Romagna</t>
  </si>
  <si>
    <t>2178.</t>
  </si>
  <si>
    <t>ZAC FASHION S.R.L.</t>
  </si>
  <si>
    <t>07187090480</t>
  </si>
  <si>
    <t>IT07187090480</t>
  </si>
  <si>
    <t>Firenze</t>
  </si>
  <si>
    <t>2179.</t>
  </si>
  <si>
    <t>VENETA CINTURE S.R.L.</t>
  </si>
  <si>
    <t>04035410283</t>
  </si>
  <si>
    <t>IT04035410283</t>
  </si>
  <si>
    <t>Padova</t>
  </si>
  <si>
    <t>Veneto</t>
  </si>
  <si>
    <t>2180.</t>
  </si>
  <si>
    <t>FASHION S.R.L.</t>
  </si>
  <si>
    <t>01971960503</t>
  </si>
  <si>
    <t>IT01971960503</t>
  </si>
  <si>
    <t>152020</t>
  </si>
  <si>
    <t>Pisa</t>
  </si>
  <si>
    <t>2181.</t>
  </si>
  <si>
    <t>MEC EUROPA S.R.L.</t>
  </si>
  <si>
    <t>04181290984</t>
  </si>
  <si>
    <t>IT04181290984</t>
  </si>
  <si>
    <t>152010</t>
  </si>
  <si>
    <t>Brescia</t>
  </si>
  <si>
    <t>Lombardia</t>
  </si>
  <si>
    <t>2182.</t>
  </si>
  <si>
    <t>PELLETTERIA FLORA S.R.L.</t>
  </si>
  <si>
    <t>01915070435</t>
  </si>
  <si>
    <t>IT01915070435</t>
  </si>
  <si>
    <t>151209</t>
  </si>
  <si>
    <t>Macerata</t>
  </si>
  <si>
    <t>Marche</t>
  </si>
  <si>
    <t>2183.</t>
  </si>
  <si>
    <t>JFK 2.0 SRL</t>
  </si>
  <si>
    <t>01864750136</t>
  </si>
  <si>
    <t>IT01864750136</t>
  </si>
  <si>
    <t>141000</t>
  </si>
  <si>
    <t>Como</t>
  </si>
  <si>
    <t>2184.</t>
  </si>
  <si>
    <t>ALES PELLETTERIE S.R.L.</t>
  </si>
  <si>
    <t>01157750439</t>
  </si>
  <si>
    <t>IT01157750439</t>
  </si>
  <si>
    <t>151200</t>
  </si>
  <si>
    <t>2185.</t>
  </si>
  <si>
    <t>OPACO SRL</t>
  </si>
  <si>
    <t>04158650244</t>
  </si>
  <si>
    <t>IT04158650244</t>
  </si>
  <si>
    <t>141929</t>
  </si>
  <si>
    <t>Vicenza</t>
  </si>
  <si>
    <t>2186.</t>
  </si>
  <si>
    <t>GRUPPO AFB S.R.L.</t>
  </si>
  <si>
    <t>07864821215</t>
  </si>
  <si>
    <t>IT07864821215</t>
  </si>
  <si>
    <t>141310</t>
  </si>
  <si>
    <t>Napoli</t>
  </si>
  <si>
    <t>Campania</t>
  </si>
  <si>
    <t>2187.</t>
  </si>
  <si>
    <t>LADY'S SOCIETA' COOPERATIVA</t>
  </si>
  <si>
    <t>01577250689</t>
  </si>
  <si>
    <t>IT01577250689</t>
  </si>
  <si>
    <t>141300</t>
  </si>
  <si>
    <t>Pescara</t>
  </si>
  <si>
    <t>Abruzzo</t>
  </si>
  <si>
    <t>2188.</t>
  </si>
  <si>
    <t>RIFINCUOIO GROUP SOCIETA' A RESPONSABILITA' LIMITATA (IN SIGLA RI FINCUOIO GROUP S.R.L.)</t>
  </si>
  <si>
    <t>01878250503</t>
  </si>
  <si>
    <t>IT01878250503</t>
  </si>
  <si>
    <t>151100</t>
  </si>
  <si>
    <t>2189.</t>
  </si>
  <si>
    <t>VELA SPORT ITALIA S.R.L.</t>
  </si>
  <si>
    <t>03463420616</t>
  </si>
  <si>
    <t>IT03463420616</t>
  </si>
  <si>
    <t>Caserta</t>
  </si>
  <si>
    <t>2190.</t>
  </si>
  <si>
    <t>G.P. TRICOT SRL</t>
  </si>
  <si>
    <t>12310491001</t>
  </si>
  <si>
    <t>IT12310491001</t>
  </si>
  <si>
    <t>Prato</t>
  </si>
  <si>
    <t>2191.</t>
  </si>
  <si>
    <t>LA FABBRICA S.R.L.</t>
  </si>
  <si>
    <t>04010820241</t>
  </si>
  <si>
    <t>IT04010820241</t>
  </si>
  <si>
    <t>2192.</t>
  </si>
  <si>
    <t>STIL SUOLA SRL</t>
  </si>
  <si>
    <t>01289640508</t>
  </si>
  <si>
    <t>IT01289640508</t>
  </si>
  <si>
    <t>2193.</t>
  </si>
  <si>
    <t>ANTONIO ARNESANO FURS &amp; LEATHER S.R.L.</t>
  </si>
  <si>
    <t>04417650753</t>
  </si>
  <si>
    <t>IT04417650753</t>
  </si>
  <si>
    <t>Lecce</t>
  </si>
  <si>
    <t>Puglia</t>
  </si>
  <si>
    <t>2194.</t>
  </si>
  <si>
    <t>MANIFATTURE TWINS - SOCIETA' A RESPONSABILITA' LIMITATA</t>
  </si>
  <si>
    <t>05326400487</t>
  </si>
  <si>
    <t>IT05326400487</t>
  </si>
  <si>
    <t>2195.</t>
  </si>
  <si>
    <t>CLORI &amp; C. S.R.L.</t>
  </si>
  <si>
    <t>03430620132</t>
  </si>
  <si>
    <t>IT03430620132</t>
  </si>
  <si>
    <t>2196.</t>
  </si>
  <si>
    <t>PELLICCERIE NELLO SANTI S.R.L.</t>
  </si>
  <si>
    <t>01029130539</t>
  </si>
  <si>
    <t>IT01029130539</t>
  </si>
  <si>
    <t>142000</t>
  </si>
  <si>
    <t>Grosseto</t>
  </si>
  <si>
    <t>2197.</t>
  </si>
  <si>
    <t>FLORENS LTD SRL</t>
  </si>
  <si>
    <t>02420180446</t>
  </si>
  <si>
    <t>IT02420180446</t>
  </si>
  <si>
    <t>Fermo</t>
  </si>
  <si>
    <t>2198.</t>
  </si>
  <si>
    <t>PAMIRA S.R.L. DI CIPOLLONI AGOSTINO</t>
  </si>
  <si>
    <t>01349170439</t>
  </si>
  <si>
    <t>IT01349170439</t>
  </si>
  <si>
    <t>2199.</t>
  </si>
  <si>
    <t>ACADEMY S.R.L.</t>
  </si>
  <si>
    <t>02700800416</t>
  </si>
  <si>
    <t>IT02700800416</t>
  </si>
  <si>
    <t>Pesaro e Urbino</t>
  </si>
  <si>
    <t>2200.</t>
  </si>
  <si>
    <t>MARTIRE S.R.L.</t>
  </si>
  <si>
    <t>06116901213</t>
  </si>
  <si>
    <t>IT06116901213</t>
  </si>
  <si>
    <t>2201.</t>
  </si>
  <si>
    <t>JRWM SRL</t>
  </si>
  <si>
    <t>02438350973</t>
  </si>
  <si>
    <t>IT02438350973</t>
  </si>
  <si>
    <t>2202.</t>
  </si>
  <si>
    <t>FAVARO MANIFATTURA CALZATURIERA S.R.L.</t>
  </si>
  <si>
    <t>03420530275</t>
  </si>
  <si>
    <t>IT03420530275</t>
  </si>
  <si>
    <t>Milano</t>
  </si>
  <si>
    <t>2203.</t>
  </si>
  <si>
    <t>A. TESTONI S.P.A.</t>
  </si>
  <si>
    <t>00300560372</t>
  </si>
  <si>
    <t>IT00300560372</t>
  </si>
  <si>
    <t>Bologna</t>
  </si>
  <si>
    <t>2204.</t>
  </si>
  <si>
    <t>ITALIAN MODA DESIGN S.R.L.</t>
  </si>
  <si>
    <t>07404370723</t>
  </si>
  <si>
    <t>IT07404370723</t>
  </si>
  <si>
    <t>Bari</t>
  </si>
  <si>
    <t>2205.</t>
  </si>
  <si>
    <t>DAL - TRADING S.R.L.</t>
  </si>
  <si>
    <t>02061260440</t>
  </si>
  <si>
    <t>IT02061260440</t>
  </si>
  <si>
    <t>Ascoli Piceno</t>
  </si>
  <si>
    <t>2206.</t>
  </si>
  <si>
    <t>C &amp; L D S.R.L.</t>
  </si>
  <si>
    <t>00683370985</t>
  </si>
  <si>
    <t>02087610172</t>
  </si>
  <si>
    <t>IT02087610172</t>
  </si>
  <si>
    <t>143100</t>
  </si>
  <si>
    <t>2207.</t>
  </si>
  <si>
    <t>RAMONES S.R.L.</t>
  </si>
  <si>
    <t>04279590402</t>
  </si>
  <si>
    <t>IT04279590402</t>
  </si>
  <si>
    <t>Forlì-Cesena</t>
  </si>
  <si>
    <t>2208.</t>
  </si>
  <si>
    <t>BATTISTA LOZIO &amp; FIGLI S.R.L.</t>
  </si>
  <si>
    <t>03011560962</t>
  </si>
  <si>
    <t>01465420162</t>
  </si>
  <si>
    <t>IT01465420162</t>
  </si>
  <si>
    <t>141910</t>
  </si>
  <si>
    <t>Milano</t>
  </si>
  <si>
    <t>Lombardia</t>
  </si>
  <si>
    <t>2209.</t>
  </si>
  <si>
    <t>CALZIFICIO GENNY DI VIOLA FERNANDA &amp; C. SRL</t>
  </si>
  <si>
    <t>00151560190</t>
  </si>
  <si>
    <t>IT00151560190</t>
  </si>
  <si>
    <t>143100</t>
  </si>
  <si>
    <t>Cremona</t>
  </si>
  <si>
    <t>2210.</t>
  </si>
  <si>
    <t>SORELLE FIORENTINE S.R.L.</t>
  </si>
  <si>
    <t>06495940485</t>
  </si>
  <si>
    <t>IT06495940485</t>
  </si>
  <si>
    <t>152010</t>
  </si>
  <si>
    <t>Firenze</t>
  </si>
  <si>
    <t>Toscana</t>
  </si>
  <si>
    <t>2211.</t>
  </si>
  <si>
    <t>SOLETTIFICIO ROMAS DEI F.LLI STOPPO M.R. S.R.L.</t>
  </si>
  <si>
    <t>01494040445</t>
  </si>
  <si>
    <t>IT01494040445</t>
  </si>
  <si>
    <t>152020</t>
  </si>
  <si>
    <t>Fermo</t>
  </si>
  <si>
    <t>Marche</t>
  </si>
  <si>
    <t>2212.</t>
  </si>
  <si>
    <t>QUARTA S.R.L.</t>
  </si>
  <si>
    <t>02070340365</t>
  </si>
  <si>
    <t>IT02070340365</t>
  </si>
  <si>
    <t>141310</t>
  </si>
  <si>
    <t>Modena</t>
  </si>
  <si>
    <t>Emilia-Romagna</t>
  </si>
  <si>
    <t>2213.</t>
  </si>
  <si>
    <t>AMAN COMPANY SOCIETA' A RESPONSABILITA' LIMITATA SEMPLIFICATA</t>
  </si>
  <si>
    <t>07395121218</t>
  </si>
  <si>
    <t>IT07395121218</t>
  </si>
  <si>
    <t>Napoli</t>
  </si>
  <si>
    <t>Campania</t>
  </si>
  <si>
    <t>2214.</t>
  </si>
  <si>
    <t>OXMOX ITALY S.R.L.</t>
  </si>
  <si>
    <t>06095600638</t>
  </si>
  <si>
    <t>IT06095600638</t>
  </si>
  <si>
    <t>n.d.</t>
  </si>
  <si>
    <t>2215.</t>
  </si>
  <si>
    <t>FACIT S.R.L.</t>
  </si>
  <si>
    <t>01687361202</t>
  </si>
  <si>
    <t>IT01687361202</t>
  </si>
  <si>
    <t>Forlì-Cesena</t>
  </si>
  <si>
    <t>2216.</t>
  </si>
  <si>
    <t>THAI'S S.R.L.</t>
  </si>
  <si>
    <t>01914330442</t>
  </si>
  <si>
    <t>IT01914330442</t>
  </si>
  <si>
    <t>2217.</t>
  </si>
  <si>
    <t>FASHION GROUP SOCIETA' A RESPONSABILITA' LIMITATA IN FORMA ABBREVIATA FASHION GROUP S.R.L.</t>
  </si>
  <si>
    <t>06511151216</t>
  </si>
  <si>
    <t>IT06511151216</t>
  </si>
  <si>
    <t>2218.</t>
  </si>
  <si>
    <t>ARTIMISIO S.R.L.</t>
  </si>
  <si>
    <t>01426930051</t>
  </si>
  <si>
    <t>IT01426930051</t>
  </si>
  <si>
    <t>143900</t>
  </si>
  <si>
    <t>Asti</t>
  </si>
  <si>
    <t>Piemonte</t>
  </si>
  <si>
    <t>2219.</t>
  </si>
  <si>
    <t>EL.MA SRL</t>
  </si>
  <si>
    <t>02907000125</t>
  </si>
  <si>
    <t>IT02907000125</t>
  </si>
  <si>
    <t>Varese</t>
  </si>
  <si>
    <t>2220.</t>
  </si>
  <si>
    <t>PASTELLI S.R.L.</t>
  </si>
  <si>
    <t>04034460289</t>
  </si>
  <si>
    <t>IT04034460289</t>
  </si>
  <si>
    <t>141000</t>
  </si>
  <si>
    <t>Padova</t>
  </si>
  <si>
    <t>Veneto</t>
  </si>
  <si>
    <t>2221.</t>
  </si>
  <si>
    <t>FGR S.R.L.</t>
  </si>
  <si>
    <t>06283101217</t>
  </si>
  <si>
    <t>IT06283101217</t>
  </si>
  <si>
    <t>2222.</t>
  </si>
  <si>
    <t>CALZATURIFICIO MARINO FABIANI S.R.L.</t>
  </si>
  <si>
    <t>00436380448</t>
  </si>
  <si>
    <t>IT00436380448</t>
  </si>
  <si>
    <t>2223.</t>
  </si>
  <si>
    <t>RUBAMORI SRL</t>
  </si>
  <si>
    <t>09536180962</t>
  </si>
  <si>
    <t>IT09536180962</t>
  </si>
  <si>
    <t>2224.</t>
  </si>
  <si>
    <t>SCRIBANO INDUSTRIA CONFEZIONI S.R.L.</t>
  </si>
  <si>
    <t>00626600860</t>
  </si>
  <si>
    <t>IT00626600860</t>
  </si>
  <si>
    <t>141320</t>
  </si>
  <si>
    <t>Enna</t>
  </si>
  <si>
    <t>Sicilia</t>
  </si>
  <si>
    <t>2225.</t>
  </si>
  <si>
    <t>JATO 1991 S.R.L.</t>
  </si>
  <si>
    <t>04054371200</t>
  </si>
  <si>
    <t>IT04054371200</t>
  </si>
  <si>
    <t>Bologna</t>
  </si>
  <si>
    <t>2226.</t>
  </si>
  <si>
    <t>SMART LADY S.R.L.</t>
  </si>
  <si>
    <t>10514610152</t>
  </si>
  <si>
    <t>01163020181</t>
  </si>
  <si>
    <t>IT01163020181</t>
  </si>
  <si>
    <t>2227.</t>
  </si>
  <si>
    <t>GEA FASHION S.R.L.</t>
  </si>
  <si>
    <t>01579040682</t>
  </si>
  <si>
    <t>IT01579040682</t>
  </si>
  <si>
    <t>Pescara</t>
  </si>
  <si>
    <t>Abruzzo</t>
  </si>
  <si>
    <t>2228.</t>
  </si>
  <si>
    <t>EMME ELLE S.R.L.</t>
  </si>
  <si>
    <t>02170480517</t>
  </si>
  <si>
    <t>IT02170480517</t>
  </si>
  <si>
    <t>151209</t>
  </si>
  <si>
    <t>Arezzo</t>
  </si>
  <si>
    <t>2229.</t>
  </si>
  <si>
    <t>GHILBERT S.R.L. - SOCIETA' UNIPERSONALE</t>
  </si>
  <si>
    <t>04340560616</t>
  </si>
  <si>
    <t>IT04340560616</t>
  </si>
  <si>
    <t>Caserta</t>
  </si>
  <si>
    <t>2230.</t>
  </si>
  <si>
    <t>ALESSIA SRL</t>
  </si>
  <si>
    <t>06972141003</t>
  </si>
  <si>
    <t>IT06972141003</t>
  </si>
  <si>
    <t>Roma</t>
  </si>
  <si>
    <t>Lazio</t>
  </si>
  <si>
    <t>2231.</t>
  </si>
  <si>
    <t>ALBISETTI INDUSTRIES S.R.L.</t>
  </si>
  <si>
    <t>08866500963</t>
  </si>
  <si>
    <t>IT08866500963</t>
  </si>
  <si>
    <t>141929</t>
  </si>
  <si>
    <t>2232.</t>
  </si>
  <si>
    <t>AREA FORTE S.R.L.</t>
  </si>
  <si>
    <t>02471430443</t>
  </si>
  <si>
    <t>IT02471430443</t>
  </si>
  <si>
    <t>2233.</t>
  </si>
  <si>
    <t>MANIFATTURE TOSCANA S.R.L.</t>
  </si>
  <si>
    <t>01735340505</t>
  </si>
  <si>
    <t>IT01735340505</t>
  </si>
  <si>
    <t>151100</t>
  </si>
  <si>
    <t>Pisa</t>
  </si>
  <si>
    <t>2234.</t>
  </si>
  <si>
    <t>S - TEAM S. R. L.</t>
  </si>
  <si>
    <t>04792750269</t>
  </si>
  <si>
    <t>IT04792750269</t>
  </si>
  <si>
    <t>Treviso</t>
  </si>
  <si>
    <t>2235.</t>
  </si>
  <si>
    <t>MILVA P. S.R.L.</t>
  </si>
  <si>
    <t>03529060364</t>
  </si>
  <si>
    <t>IT03529060364</t>
  </si>
  <si>
    <t>2236.</t>
  </si>
  <si>
    <t>MARISTELLA MARE S.R.L.</t>
  </si>
  <si>
    <t>00992150037</t>
  </si>
  <si>
    <t>IT00992150037</t>
  </si>
  <si>
    <t>2237.</t>
  </si>
  <si>
    <t>BERBRAND S.R.L.</t>
  </si>
  <si>
    <t>02294360983</t>
  </si>
  <si>
    <t>IT02294360983</t>
  </si>
  <si>
    <t>Brescia</t>
  </si>
  <si>
    <t>2238.</t>
  </si>
  <si>
    <t>ARCOBALENO S.R.L.</t>
  </si>
  <si>
    <t>00461870503</t>
  </si>
  <si>
    <t>IT00461870503</t>
  </si>
  <si>
    <t>2239.</t>
  </si>
  <si>
    <t>NOVA GEA S.R.L.</t>
  </si>
  <si>
    <t>01745870434</t>
  </si>
  <si>
    <t>IT01745870434</t>
  </si>
  <si>
    <t>Macerata</t>
  </si>
  <si>
    <t>2240.</t>
  </si>
  <si>
    <t>GALASSIA S.R.L.</t>
  </si>
  <si>
    <t>00624220547</t>
  </si>
  <si>
    <t>IT00624220547</t>
  </si>
  <si>
    <t>143900</t>
  </si>
  <si>
    <t>Perugia</t>
  </si>
  <si>
    <t>Umbria</t>
  </si>
  <si>
    <t>2241.</t>
  </si>
  <si>
    <t>FOOL COMPANY S.R.L.</t>
  </si>
  <si>
    <t>03638911218</t>
  </si>
  <si>
    <t>IT03638911218</t>
  </si>
  <si>
    <t>Napoli</t>
  </si>
  <si>
    <t>Campania</t>
  </si>
  <si>
    <t>2242.</t>
  </si>
  <si>
    <t>SCHOISIR S.R.L.</t>
  </si>
  <si>
    <t>02969670617</t>
  </si>
  <si>
    <t>IT02969670617</t>
  </si>
  <si>
    <t>152010</t>
  </si>
  <si>
    <t>n.d.</t>
  </si>
  <si>
    <t>2243.</t>
  </si>
  <si>
    <t>OFFICINE MODELLI S.R.L.</t>
  </si>
  <si>
    <t>01480930443</t>
  </si>
  <si>
    <t>IT01480930443</t>
  </si>
  <si>
    <t>Fermo</t>
  </si>
  <si>
    <t>Marche</t>
  </si>
  <si>
    <t>2244.</t>
  </si>
  <si>
    <t>EMMETRE S.R.L.</t>
  </si>
  <si>
    <t>02176570501</t>
  </si>
  <si>
    <t>IT02176570501</t>
  </si>
  <si>
    <t>Pisa</t>
  </si>
  <si>
    <t>Toscana</t>
  </si>
  <si>
    <t>2245.</t>
  </si>
  <si>
    <t>J.KYX S.R.L.</t>
  </si>
  <si>
    <t>05124900720</t>
  </si>
  <si>
    <t>IT05124900720</t>
  </si>
  <si>
    <t>141000</t>
  </si>
  <si>
    <t>Barletta-Andria-Trani</t>
  </si>
  <si>
    <t>Puglia</t>
  </si>
  <si>
    <t>2246.</t>
  </si>
  <si>
    <t>FLAMINIA PUBBLICITA' S.R.L.</t>
  </si>
  <si>
    <t>02366860415</t>
  </si>
  <si>
    <t>IT02366860415</t>
  </si>
  <si>
    <t>151209</t>
  </si>
  <si>
    <t>Pesaro e Urbino</t>
  </si>
  <si>
    <t>2247.</t>
  </si>
  <si>
    <t>CAESAR CONFEZIONI S.R.L.</t>
  </si>
  <si>
    <t>05314120725</t>
  </si>
  <si>
    <t>IT05314120725</t>
  </si>
  <si>
    <t>141400</t>
  </si>
  <si>
    <t>2248.</t>
  </si>
  <si>
    <t>ORI INDUSTRIA S.R.L.</t>
  </si>
  <si>
    <t>01500420201</t>
  </si>
  <si>
    <t>IT01500420201</t>
  </si>
  <si>
    <t>143100</t>
  </si>
  <si>
    <t>Brescia</t>
  </si>
  <si>
    <t>Lombardia</t>
  </si>
  <si>
    <t>2249.</t>
  </si>
  <si>
    <t>ELLESSE INTERNATIONAL S.P.A.</t>
  </si>
  <si>
    <t>02026280541</t>
  </si>
  <si>
    <t>IT02026280541</t>
  </si>
  <si>
    <t>2250.</t>
  </si>
  <si>
    <t>ITALCONCIA 1973 SRL</t>
  </si>
  <si>
    <t>00138820501</t>
  </si>
  <si>
    <t>IT00138820501</t>
  </si>
  <si>
    <t>151100</t>
  </si>
  <si>
    <t>2251.</t>
  </si>
  <si>
    <t>KELTON S.R.L.</t>
  </si>
  <si>
    <t>01380420446</t>
  </si>
  <si>
    <t>IT01380420446</t>
  </si>
  <si>
    <t>2252.</t>
  </si>
  <si>
    <t>IDEALMAGLIA S.R.L. - SOCIETA' UNIPERSONALE</t>
  </si>
  <si>
    <t>03269050245</t>
  </si>
  <si>
    <t>IT03269050245</t>
  </si>
  <si>
    <t>Vicenza</t>
  </si>
  <si>
    <t>Veneto</t>
  </si>
  <si>
    <t>2253.</t>
  </si>
  <si>
    <t>ITALRETTILI S.R.L.</t>
  </si>
  <si>
    <t>01824410508</t>
  </si>
  <si>
    <t>IT01824410508</t>
  </si>
  <si>
    <t>2254.</t>
  </si>
  <si>
    <t>CALZATURIFICIO LASSI S.R.L.</t>
  </si>
  <si>
    <t>01820260477</t>
  </si>
  <si>
    <t>IT01820260477</t>
  </si>
  <si>
    <t>Pistoia</t>
  </si>
  <si>
    <t>2255.</t>
  </si>
  <si>
    <t>TRESSE' SRL</t>
  </si>
  <si>
    <t>03302340249</t>
  </si>
  <si>
    <t>IT03302340249</t>
  </si>
  <si>
    <t>2256.</t>
  </si>
  <si>
    <t>PELLETTERIA LUISANNA S.R.L.</t>
  </si>
  <si>
    <t>06132350486</t>
  </si>
  <si>
    <t>IT06132350486</t>
  </si>
  <si>
    <t>Firenze</t>
  </si>
  <si>
    <t>2257.</t>
  </si>
  <si>
    <t>GIANNI CAPPELLI S.R.L.</t>
  </si>
  <si>
    <t>01427150477</t>
  </si>
  <si>
    <t>IT01427150477</t>
  </si>
  <si>
    <t>2258.</t>
  </si>
  <si>
    <t>GRUPPO BONCOMPAGNO S.R.L.</t>
  </si>
  <si>
    <t>04140090871</t>
  </si>
  <si>
    <t>IT04140090871</t>
  </si>
  <si>
    <t>Catania</t>
  </si>
  <si>
    <t>Sicilia</t>
  </si>
  <si>
    <t>2259.</t>
  </si>
  <si>
    <t>TOMAIFICIO LEONARDO S.R.L.</t>
  </si>
  <si>
    <t>06343170483</t>
  </si>
  <si>
    <t>IT06343170483</t>
  </si>
  <si>
    <t>152020</t>
  </si>
  <si>
    <t>2260.</t>
  </si>
  <si>
    <t>SOLETTIFICIO STYLFLEX S.R.L.</t>
  </si>
  <si>
    <t>01706540471</t>
  </si>
  <si>
    <t>IT01706540471</t>
  </si>
  <si>
    <t>2261.</t>
  </si>
  <si>
    <t>LABORATORIO DEL CARMINE S.R.L.</t>
  </si>
  <si>
    <t>02093390165</t>
  </si>
  <si>
    <t>IT02093390165</t>
  </si>
  <si>
    <t>Bergamo</t>
  </si>
  <si>
    <t>2262.</t>
  </si>
  <si>
    <t>BROOKLIN S.R.L.</t>
  </si>
  <si>
    <t>01703650489</t>
  </si>
  <si>
    <t>IT01703650489</t>
  </si>
  <si>
    <t>141310</t>
  </si>
  <si>
    <t>2263.</t>
  </si>
  <si>
    <t>STEP SRL</t>
  </si>
  <si>
    <t>10767370967</t>
  </si>
  <si>
    <t>IT10767370967</t>
  </si>
  <si>
    <t>Milano</t>
  </si>
  <si>
    <t>2264.</t>
  </si>
  <si>
    <t>MERY S.R.L.</t>
  </si>
  <si>
    <t>05958361213</t>
  </si>
  <si>
    <t>IT05958361213</t>
  </si>
  <si>
    <t>2265.</t>
  </si>
  <si>
    <t>GRAPHIMODE S.R.L.</t>
  </si>
  <si>
    <t>00290980283</t>
  </si>
  <si>
    <t>IT00290980283</t>
  </si>
  <si>
    <t>141910</t>
  </si>
  <si>
    <t>Padova</t>
  </si>
  <si>
    <t>2266.</t>
  </si>
  <si>
    <t>FASHION DOG SRL</t>
  </si>
  <si>
    <t>03250840364</t>
  </si>
  <si>
    <t>IT03250840364</t>
  </si>
  <si>
    <t>141929</t>
  </si>
  <si>
    <t>Modena</t>
  </si>
  <si>
    <t>Emilia-Romagna</t>
  </si>
  <si>
    <t>2267.</t>
  </si>
  <si>
    <t>SARTORIA SCHIAVI S.R.L.</t>
  </si>
  <si>
    <t>01115230334</t>
  </si>
  <si>
    <t>IT01115230334</t>
  </si>
  <si>
    <t>Piacenza</t>
  </si>
  <si>
    <t>2268.</t>
  </si>
  <si>
    <t>TUSCANY TRICOT S.R.L.</t>
  </si>
  <si>
    <t>02427420977</t>
  </si>
  <si>
    <t>IT02427420977</t>
  </si>
  <si>
    <t>Prato</t>
  </si>
  <si>
    <t>2269.</t>
  </si>
  <si>
    <t>SERVICE M S.R.L.</t>
  </si>
  <si>
    <t>03490300278</t>
  </si>
  <si>
    <t>IT03490300278</t>
  </si>
  <si>
    <t>Venezia</t>
  </si>
  <si>
    <t>2270.</t>
  </si>
  <si>
    <t>SEI TRE 76 S.R.L.</t>
  </si>
  <si>
    <t>03558550541</t>
  </si>
  <si>
    <t>IT03558550541</t>
  </si>
  <si>
    <t>2271.</t>
  </si>
  <si>
    <t>BRUNELLI &amp; CO. S.R.L.</t>
  </si>
  <si>
    <t>03817060969</t>
  </si>
  <si>
    <t>IT03817060969</t>
  </si>
  <si>
    <t>2272.</t>
  </si>
  <si>
    <t>DUE EMME S.R.L.</t>
  </si>
  <si>
    <t>02950270161</t>
  </si>
  <si>
    <t>IT02950270161</t>
  </si>
  <si>
    <t>141310</t>
  </si>
  <si>
    <t>Brescia</t>
  </si>
  <si>
    <t>Lombardia</t>
  </si>
  <si>
    <t>2273.</t>
  </si>
  <si>
    <t>B.Z. S.R.L.</t>
  </si>
  <si>
    <t>03224890545</t>
  </si>
  <si>
    <t>IT03224890545</t>
  </si>
  <si>
    <t>143900</t>
  </si>
  <si>
    <t>Roma</t>
  </si>
  <si>
    <t>Lazio</t>
  </si>
  <si>
    <t>n.d.</t>
  </si>
  <si>
    <t>2274.</t>
  </si>
  <si>
    <t>CINTURIFICIO MARCO PARISI S.R.L.</t>
  </si>
  <si>
    <t>04061160166</t>
  </si>
  <si>
    <t>IT04061160166</t>
  </si>
  <si>
    <t>141910</t>
  </si>
  <si>
    <t>Bergamo</t>
  </si>
  <si>
    <t>2275.</t>
  </si>
  <si>
    <t>AELLE SPORT SOCIETA' A RESPONSABILITA' LIMITATA</t>
  </si>
  <si>
    <t>03427610799</t>
  </si>
  <si>
    <t>IT03427610799</t>
  </si>
  <si>
    <t>141929</t>
  </si>
  <si>
    <t>Catanzaro</t>
  </si>
  <si>
    <t>Calabria</t>
  </si>
  <si>
    <t>2276.</t>
  </si>
  <si>
    <t>CAPPELLIFICIO FALCUS S.R.L.</t>
  </si>
  <si>
    <t>00089960512</t>
  </si>
  <si>
    <t>IT00089960512</t>
  </si>
  <si>
    <t>Arezzo</t>
  </si>
  <si>
    <t>Toscana</t>
  </si>
  <si>
    <t>2277.</t>
  </si>
  <si>
    <t>CALZATURIFICIO VICTOR S.R.L.</t>
  </si>
  <si>
    <t>01686940469</t>
  </si>
  <si>
    <t>IT01686940469</t>
  </si>
  <si>
    <t>152010</t>
  </si>
  <si>
    <t>Lucca</t>
  </si>
  <si>
    <t>2278.</t>
  </si>
  <si>
    <t>FASHION CLOUD S.R.L.</t>
  </si>
  <si>
    <t>07127010960</t>
  </si>
  <si>
    <t>IT07127010960</t>
  </si>
  <si>
    <t>151209</t>
  </si>
  <si>
    <t>Teramo</t>
  </si>
  <si>
    <t>Abruzzo</t>
  </si>
  <si>
    <t>2279.</t>
  </si>
  <si>
    <t>SUOLIFICIO MONTERISI S.R.L.</t>
  </si>
  <si>
    <t>07281600721</t>
  </si>
  <si>
    <t>IT07281600721</t>
  </si>
  <si>
    <t>152020</t>
  </si>
  <si>
    <t>Barletta-Andria-Trani</t>
  </si>
  <si>
    <t>Puglia</t>
  </si>
  <si>
    <t>2280.</t>
  </si>
  <si>
    <t>GRUPPO ACCESSORI ITALIA S.R.L.</t>
  </si>
  <si>
    <t>02513600276</t>
  </si>
  <si>
    <t>IT02513600276</t>
  </si>
  <si>
    <t>141100</t>
  </si>
  <si>
    <t>Venezia</t>
  </si>
  <si>
    <t>Veneto</t>
  </si>
  <si>
    <t>2281.</t>
  </si>
  <si>
    <t>CERRI - S.R.L.</t>
  </si>
  <si>
    <t>00974590507</t>
  </si>
  <si>
    <t>IT00974590507</t>
  </si>
  <si>
    <t>151100</t>
  </si>
  <si>
    <t>Pisa</t>
  </si>
  <si>
    <t>2282.</t>
  </si>
  <si>
    <t>MAREX S.R.L.</t>
  </si>
  <si>
    <t>00721780351</t>
  </si>
  <si>
    <t>IT00721780351</t>
  </si>
  <si>
    <t>Reggio nell'Emilia</t>
  </si>
  <si>
    <t>Emilia-Romagna</t>
  </si>
  <si>
    <t>2283.</t>
  </si>
  <si>
    <t>GOELDLIN S.R.L.</t>
  </si>
  <si>
    <t>08844761216</t>
  </si>
  <si>
    <t>IT08844761216</t>
  </si>
  <si>
    <t>141200</t>
  </si>
  <si>
    <t>Milano</t>
  </si>
  <si>
    <t>2284.</t>
  </si>
  <si>
    <t>NEW EVENTI S.R.L.</t>
  </si>
  <si>
    <t>03718690245</t>
  </si>
  <si>
    <t>IT03718690245</t>
  </si>
  <si>
    <t>Vicenza</t>
  </si>
  <si>
    <t>2285.</t>
  </si>
  <si>
    <t>DESTIN - SOCIETA' UNIPERSONALE A RESPONSABILITA' LIMITATA</t>
  </si>
  <si>
    <t>02383410020</t>
  </si>
  <si>
    <t>IT02383410020</t>
  </si>
  <si>
    <t>Biella</t>
  </si>
  <si>
    <t>Piemonte</t>
  </si>
  <si>
    <t>2286.</t>
  </si>
  <si>
    <t>HETTA BRETZ SRL</t>
  </si>
  <si>
    <t>03801891205</t>
  </si>
  <si>
    <t>IT03801891205</t>
  </si>
  <si>
    <t>Bologna</t>
  </si>
  <si>
    <t>2287.</t>
  </si>
  <si>
    <t>RIBKNIT SERVICE SRL</t>
  </si>
  <si>
    <t>04331350233</t>
  </si>
  <si>
    <t>IT04331350233</t>
  </si>
  <si>
    <t>Verona</t>
  </si>
  <si>
    <t>2288.</t>
  </si>
  <si>
    <t>SCHULTHESS CARVICO S.R.L.</t>
  </si>
  <si>
    <t>05350180963</t>
  </si>
  <si>
    <t>IT05350180963</t>
  </si>
  <si>
    <t>2289.</t>
  </si>
  <si>
    <t>GIDAL S.R.L.</t>
  </si>
  <si>
    <t>04176750240</t>
  </si>
  <si>
    <t>IT04176750240</t>
  </si>
  <si>
    <t>2290.</t>
  </si>
  <si>
    <t>MONOCHROME S.R.L.</t>
  </si>
  <si>
    <t>08410811213</t>
  </si>
  <si>
    <t>IT08410811213</t>
  </si>
  <si>
    <t>2291.</t>
  </si>
  <si>
    <t>SARTORIA MESSORI S.R.L.</t>
  </si>
  <si>
    <t>02406240362</t>
  </si>
  <si>
    <t>IT02406240362</t>
  </si>
  <si>
    <t>Modena</t>
  </si>
  <si>
    <t>2292.</t>
  </si>
  <si>
    <t>ROSA ARGENTO S.R.L.</t>
  </si>
  <si>
    <t>07559471219</t>
  </si>
  <si>
    <t>IT07559471219</t>
  </si>
  <si>
    <t>Napoli</t>
  </si>
  <si>
    <t>Campania</t>
  </si>
  <si>
    <t>2293.</t>
  </si>
  <si>
    <t>CASUALLY SOCIETA' A RESPONSABILITA' LIMITATA</t>
  </si>
  <si>
    <t>02199000973</t>
  </si>
  <si>
    <t>IT02199000973</t>
  </si>
  <si>
    <t>Prato</t>
  </si>
  <si>
    <t>2294.</t>
  </si>
  <si>
    <t>MAGLITAL - SOCIETA' A RESPONSABILITA' LIMITATA</t>
  </si>
  <si>
    <t>00222010548</t>
  </si>
  <si>
    <t>IT00222010548</t>
  </si>
  <si>
    <t>143000</t>
  </si>
  <si>
    <t>Perugia</t>
  </si>
  <si>
    <t>Umbria</t>
  </si>
  <si>
    <t>2295.</t>
  </si>
  <si>
    <t>KARA GROUP S.R.L. IN LIQUIDAZIONE</t>
  </si>
  <si>
    <t>04067200164</t>
  </si>
  <si>
    <t>IT04067200164</t>
  </si>
  <si>
    <t>2296.</t>
  </si>
  <si>
    <t>MAGLIFICIO PINUCCIO VENEGONI S.R.L.</t>
  </si>
  <si>
    <t>01821100128</t>
  </si>
  <si>
    <t>IT01821100128</t>
  </si>
  <si>
    <t>141400</t>
  </si>
  <si>
    <t>Varese</t>
  </si>
  <si>
    <t>2297.</t>
  </si>
  <si>
    <t>EVEET S.R.L.</t>
  </si>
  <si>
    <t>03444500759</t>
  </si>
  <si>
    <t>IT03444500759</t>
  </si>
  <si>
    <t>Lecce</t>
  </si>
  <si>
    <t>2298.</t>
  </si>
  <si>
    <t>ELEGANCE - S.R.L.</t>
  </si>
  <si>
    <t>01257120558</t>
  </si>
  <si>
    <t>IT01257120558</t>
  </si>
  <si>
    <t>141320</t>
  </si>
  <si>
    <t>Terni</t>
  </si>
  <si>
    <t>2299.</t>
  </si>
  <si>
    <t>MINI B S.R.L.</t>
  </si>
  <si>
    <t>04552740260</t>
  </si>
  <si>
    <t>IT04552740260</t>
  </si>
  <si>
    <t>Padova</t>
  </si>
  <si>
    <t>2300.</t>
  </si>
  <si>
    <t>CASTELLANI S.R.L.</t>
  </si>
  <si>
    <t>02833790179</t>
  </si>
  <si>
    <t>IT02833790179</t>
  </si>
  <si>
    <t>2301.</t>
  </si>
  <si>
    <t>AMGM S.R.L.</t>
  </si>
  <si>
    <t>09832241211</t>
  </si>
  <si>
    <t>IT09832241211</t>
  </si>
  <si>
    <t>2302.</t>
  </si>
  <si>
    <t>RICCI S.R.L.</t>
  </si>
  <si>
    <t>01619620444</t>
  </si>
  <si>
    <t>IT01619620444</t>
  </si>
  <si>
    <t>Fermo</t>
  </si>
  <si>
    <t>Marche</t>
  </si>
  <si>
    <t>2303.</t>
  </si>
  <si>
    <t>MAGIL S.R.L.</t>
  </si>
  <si>
    <t>02067540993</t>
  </si>
  <si>
    <t>IT02067540993</t>
  </si>
  <si>
    <t>141000</t>
  </si>
  <si>
    <t>Genova</t>
  </si>
  <si>
    <t>Liguria</t>
  </si>
  <si>
    <t>2304.</t>
  </si>
  <si>
    <t>CALZATURIFICIO SPRING -S.R.L.</t>
  </si>
  <si>
    <t>00759680440</t>
  </si>
  <si>
    <t>IT00759680440</t>
  </si>
  <si>
    <t>152010</t>
  </si>
  <si>
    <t>Fermo</t>
  </si>
  <si>
    <t>Marche</t>
  </si>
  <si>
    <t>2305.</t>
  </si>
  <si>
    <t>ALL BLACKS &amp; CO. S.R.L.</t>
  </si>
  <si>
    <t>12949811009</t>
  </si>
  <si>
    <t>IT12949811009</t>
  </si>
  <si>
    <t>141320</t>
  </si>
  <si>
    <t>Roma</t>
  </si>
  <si>
    <t>Lazio</t>
  </si>
  <si>
    <t>2306.</t>
  </si>
  <si>
    <t>WOOLTIME SRL</t>
  </si>
  <si>
    <t>02232360442</t>
  </si>
  <si>
    <t>IT02232360442</t>
  </si>
  <si>
    <t>143900</t>
  </si>
  <si>
    <t>Macerata</t>
  </si>
  <si>
    <t>2307.</t>
  </si>
  <si>
    <t>4 BARONE S.R.L.</t>
  </si>
  <si>
    <t>08370821210</t>
  </si>
  <si>
    <t>IT08370821210</t>
  </si>
  <si>
    <t>151100</t>
  </si>
  <si>
    <t>Napoli</t>
  </si>
  <si>
    <t>Campania</t>
  </si>
  <si>
    <t>2308.</t>
  </si>
  <si>
    <t>LAS FASHION S.R.L.</t>
  </si>
  <si>
    <t>06092710489</t>
  </si>
  <si>
    <t>IT06092710489</t>
  </si>
  <si>
    <t>141000</t>
  </si>
  <si>
    <t>Firenze</t>
  </si>
  <si>
    <t>Toscana</t>
  </si>
  <si>
    <t>2309.</t>
  </si>
  <si>
    <t>LAINO ANGELO BELTS SOCIETA' A RESPONSABILITA' LIMITATA</t>
  </si>
  <si>
    <t>07739341217</t>
  </si>
  <si>
    <t>IT07739341217</t>
  </si>
  <si>
    <t>151209</t>
  </si>
  <si>
    <t>n.d.</t>
  </si>
  <si>
    <t>2310.</t>
  </si>
  <si>
    <t>TM SERVICE S.R.L.</t>
  </si>
  <si>
    <t>02290840426</t>
  </si>
  <si>
    <t>IT02290840426</t>
  </si>
  <si>
    <t>Ancona</t>
  </si>
  <si>
    <t>2311.</t>
  </si>
  <si>
    <t>MAGLIFICIO TATTICA S.R.L.</t>
  </si>
  <si>
    <t>01509020366</t>
  </si>
  <si>
    <t>IT01509020366</t>
  </si>
  <si>
    <t>143000</t>
  </si>
  <si>
    <t>Modena</t>
  </si>
  <si>
    <t>Emilia-Romagna</t>
  </si>
  <si>
    <t>2312.</t>
  </si>
  <si>
    <t>MDA S.R.L.</t>
  </si>
  <si>
    <t>04028420240</t>
  </si>
  <si>
    <t>IT04028420240</t>
  </si>
  <si>
    <t>Vicenza</t>
  </si>
  <si>
    <t>Veneto</t>
  </si>
  <si>
    <t>2313.</t>
  </si>
  <si>
    <t>AERTRE S.R.L.</t>
  </si>
  <si>
    <t>11788450150</t>
  </si>
  <si>
    <t>02053760126</t>
  </si>
  <si>
    <t>IT02053760126</t>
  </si>
  <si>
    <t>Milano</t>
  </si>
  <si>
    <t>Lombardia</t>
  </si>
  <si>
    <t>2314.</t>
  </si>
  <si>
    <t>ITALCONF S.R.L.</t>
  </si>
  <si>
    <t>05725500481</t>
  </si>
  <si>
    <t>IT05725500481</t>
  </si>
  <si>
    <t>141200</t>
  </si>
  <si>
    <t>2315.</t>
  </si>
  <si>
    <t>SEBINO - S.R.L.</t>
  </si>
  <si>
    <t>01114120429</t>
  </si>
  <si>
    <t>IT01114120429</t>
  </si>
  <si>
    <t>143100</t>
  </si>
  <si>
    <t>2316.</t>
  </si>
  <si>
    <t>VELOPLUS S.R.L.</t>
  </si>
  <si>
    <t>03077690133</t>
  </si>
  <si>
    <t>IT03077690133</t>
  </si>
  <si>
    <t>141929</t>
  </si>
  <si>
    <t>Lecco</t>
  </si>
  <si>
    <t>2317.</t>
  </si>
  <si>
    <t>IMPRES S.R.L.</t>
  </si>
  <si>
    <t>01550790503</t>
  </si>
  <si>
    <t>IT01550790503</t>
  </si>
  <si>
    <t>Pisa</t>
  </si>
  <si>
    <t>2318.</t>
  </si>
  <si>
    <t>MAGLIFICIO ANTONELLA S.R.L.</t>
  </si>
  <si>
    <t>01287230237</t>
  </si>
  <si>
    <t>IT01287230237</t>
  </si>
  <si>
    <t>141400</t>
  </si>
  <si>
    <t>Verona</t>
  </si>
  <si>
    <t>2319.</t>
  </si>
  <si>
    <t>JORDI S.R.L.</t>
  </si>
  <si>
    <t>03661910483</t>
  </si>
  <si>
    <t>IT03661910483</t>
  </si>
  <si>
    <t>2320.</t>
  </si>
  <si>
    <t>LINEA COMODA S.R.L.</t>
  </si>
  <si>
    <t>03003551219</t>
  </si>
  <si>
    <t>IT03003551219</t>
  </si>
  <si>
    <t>152000</t>
  </si>
  <si>
    <t>2321.</t>
  </si>
  <si>
    <t>EMMEGI GROUP - SOCIETA' A RESPONSABILITA' LIMITATA</t>
  </si>
  <si>
    <t>03827400106</t>
  </si>
  <si>
    <t>IT03827400106</t>
  </si>
  <si>
    <t>Genova</t>
  </si>
  <si>
    <t>Liguria</t>
  </si>
  <si>
    <t>2322.</t>
  </si>
  <si>
    <t>MONDO ITALIA S.R.L.</t>
  </si>
  <si>
    <t>02187030446</t>
  </si>
  <si>
    <t>IT02187030446</t>
  </si>
  <si>
    <t>2323.</t>
  </si>
  <si>
    <t>MANIFATTURE L.G. S.R.L.</t>
  </si>
  <si>
    <t>07967670725</t>
  </si>
  <si>
    <t>IT07967670725</t>
  </si>
  <si>
    <t>Barletta-Andria-Trani</t>
  </si>
  <si>
    <t>Puglia</t>
  </si>
  <si>
    <t>2324.</t>
  </si>
  <si>
    <t>SMERALDA SOCIETA' COOPERATIVA</t>
  </si>
  <si>
    <t>00870050424</t>
  </si>
  <si>
    <t>IT00870050424</t>
  </si>
  <si>
    <t>141310</t>
  </si>
  <si>
    <t>2325.</t>
  </si>
  <si>
    <t>ELIAN STUDIO S.R.L.</t>
  </si>
  <si>
    <t>02491200974</t>
  </si>
  <si>
    <t>IT02491200974</t>
  </si>
  <si>
    <t>141910</t>
  </si>
  <si>
    <t>Prato</t>
  </si>
  <si>
    <t>2326.</t>
  </si>
  <si>
    <t>COOPERATIVA SOCIALE IL SORRISO - SOC. COOP. A R.L. IN BREVE COOPERATIVA SOCIALE IL SORRISO</t>
  </si>
  <si>
    <t>00611131202</t>
  </si>
  <si>
    <t>03304930377</t>
  </si>
  <si>
    <t>IT03304930377</t>
  </si>
  <si>
    <t>Bologna</t>
  </si>
  <si>
    <t>2327.</t>
  </si>
  <si>
    <t>FASHION MODA S.R.L.</t>
  </si>
  <si>
    <t>02193220445</t>
  </si>
  <si>
    <t>IT02193220445</t>
  </si>
  <si>
    <t>2328.</t>
  </si>
  <si>
    <t>PROGETTO MODA S.R.L.</t>
  </si>
  <si>
    <t>02425200413</t>
  </si>
  <si>
    <t>IT02425200413</t>
  </si>
  <si>
    <t>Pesaro e Urbino</t>
  </si>
  <si>
    <t>2329.</t>
  </si>
  <si>
    <t>TEKNO SYSTEM SG SRL</t>
  </si>
  <si>
    <t>02539930186</t>
  </si>
  <si>
    <t>IT02539930186</t>
  </si>
  <si>
    <t>Pavia</t>
  </si>
  <si>
    <t>2330.</t>
  </si>
  <si>
    <t>GREEN GEORGE S.R.L.</t>
  </si>
  <si>
    <t>02170130443</t>
  </si>
  <si>
    <t>IT02170130443</t>
  </si>
  <si>
    <t>2331.</t>
  </si>
  <si>
    <t>MANIFATTURE ROSI S.R.L.</t>
  </si>
  <si>
    <t>00112470513</t>
  </si>
  <si>
    <t>IT00112470513</t>
  </si>
  <si>
    <t>Arezzo</t>
  </si>
  <si>
    <t>2332.</t>
  </si>
  <si>
    <t>HU'S GROUP S.R.L.</t>
  </si>
  <si>
    <t>04255280234</t>
  </si>
  <si>
    <t>IT04255280234</t>
  </si>
  <si>
    <t>2333.</t>
  </si>
  <si>
    <t>G.R.T. S.R.L.</t>
  </si>
  <si>
    <t>01934300045</t>
  </si>
  <si>
    <t>IT01934300045</t>
  </si>
  <si>
    <t>Cuneo</t>
  </si>
  <si>
    <t>Piemonte</t>
  </si>
  <si>
    <t>2334.</t>
  </si>
  <si>
    <t>VENFOR SRL</t>
  </si>
  <si>
    <t>01910821204</t>
  </si>
  <si>
    <t>IT01910821204</t>
  </si>
  <si>
    <t>2335.</t>
  </si>
  <si>
    <t>FASHION TEAM 62 - SOCIETA' A RESPONSABILITA' LIMITATA</t>
  </si>
  <si>
    <t>10561541003</t>
  </si>
  <si>
    <t>IT10561541003</t>
  </si>
  <si>
    <t>2336.</t>
  </si>
  <si>
    <t>OFFICINE S.R.L.</t>
  </si>
  <si>
    <t>03833350618</t>
  </si>
  <si>
    <t>IT03833350618</t>
  </si>
  <si>
    <t>141310</t>
  </si>
  <si>
    <t>Caserta</t>
  </si>
  <si>
    <t>Campania</t>
  </si>
  <si>
    <t>n.d.</t>
  </si>
  <si>
    <t>2337.</t>
  </si>
  <si>
    <t>CREAZIONI ANTONELLA S.R.L.</t>
  </si>
  <si>
    <t>01102710413</t>
  </si>
  <si>
    <t>IT01102710413</t>
  </si>
  <si>
    <t>Pesaro e Urbino</t>
  </si>
  <si>
    <t>Marche</t>
  </si>
  <si>
    <t>2338.</t>
  </si>
  <si>
    <t>DOMENICA BORGOGNI S.R.L.</t>
  </si>
  <si>
    <t>02263140515</t>
  </si>
  <si>
    <t>IT02263140515</t>
  </si>
  <si>
    <t>143900</t>
  </si>
  <si>
    <t>Arezzo</t>
  </si>
  <si>
    <t>Toscana</t>
  </si>
  <si>
    <t>2339.</t>
  </si>
  <si>
    <t>CALZATURIFICIO BRASILEN SOCIETA' A RESPONSABILITA' LIMITATA, IN S IGLA CALZATURIFICIO BRASILEN S.R.L.</t>
  </si>
  <si>
    <t>00639860980</t>
  </si>
  <si>
    <t>01583720170</t>
  </si>
  <si>
    <t>IT01583720170</t>
  </si>
  <si>
    <t>152010</t>
  </si>
  <si>
    <t>Brescia</t>
  </si>
  <si>
    <t>Lombardia</t>
  </si>
  <si>
    <t>2340.</t>
  </si>
  <si>
    <t>DEL DUCA S.R.L.</t>
  </si>
  <si>
    <t>07424240633</t>
  </si>
  <si>
    <t>03459131219</t>
  </si>
  <si>
    <t>IT03459131219</t>
  </si>
  <si>
    <t>152000</t>
  </si>
  <si>
    <t>Napoli</t>
  </si>
  <si>
    <t>2341.</t>
  </si>
  <si>
    <t>SAPAF - S.R.L.</t>
  </si>
  <si>
    <t>00408470482</t>
  </si>
  <si>
    <t>IT00408470482</t>
  </si>
  <si>
    <t>151209</t>
  </si>
  <si>
    <t>Firenze</t>
  </si>
  <si>
    <t>2342.</t>
  </si>
  <si>
    <t>PAMAR S.R.L.</t>
  </si>
  <si>
    <t>01707620504</t>
  </si>
  <si>
    <t>IT01707620504</t>
  </si>
  <si>
    <t>Pisa</t>
  </si>
  <si>
    <t>2343.</t>
  </si>
  <si>
    <t>CDM SERVICE SRL</t>
  </si>
  <si>
    <t>04101140285</t>
  </si>
  <si>
    <t>IT04101140285</t>
  </si>
  <si>
    <t>Padova</t>
  </si>
  <si>
    <t>Veneto</t>
  </si>
  <si>
    <t>2344.</t>
  </si>
  <si>
    <t>CASSIOPEA S.R.L.</t>
  </si>
  <si>
    <t>05626650484</t>
  </si>
  <si>
    <t>IT05626650484</t>
  </si>
  <si>
    <t>141100</t>
  </si>
  <si>
    <t>2345.</t>
  </si>
  <si>
    <t>G.G.M. S.R.L.</t>
  </si>
  <si>
    <t>07045350639</t>
  </si>
  <si>
    <t>IT07045350639</t>
  </si>
  <si>
    <t>2346.</t>
  </si>
  <si>
    <t>RAIPAN SRL</t>
  </si>
  <si>
    <t>01152260434</t>
  </si>
  <si>
    <t>IT01152260434</t>
  </si>
  <si>
    <t>Macerata</t>
  </si>
  <si>
    <t>2347.</t>
  </si>
  <si>
    <t>ACCADENIM S.R.L.</t>
  </si>
  <si>
    <t>01884840669</t>
  </si>
  <si>
    <t>IT01884840669</t>
  </si>
  <si>
    <t>Teramo</t>
  </si>
  <si>
    <t>Abruzzo</t>
  </si>
  <si>
    <t>2348.</t>
  </si>
  <si>
    <t>DUE EMME SRL</t>
  </si>
  <si>
    <t>01182230431</t>
  </si>
  <si>
    <t>IT01182230431</t>
  </si>
  <si>
    <t>152020</t>
  </si>
  <si>
    <t>2349.</t>
  </si>
  <si>
    <t>VARTES S.R.L.</t>
  </si>
  <si>
    <t>02050880208</t>
  </si>
  <si>
    <t>IT02050880208</t>
  </si>
  <si>
    <t>141400</t>
  </si>
  <si>
    <t>Mantova</t>
  </si>
  <si>
    <t>2350.</t>
  </si>
  <si>
    <t>MAGLIFICIO TRE-VI S.R.L.</t>
  </si>
  <si>
    <t>01824860124</t>
  </si>
  <si>
    <t>IT01824860124</t>
  </si>
  <si>
    <t>Varese</t>
  </si>
  <si>
    <t>2351.</t>
  </si>
  <si>
    <t>SMERIGLIATURA PELLI DILETTA S.R.L.</t>
  </si>
  <si>
    <t>01768520502</t>
  </si>
  <si>
    <t>IT01768520502</t>
  </si>
  <si>
    <t>151100</t>
  </si>
  <si>
    <t>2352.</t>
  </si>
  <si>
    <t>NIAGARA &amp; CO. SRL</t>
  </si>
  <si>
    <t>04374730168</t>
  </si>
  <si>
    <t>IT04374730168</t>
  </si>
  <si>
    <t>2353.</t>
  </si>
  <si>
    <t>DANIELA CONFEZIONI SRL</t>
  </si>
  <si>
    <t>12006450014</t>
  </si>
  <si>
    <t>IT12006450014</t>
  </si>
  <si>
    <t>Torino</t>
  </si>
  <si>
    <t>Piemonte</t>
  </si>
  <si>
    <t>2354.</t>
  </si>
  <si>
    <t>OFFICE STYLE S.R.L.</t>
  </si>
  <si>
    <t>07656760720</t>
  </si>
  <si>
    <t>IT07656760720</t>
  </si>
  <si>
    <t>Barletta-Andria-Trani</t>
  </si>
  <si>
    <t>Puglia</t>
  </si>
  <si>
    <t>2355.</t>
  </si>
  <si>
    <t>COBRA PELLETTERIE S.R.L.</t>
  </si>
  <si>
    <t>04530530486</t>
  </si>
  <si>
    <t>IT04530530486</t>
  </si>
  <si>
    <t>2356.</t>
  </si>
  <si>
    <t>GREENTEX S.R.L.</t>
  </si>
  <si>
    <t>01217760931</t>
  </si>
  <si>
    <t>IT01217760931</t>
  </si>
  <si>
    <t>Pordenone</t>
  </si>
  <si>
    <t>Friuli-Venezia Giulia</t>
  </si>
  <si>
    <t>2357.</t>
  </si>
  <si>
    <t>PAOLO DA PONTE ITALIA S.R.L.</t>
  </si>
  <si>
    <t>02785800240</t>
  </si>
  <si>
    <t>IT02785800240</t>
  </si>
  <si>
    <t>141910</t>
  </si>
  <si>
    <t>Vicenza</t>
  </si>
  <si>
    <t>2358.</t>
  </si>
  <si>
    <t>LE BLU S.R.L.</t>
  </si>
  <si>
    <t>03404510616</t>
  </si>
  <si>
    <t>IT03404510616</t>
  </si>
  <si>
    <t>2359.</t>
  </si>
  <si>
    <t>TALEA BY PERINI S.R.L.</t>
  </si>
  <si>
    <t>02297190239</t>
  </si>
  <si>
    <t>IT02297190239</t>
  </si>
  <si>
    <t>141000</t>
  </si>
  <si>
    <t>Verona</t>
  </si>
  <si>
    <t>2360.</t>
  </si>
  <si>
    <t>HATS &amp; BROTHER'S S.R.L.</t>
  </si>
  <si>
    <t>07838041213</t>
  </si>
  <si>
    <t>IT07838041213</t>
  </si>
  <si>
    <t>2361.</t>
  </si>
  <si>
    <t>CONFABI SOCIETA' A RESPONSABILITA' LIMITATA ENUNCIABILE ANCHE CON FABI S.R.L.</t>
  </si>
  <si>
    <t>00143970333</t>
  </si>
  <si>
    <t>IT00143970333</t>
  </si>
  <si>
    <t>Piacenza</t>
  </si>
  <si>
    <t>Emilia-Romagna</t>
  </si>
  <si>
    <t>2362.</t>
  </si>
  <si>
    <t>PLUSPELL SRL</t>
  </si>
  <si>
    <t>03755090242</t>
  </si>
  <si>
    <t>IT03755090242</t>
  </si>
  <si>
    <t>2363.</t>
  </si>
  <si>
    <t>FASE UNO S.R.L.</t>
  </si>
  <si>
    <t>06838290721</t>
  </si>
  <si>
    <t>IT06838290721</t>
  </si>
  <si>
    <t>Bari</t>
  </si>
  <si>
    <t>2364.</t>
  </si>
  <si>
    <t>SUOLIFICIO GBC SRL</t>
  </si>
  <si>
    <t>01476640436</t>
  </si>
  <si>
    <t>IT01476640436</t>
  </si>
  <si>
    <t>2365.</t>
  </si>
  <si>
    <t>HOLLY SHOES SRLS</t>
  </si>
  <si>
    <t>02285980443</t>
  </si>
  <si>
    <t>IT02285980443</t>
  </si>
  <si>
    <t>Fermo</t>
  </si>
  <si>
    <t>2366.</t>
  </si>
  <si>
    <t>CALZATURIFICIO LUNELLA SRL</t>
  </si>
  <si>
    <t>01815550445</t>
  </si>
  <si>
    <t>IT01815550445</t>
  </si>
  <si>
    <t>2367.</t>
  </si>
  <si>
    <t>CALZATURIFICIO MEN'S SHOES SRL</t>
  </si>
  <si>
    <t>01575130438</t>
  </si>
  <si>
    <t>IT01575130438</t>
  </si>
  <si>
    <t>2368.</t>
  </si>
  <si>
    <t>BEST CALZE S.R.L.</t>
  </si>
  <si>
    <t>04200400721</t>
  </si>
  <si>
    <t>IT04200400721</t>
  </si>
  <si>
    <t>143100</t>
  </si>
  <si>
    <t>Barletta-Andria-Trani</t>
  </si>
  <si>
    <t>Puglia</t>
  </si>
  <si>
    <t>n.d.</t>
  </si>
  <si>
    <t>2369.</t>
  </si>
  <si>
    <t>ROSE SRL</t>
  </si>
  <si>
    <t>02619510544</t>
  </si>
  <si>
    <t>IT02619510544</t>
  </si>
  <si>
    <t>141000</t>
  </si>
  <si>
    <t>Perugia</t>
  </si>
  <si>
    <t>Umbria</t>
  </si>
  <si>
    <t>2370.</t>
  </si>
  <si>
    <t>STUDIOTRENTATRE SOCIETA' A RESPONSABILITA' LIMITATA</t>
  </si>
  <si>
    <t>14227981009</t>
  </si>
  <si>
    <t>IT14227981009</t>
  </si>
  <si>
    <t>141910</t>
  </si>
  <si>
    <t>Roma</t>
  </si>
  <si>
    <t>Lazio</t>
  </si>
  <si>
    <t>2371.</t>
  </si>
  <si>
    <t>GE.CO. S.R.L.</t>
  </si>
  <si>
    <t>05293710728</t>
  </si>
  <si>
    <t>IT05293710728</t>
  </si>
  <si>
    <t>Bari</t>
  </si>
  <si>
    <t>2372.</t>
  </si>
  <si>
    <t>FUTURA - S.R.L.</t>
  </si>
  <si>
    <t>00992270504</t>
  </si>
  <si>
    <t>IT00992270504</t>
  </si>
  <si>
    <t>151100</t>
  </si>
  <si>
    <t>Pisa</t>
  </si>
  <si>
    <t>Toscana</t>
  </si>
  <si>
    <t>2373.</t>
  </si>
  <si>
    <t>SCHULTHESS S.R.L.</t>
  </si>
  <si>
    <t>01883690024</t>
  </si>
  <si>
    <t>10290150159</t>
  </si>
  <si>
    <t>IT10290150159</t>
  </si>
  <si>
    <t>141310</t>
  </si>
  <si>
    <t>Milano</t>
  </si>
  <si>
    <t>Lombardia</t>
  </si>
  <si>
    <t>2374.</t>
  </si>
  <si>
    <t>TRANCERIA LA TORRE S.R.L.</t>
  </si>
  <si>
    <t>01465070512</t>
  </si>
  <si>
    <t>IT01465070512</t>
  </si>
  <si>
    <t>152020</t>
  </si>
  <si>
    <t>Arezzo</t>
  </si>
  <si>
    <t>2375.</t>
  </si>
  <si>
    <t>RICCI ENRICO S.R.L.</t>
  </si>
  <si>
    <t>04268180405</t>
  </si>
  <si>
    <t>IT04268180405</t>
  </si>
  <si>
    <t>Forlì-Cesena</t>
  </si>
  <si>
    <t>Emilia-Romagna</t>
  </si>
  <si>
    <t>2376.</t>
  </si>
  <si>
    <t>METIKI 1863 S.R.L.</t>
  </si>
  <si>
    <t>09168790963</t>
  </si>
  <si>
    <t>IT09168790963</t>
  </si>
  <si>
    <t>141320</t>
  </si>
  <si>
    <t>2377.</t>
  </si>
  <si>
    <t>LETA SOCIETA' A RESPONSABILITA' LIMITATA IN SIGLA LETA S.R.L.</t>
  </si>
  <si>
    <t>01715730287</t>
  </si>
  <si>
    <t>IT01715730287</t>
  </si>
  <si>
    <t>Padova</t>
  </si>
  <si>
    <t>Veneto</t>
  </si>
  <si>
    <t>2378.</t>
  </si>
  <si>
    <t>GAB S.R.L.</t>
  </si>
  <si>
    <t>01649260443</t>
  </si>
  <si>
    <t>IT01649260443</t>
  </si>
  <si>
    <t>152010</t>
  </si>
  <si>
    <t>Fermo</t>
  </si>
  <si>
    <t>Marche</t>
  </si>
  <si>
    <t>2379.</t>
  </si>
  <si>
    <t>TRE CI S.R.L.</t>
  </si>
  <si>
    <t>02070710369</t>
  </si>
  <si>
    <t>IT02070710369</t>
  </si>
  <si>
    <t>Modena</t>
  </si>
  <si>
    <t>2380.</t>
  </si>
  <si>
    <t>CALZATURIFICIO DEL CARLO S.R.L.</t>
  </si>
  <si>
    <t>01633190465</t>
  </si>
  <si>
    <t>IT01633190465</t>
  </si>
  <si>
    <t>Lucca</t>
  </si>
  <si>
    <t>2381.</t>
  </si>
  <si>
    <t>G.P.M. GENOVA S.R.L.</t>
  </si>
  <si>
    <t>01685240994</t>
  </si>
  <si>
    <t>IT01685240994</t>
  </si>
  <si>
    <t>141200</t>
  </si>
  <si>
    <t>Genova</t>
  </si>
  <si>
    <t>Liguria</t>
  </si>
  <si>
    <t>2382.</t>
  </si>
  <si>
    <t>HOTHARMONY S.R.L.</t>
  </si>
  <si>
    <t>01270660721</t>
  </si>
  <si>
    <t>IT01270660721</t>
  </si>
  <si>
    <t>141929</t>
  </si>
  <si>
    <t>2383.</t>
  </si>
  <si>
    <t>SOLETTIFICIO TRIS SRL</t>
  </si>
  <si>
    <t>00427220447</t>
  </si>
  <si>
    <t>IT00427220447</t>
  </si>
  <si>
    <t>2384.</t>
  </si>
  <si>
    <t>HAUTE S.R.L.</t>
  </si>
  <si>
    <t>02016610673</t>
  </si>
  <si>
    <t>IT02016610673</t>
  </si>
  <si>
    <t>Teramo</t>
  </si>
  <si>
    <t>Abruzzo</t>
  </si>
  <si>
    <t>2385.</t>
  </si>
  <si>
    <t>PIERO TUCCI SRL</t>
  </si>
  <si>
    <t>03670890486</t>
  </si>
  <si>
    <t>IT03670890486</t>
  </si>
  <si>
    <t>151200</t>
  </si>
  <si>
    <t>Firenze</t>
  </si>
  <si>
    <t>2386.</t>
  </si>
  <si>
    <t>ST. REMY CONFEZIONI S.R.L. - IN CONCORDATO PREVENTIVO</t>
  </si>
  <si>
    <t>01880660921</t>
  </si>
  <si>
    <t>IT01880660921</t>
  </si>
  <si>
    <t>Cagliari</t>
  </si>
  <si>
    <t>Sardegna</t>
  </si>
  <si>
    <t>2387.</t>
  </si>
  <si>
    <t>MANIFATTURA TESSILE CAMPANA SRL</t>
  </si>
  <si>
    <t>07296451219</t>
  </si>
  <si>
    <t>IT07296451219</t>
  </si>
  <si>
    <t>Napoli</t>
  </si>
  <si>
    <t>Campania</t>
  </si>
  <si>
    <t>2388.</t>
  </si>
  <si>
    <t>CALZIFICIO ZETA S.R.L.</t>
  </si>
  <si>
    <t>02130820208</t>
  </si>
  <si>
    <t>IT02130820208</t>
  </si>
  <si>
    <t>Mantova</t>
  </si>
  <si>
    <t>2389.</t>
  </si>
  <si>
    <t>L.M.C. INTERNATIONAL S.R.L.</t>
  </si>
  <si>
    <t>02909660736</t>
  </si>
  <si>
    <t>IT02909660736</t>
  </si>
  <si>
    <t>Taranto</t>
  </si>
  <si>
    <t>2390.</t>
  </si>
  <si>
    <t>VF FASHION S.R.L.</t>
  </si>
  <si>
    <t>08695280720</t>
  </si>
  <si>
    <t>IT08695280720</t>
  </si>
  <si>
    <t>143900</t>
  </si>
  <si>
    <t>2391.</t>
  </si>
  <si>
    <t>GIADAMARINA S.R.L.</t>
  </si>
  <si>
    <t>03875731212</t>
  </si>
  <si>
    <t>IT03875731212</t>
  </si>
  <si>
    <t>2392.</t>
  </si>
  <si>
    <t>GENNARO GORI S.R.L.</t>
  </si>
  <si>
    <t>03093620486</t>
  </si>
  <si>
    <t>IT03093620486</t>
  </si>
  <si>
    <t>2393.</t>
  </si>
  <si>
    <t>LUPI GROUP S.R.L.</t>
  </si>
  <si>
    <t>01994830436</t>
  </si>
  <si>
    <t>IT01994830436</t>
  </si>
  <si>
    <t>151209</t>
  </si>
  <si>
    <t>Macerata</t>
  </si>
  <si>
    <t>2394.</t>
  </si>
  <si>
    <t>MAGLIFICIO EUROCOTTON SRL</t>
  </si>
  <si>
    <t>01068460474</t>
  </si>
  <si>
    <t>IT01068460474</t>
  </si>
  <si>
    <t>143000</t>
  </si>
  <si>
    <t>Pistoia</t>
  </si>
  <si>
    <t>2395.</t>
  </si>
  <si>
    <t>TRE VALLI SRL</t>
  </si>
  <si>
    <t>07686170155</t>
  </si>
  <si>
    <t>IT07686170155</t>
  </si>
  <si>
    <t>2396.</t>
  </si>
  <si>
    <t>MANIFATTURA VALDI S.R.L.</t>
  </si>
  <si>
    <t>03645840129</t>
  </si>
  <si>
    <t>IT03645840129</t>
  </si>
  <si>
    <t>Varese</t>
  </si>
  <si>
    <t>2397.</t>
  </si>
  <si>
    <t>CALZIFICIO BELLAFONTE S.R.L.</t>
  </si>
  <si>
    <t>00136590205</t>
  </si>
  <si>
    <t>IT00136590205</t>
  </si>
  <si>
    <t>2398.</t>
  </si>
  <si>
    <t>2T SPORT S.R.L.</t>
  </si>
  <si>
    <t>00782210546</t>
  </si>
  <si>
    <t>IT00782210546</t>
  </si>
  <si>
    <t>2399.</t>
  </si>
  <si>
    <t>EDER SHOES S.R.L.</t>
  </si>
  <si>
    <t>05747450723</t>
  </si>
  <si>
    <t>IT05747450723</t>
  </si>
  <si>
    <t>2400.</t>
  </si>
  <si>
    <t>DONNE DA SOGNO S.R.L.</t>
  </si>
  <si>
    <t>02198250363</t>
  </si>
  <si>
    <t>IT02198250363</t>
  </si>
  <si>
    <t>141000</t>
  </si>
  <si>
    <t>Modena</t>
  </si>
  <si>
    <t>Emilia-Romagna</t>
  </si>
  <si>
    <t>2401.</t>
  </si>
  <si>
    <t>IO PELLE S.R.L. UNIPERSONALE</t>
  </si>
  <si>
    <t>06789961213</t>
  </si>
  <si>
    <t>IT06789961213</t>
  </si>
  <si>
    <t>151209</t>
  </si>
  <si>
    <t>Napoli</t>
  </si>
  <si>
    <t>Campania</t>
  </si>
  <si>
    <t>n.d.</t>
  </si>
  <si>
    <t>2402.</t>
  </si>
  <si>
    <t>L.C.A. S.R.L.</t>
  </si>
  <si>
    <t>03880501212</t>
  </si>
  <si>
    <t>03356771216</t>
  </si>
  <si>
    <t>IT03356771216</t>
  </si>
  <si>
    <t>141310</t>
  </si>
  <si>
    <t>2403.</t>
  </si>
  <si>
    <t>FACON ITALIANA SRL</t>
  </si>
  <si>
    <t>12454011003</t>
  </si>
  <si>
    <t>IT12454011003</t>
  </si>
  <si>
    <t>141910</t>
  </si>
  <si>
    <t>Roma</t>
  </si>
  <si>
    <t>Lazio</t>
  </si>
  <si>
    <t>2404.</t>
  </si>
  <si>
    <t>NEW STEP S.R.L.</t>
  </si>
  <si>
    <t>01628630434</t>
  </si>
  <si>
    <t>IT01628630434</t>
  </si>
  <si>
    <t>152010</t>
  </si>
  <si>
    <t>Macerata</t>
  </si>
  <si>
    <t>Marche</t>
  </si>
  <si>
    <t>2405.</t>
  </si>
  <si>
    <t>BORRIELLO SHIRTS S.R.L.</t>
  </si>
  <si>
    <t>09209261214</t>
  </si>
  <si>
    <t>IT09209261214</t>
  </si>
  <si>
    <t>141400</t>
  </si>
  <si>
    <t>2406.</t>
  </si>
  <si>
    <t>DEMAR CONF. ACCESSORI S.R.L.</t>
  </si>
  <si>
    <t>02441990732</t>
  </si>
  <si>
    <t>IT02441990732</t>
  </si>
  <si>
    <t>Taranto</t>
  </si>
  <si>
    <t>Puglia</t>
  </si>
  <si>
    <t>2407.</t>
  </si>
  <si>
    <t>GUARDOLIFICIO LUCCHESE SOCIETA' A RESPONSABILITA' LIMITATA OPPURE: GUARDOLIFICIO LUCCHESE S.R.L.</t>
  </si>
  <si>
    <t>01248730465</t>
  </si>
  <si>
    <t>IT01248730465</t>
  </si>
  <si>
    <t>152020</t>
  </si>
  <si>
    <t>Lucca</t>
  </si>
  <si>
    <t>Toscana</t>
  </si>
  <si>
    <t>2408.</t>
  </si>
  <si>
    <t>MAGLIFICIO BEBY S.R.L.</t>
  </si>
  <si>
    <t>00441770476</t>
  </si>
  <si>
    <t>IT00441770476</t>
  </si>
  <si>
    <t>143900</t>
  </si>
  <si>
    <t>Pistoia</t>
  </si>
  <si>
    <t>2409.</t>
  </si>
  <si>
    <t>TAGLIERIA FAST S.R.L.</t>
  </si>
  <si>
    <t>04074410277</t>
  </si>
  <si>
    <t>IT04074410277</t>
  </si>
  <si>
    <t>141320</t>
  </si>
  <si>
    <t>Venezia</t>
  </si>
  <si>
    <t>Veneto</t>
  </si>
  <si>
    <t>2410.</t>
  </si>
  <si>
    <t>TACCHIFICIO GIORGIO S.R.L.</t>
  </si>
  <si>
    <t>01432480505</t>
  </si>
  <si>
    <t>01418790489</t>
  </si>
  <si>
    <t>IT01418790489</t>
  </si>
  <si>
    <t>Pisa</t>
  </si>
  <si>
    <t>2411.</t>
  </si>
  <si>
    <t>VUEFFE SRL</t>
  </si>
  <si>
    <t>01212470445</t>
  </si>
  <si>
    <t>IT01212470445</t>
  </si>
  <si>
    <t>Ascoli Piceno</t>
  </si>
  <si>
    <t>2412.</t>
  </si>
  <si>
    <t>PELLBASS S.R.L.</t>
  </si>
  <si>
    <t>02985230248</t>
  </si>
  <si>
    <t>IT02985230248</t>
  </si>
  <si>
    <t>141100</t>
  </si>
  <si>
    <t>Vicenza</t>
  </si>
  <si>
    <t>2413.</t>
  </si>
  <si>
    <t>INSIDER S.R.L.</t>
  </si>
  <si>
    <t>01542330673</t>
  </si>
  <si>
    <t>IT01542330673</t>
  </si>
  <si>
    <t>Teramo</t>
  </si>
  <si>
    <t>Abruzzo</t>
  </si>
  <si>
    <t>2414.</t>
  </si>
  <si>
    <t>MARTINICA BELTS S.R.L.</t>
  </si>
  <si>
    <t>03777900238</t>
  </si>
  <si>
    <t>IT03777900238</t>
  </si>
  <si>
    <t>Verona</t>
  </si>
  <si>
    <t>2415.</t>
  </si>
  <si>
    <t>TACCHIFICIO PALMA S.R.L.</t>
  </si>
  <si>
    <t>01250441217</t>
  </si>
  <si>
    <t>00889170635</t>
  </si>
  <si>
    <t>IT00889170635</t>
  </si>
  <si>
    <t>152000</t>
  </si>
  <si>
    <t>2416.</t>
  </si>
  <si>
    <t>CONFEZIONI EUROPA - S.R.L.</t>
  </si>
  <si>
    <t>01542230428</t>
  </si>
  <si>
    <t>IT01542230428</t>
  </si>
  <si>
    <t>Ancona</t>
  </si>
  <si>
    <t>2417.</t>
  </si>
  <si>
    <t>ANCILOTTO LTD SOCIETA' A RESPONSABILITA' LIMITATA</t>
  </si>
  <si>
    <t>04665450286</t>
  </si>
  <si>
    <t>IT04665450286</t>
  </si>
  <si>
    <t>141200</t>
  </si>
  <si>
    <t>Padova</t>
  </si>
  <si>
    <t>2418.</t>
  </si>
  <si>
    <t>REPTILE'S HOUSE S.R.L.</t>
  </si>
  <si>
    <t>07382480155</t>
  </si>
  <si>
    <t>IT07382480155</t>
  </si>
  <si>
    <t>Milano</t>
  </si>
  <si>
    <t>Lombardia</t>
  </si>
  <si>
    <t>2419.</t>
  </si>
  <si>
    <t>BACCARO GROUP S.R.L.</t>
  </si>
  <si>
    <t>01481300299</t>
  </si>
  <si>
    <t>IT01481300299</t>
  </si>
  <si>
    <t>Rovigo</t>
  </si>
  <si>
    <t>2420.</t>
  </si>
  <si>
    <t>CALZIFICIO CDM SRL A SOCIO UNICO</t>
  </si>
  <si>
    <t>02446980209</t>
  </si>
  <si>
    <t>IT02446980209</t>
  </si>
  <si>
    <t>143100</t>
  </si>
  <si>
    <t>Mantova</t>
  </si>
  <si>
    <t>2421.</t>
  </si>
  <si>
    <t>VIRGILIO CONCERIA ARTIGIANA S.R.L.</t>
  </si>
  <si>
    <t>00218960508</t>
  </si>
  <si>
    <t>IT00218960508</t>
  </si>
  <si>
    <t>151100</t>
  </si>
  <si>
    <t>2422.</t>
  </si>
  <si>
    <t>ELLA - LU S.R.L.</t>
  </si>
  <si>
    <t>01778780369</t>
  </si>
  <si>
    <t>IT01778780369</t>
  </si>
  <si>
    <t>2423.</t>
  </si>
  <si>
    <t>8 PROJECT SOCIETA' A RESPONSABILITA' LIMITATA SEMPLIFICATA</t>
  </si>
  <si>
    <t>09075421215</t>
  </si>
  <si>
    <t>IT09075421215</t>
  </si>
  <si>
    <t>2424.</t>
  </si>
  <si>
    <t>CABAN ROMANTIC SRLS</t>
  </si>
  <si>
    <t>04564970236</t>
  </si>
  <si>
    <t>IT04564970236</t>
  </si>
  <si>
    <t>2425.</t>
  </si>
  <si>
    <t>SIGNORE PRODUCTION S.R.L.</t>
  </si>
  <si>
    <t>03817570611</t>
  </si>
  <si>
    <t>IT03817570611</t>
  </si>
  <si>
    <t>Caserta</t>
  </si>
  <si>
    <t>2426.</t>
  </si>
  <si>
    <t>CALZIFICIO COCCOLI S.R.L.</t>
  </si>
  <si>
    <t>02062840174</t>
  </si>
  <si>
    <t>IT02062840174</t>
  </si>
  <si>
    <t>Brescia</t>
  </si>
  <si>
    <t>2427.</t>
  </si>
  <si>
    <t>FADEL S.R.L.</t>
  </si>
  <si>
    <t>01896310461</t>
  </si>
  <si>
    <t>IT01896310461</t>
  </si>
  <si>
    <t>2428.</t>
  </si>
  <si>
    <t>MGM FASHION GROUP S.R.L.</t>
  </si>
  <si>
    <t>07909761210</t>
  </si>
  <si>
    <t>IT07909761210</t>
  </si>
  <si>
    <t>2429.</t>
  </si>
  <si>
    <t>EUROPULL S.R.L.</t>
  </si>
  <si>
    <t>02402870360</t>
  </si>
  <si>
    <t>IT02402870360</t>
  </si>
  <si>
    <t>143000</t>
  </si>
  <si>
    <t>2430.</t>
  </si>
  <si>
    <t>MP MAFER PRODUCTION S.R.L.</t>
  </si>
  <si>
    <t>02349900262</t>
  </si>
  <si>
    <t>IT02349900262</t>
  </si>
  <si>
    <t>Treviso</t>
  </si>
  <si>
    <t>2431.</t>
  </si>
  <si>
    <t>TWENTY ONE S.R.L.</t>
  </si>
  <si>
    <t>03131340733</t>
  </si>
  <si>
    <t>IT03131340733</t>
  </si>
  <si>
    <t>2432.</t>
  </si>
  <si>
    <t>MONNALISA S.R.L.</t>
  </si>
  <si>
    <t>01854980032</t>
  </si>
  <si>
    <t>IT01854980032</t>
  </si>
  <si>
    <t>141000</t>
  </si>
  <si>
    <t>Novara</t>
  </si>
  <si>
    <t>Piemonte</t>
  </si>
  <si>
    <t>2433.</t>
  </si>
  <si>
    <t>PELLETTERIE TOSCANE S.R.L.</t>
  </si>
  <si>
    <t>01711240505</t>
  </si>
  <si>
    <t>IT01711240505</t>
  </si>
  <si>
    <t>141910</t>
  </si>
  <si>
    <t>Pisa</t>
  </si>
  <si>
    <t>Toscana</t>
  </si>
  <si>
    <t>2434.</t>
  </si>
  <si>
    <t>MAX COMPANY S.R.L.</t>
  </si>
  <si>
    <t>05055060262</t>
  </si>
  <si>
    <t>IT05055060262</t>
  </si>
  <si>
    <t>143900</t>
  </si>
  <si>
    <t>Treviso</t>
  </si>
  <si>
    <t>Veneto</t>
  </si>
  <si>
    <t>2435.</t>
  </si>
  <si>
    <t>ANDREA D'AMICO S.R.L.</t>
  </si>
  <si>
    <t>01817491200</t>
  </si>
  <si>
    <t>IT01817491200</t>
  </si>
  <si>
    <t>151209</t>
  </si>
  <si>
    <t>Bologna</t>
  </si>
  <si>
    <t>Emilia-Romagna</t>
  </si>
  <si>
    <t>n.d.</t>
  </si>
  <si>
    <t>2436.</t>
  </si>
  <si>
    <t>LOOK S.R.L.</t>
  </si>
  <si>
    <t>02055730127</t>
  </si>
  <si>
    <t>IT02055730127</t>
  </si>
  <si>
    <t>141310</t>
  </si>
  <si>
    <t>Varese</t>
  </si>
  <si>
    <t>Lombardia</t>
  </si>
  <si>
    <t>2437.</t>
  </si>
  <si>
    <t>DEA SRL</t>
  </si>
  <si>
    <t>02715980245</t>
  </si>
  <si>
    <t>IT02715980245</t>
  </si>
  <si>
    <t>Vicenza</t>
  </si>
  <si>
    <t>2438.</t>
  </si>
  <si>
    <t>OFFICINA DELLA BORSA S.R.L.</t>
  </si>
  <si>
    <t>04003900273</t>
  </si>
  <si>
    <t>IT04003900273</t>
  </si>
  <si>
    <t>Padova</t>
  </si>
  <si>
    <t>2439.</t>
  </si>
  <si>
    <t>SUOLIFICIO DE CAROLIS S.R.L.</t>
  </si>
  <si>
    <t>01758080442</t>
  </si>
  <si>
    <t>IT01758080442</t>
  </si>
  <si>
    <t>152020</t>
  </si>
  <si>
    <t>Fermo</t>
  </si>
  <si>
    <t>Marche</t>
  </si>
  <si>
    <t>2440.</t>
  </si>
  <si>
    <t>AERRE CONFEZIONI S.R.L.</t>
  </si>
  <si>
    <t>01459790166</t>
  </si>
  <si>
    <t>IT01459790166</t>
  </si>
  <si>
    <t>Bergamo</t>
  </si>
  <si>
    <t>2441.</t>
  </si>
  <si>
    <t>PRONTO MODA JULIA S.R.L.</t>
  </si>
  <si>
    <t>02041120979</t>
  </si>
  <si>
    <t>IT02041120979</t>
  </si>
  <si>
    <t>Prato</t>
  </si>
  <si>
    <t>2442.</t>
  </si>
  <si>
    <t>BOTTEGA QUADRA SRL</t>
  </si>
  <si>
    <t>03783430246</t>
  </si>
  <si>
    <t>IT03783430246</t>
  </si>
  <si>
    <t>2443.</t>
  </si>
  <si>
    <t>HART S.R.L.</t>
  </si>
  <si>
    <t>00297330243</t>
  </si>
  <si>
    <t>IT00297330243</t>
  </si>
  <si>
    <t>2444.</t>
  </si>
  <si>
    <t>T &amp; T TARDIA TEXTILE PROJECT S.R.L.</t>
  </si>
  <si>
    <t>02419140732</t>
  </si>
  <si>
    <t>IT02419140732</t>
  </si>
  <si>
    <t>Taranto</t>
  </si>
  <si>
    <t>Puglia</t>
  </si>
  <si>
    <t>2445.</t>
  </si>
  <si>
    <t>DROPS SRL</t>
  </si>
  <si>
    <t>11577480152</t>
  </si>
  <si>
    <t>01421210038</t>
  </si>
  <si>
    <t>IT01421210038</t>
  </si>
  <si>
    <t>Milano</t>
  </si>
  <si>
    <t>2446.</t>
  </si>
  <si>
    <t>COLORICHIARI S.R.L.</t>
  </si>
  <si>
    <t>06314290724</t>
  </si>
  <si>
    <t>IT06314290724</t>
  </si>
  <si>
    <t>Bari</t>
  </si>
  <si>
    <t>2447.</t>
  </si>
  <si>
    <t>LAMAR FLEMING &amp; CO. S.R.L.</t>
  </si>
  <si>
    <t>02345950022</t>
  </si>
  <si>
    <t>IT02345950022</t>
  </si>
  <si>
    <t>2448.</t>
  </si>
  <si>
    <t>GRUPPO INTIMO ITALIANO S.P.A.</t>
  </si>
  <si>
    <t>00411790470</t>
  </si>
  <si>
    <t>IT00411790470</t>
  </si>
  <si>
    <t>141400</t>
  </si>
  <si>
    <t>Pistoia</t>
  </si>
  <si>
    <t>2449.</t>
  </si>
  <si>
    <t>TONILAB 25 S.R.L.</t>
  </si>
  <si>
    <t>01005800501</t>
  </si>
  <si>
    <t>IT01005800501</t>
  </si>
  <si>
    <t>151100</t>
  </si>
  <si>
    <t>2450.</t>
  </si>
  <si>
    <t>CONFEZIONI VALENTINA SRL</t>
  </si>
  <si>
    <t>01680870670</t>
  </si>
  <si>
    <t>IT01680870670</t>
  </si>
  <si>
    <t>Teramo</t>
  </si>
  <si>
    <t>Abruzzo</t>
  </si>
  <si>
    <t>2451.</t>
  </si>
  <si>
    <t>F.I.M.EL. - S.R.L.</t>
  </si>
  <si>
    <t>01474810700</t>
  </si>
  <si>
    <t>IT01474810700</t>
  </si>
  <si>
    <t>Campobasso</t>
  </si>
  <si>
    <t>Molise</t>
  </si>
  <si>
    <t>2452.</t>
  </si>
  <si>
    <t>RI.PELL. S.R.L.</t>
  </si>
  <si>
    <t>01776190645</t>
  </si>
  <si>
    <t>IT01776190645</t>
  </si>
  <si>
    <t>Avellino</t>
  </si>
  <si>
    <t>Campania</t>
  </si>
  <si>
    <t>2453.</t>
  </si>
  <si>
    <t>GIANOLI S.R.L.</t>
  </si>
  <si>
    <t>01423950698</t>
  </si>
  <si>
    <t>IT01423950698</t>
  </si>
  <si>
    <t>140000</t>
  </si>
  <si>
    <t>Chieti</t>
  </si>
  <si>
    <t>2454.</t>
  </si>
  <si>
    <t>REVOLUTION SHOES S.R.L.</t>
  </si>
  <si>
    <t>06731660723</t>
  </si>
  <si>
    <t>IT06731660723</t>
  </si>
  <si>
    <t>Barletta-Andria-Trani</t>
  </si>
  <si>
    <t>2455.</t>
  </si>
  <si>
    <t>VP VERA PELLAMI SRL</t>
  </si>
  <si>
    <t>03421980248</t>
  </si>
  <si>
    <t>IT03421980248</t>
  </si>
  <si>
    <t>2456.</t>
  </si>
  <si>
    <t>LOTTINI - S.R.L.</t>
  </si>
  <si>
    <t>01250680467</t>
  </si>
  <si>
    <t>IT01250680467</t>
  </si>
  <si>
    <t>152010</t>
  </si>
  <si>
    <t>Lucca</t>
  </si>
  <si>
    <t>2457.</t>
  </si>
  <si>
    <t>MALAICA SRL</t>
  </si>
  <si>
    <t>04592730263</t>
  </si>
  <si>
    <t>IT04592730263</t>
  </si>
  <si>
    <t>2458.</t>
  </si>
  <si>
    <t>CALZATURIFICIO LIVERPOOL S.R.L.</t>
  </si>
  <si>
    <t>01583770290</t>
  </si>
  <si>
    <t>IT01583770290</t>
  </si>
  <si>
    <t>Rovigo</t>
  </si>
  <si>
    <t>2459.</t>
  </si>
  <si>
    <t>CALZATURIFICIO TAVARES S.R.L.</t>
  </si>
  <si>
    <t>03690770619</t>
  </si>
  <si>
    <t>IT03690770619</t>
  </si>
  <si>
    <t>Caserta</t>
  </si>
  <si>
    <t>2460.</t>
  </si>
  <si>
    <t>VEGA S.R.L.</t>
  </si>
  <si>
    <t>01640480537</t>
  </si>
  <si>
    <t>IT01640480537</t>
  </si>
  <si>
    <t>Grosseto</t>
  </si>
  <si>
    <t>2461.</t>
  </si>
  <si>
    <t>INCONTRO S.R.L.</t>
  </si>
  <si>
    <t>02069830285</t>
  </si>
  <si>
    <t>IT02069830285</t>
  </si>
  <si>
    <t>2462.</t>
  </si>
  <si>
    <t>LANCIO S.R.L.</t>
  </si>
  <si>
    <t>02197420447</t>
  </si>
  <si>
    <t>IT02197420447</t>
  </si>
  <si>
    <t>2463.</t>
  </si>
  <si>
    <t>GALFASHION S.R.L.</t>
  </si>
  <si>
    <t>05382140654</t>
  </si>
  <si>
    <t>IT05382140654</t>
  </si>
  <si>
    <t>141320</t>
  </si>
  <si>
    <t>Salerno</t>
  </si>
  <si>
    <t>2464.</t>
  </si>
  <si>
    <t>VALDARNOPLAST S.R.L.</t>
  </si>
  <si>
    <t>01214710509</t>
  </si>
  <si>
    <t>IT01214710509</t>
  </si>
  <si>
    <t>152010</t>
  </si>
  <si>
    <t>Pisa</t>
  </si>
  <si>
    <t>Toscana</t>
  </si>
  <si>
    <t>n.d.</t>
  </si>
  <si>
    <t>2465.</t>
  </si>
  <si>
    <t>ALTRAMODA SRL</t>
  </si>
  <si>
    <t>02577220417</t>
  </si>
  <si>
    <t>IT02577220417</t>
  </si>
  <si>
    <t>141910</t>
  </si>
  <si>
    <t>Pesaro e Urbino</t>
  </si>
  <si>
    <t>Marche</t>
  </si>
  <si>
    <t>2466.</t>
  </si>
  <si>
    <t>SOCEN S.R.L.</t>
  </si>
  <si>
    <t>02119130447</t>
  </si>
  <si>
    <t>IT02119130447</t>
  </si>
  <si>
    <t>152020</t>
  </si>
  <si>
    <t>Fermo</t>
  </si>
  <si>
    <t>2467.</t>
  </si>
  <si>
    <t>MAGLIFICIO PISANI SRL</t>
  </si>
  <si>
    <t>02524140189</t>
  </si>
  <si>
    <t>92013880189</t>
  </si>
  <si>
    <t>IT92013880189</t>
  </si>
  <si>
    <t>143900</t>
  </si>
  <si>
    <t>Pavia</t>
  </si>
  <si>
    <t>Lombardia</t>
  </si>
  <si>
    <t>2468.</t>
  </si>
  <si>
    <t>F.T.M. MAGLIERIE S.R.L.</t>
  </si>
  <si>
    <t>01619110974</t>
  </si>
  <si>
    <t>IT01619110974</t>
  </si>
  <si>
    <t>Prato</t>
  </si>
  <si>
    <t>2469.</t>
  </si>
  <si>
    <t>GRUPPO ABBIGLIAMENTO POLISI SRL</t>
  </si>
  <si>
    <t>03783891215</t>
  </si>
  <si>
    <t>IT03783891215</t>
  </si>
  <si>
    <t>141000</t>
  </si>
  <si>
    <t>Napoli</t>
  </si>
  <si>
    <t>Campania</t>
  </si>
  <si>
    <t>2470.</t>
  </si>
  <si>
    <t>CN S.R.L.</t>
  </si>
  <si>
    <t>04109160988</t>
  </si>
  <si>
    <t>IT04109160988</t>
  </si>
  <si>
    <t>141929</t>
  </si>
  <si>
    <t>Brescia</t>
  </si>
  <si>
    <t>2471.</t>
  </si>
  <si>
    <t>ARTIGIANI PELLETTIERI SRL</t>
  </si>
  <si>
    <t>01443600521</t>
  </si>
  <si>
    <t>IT01443600521</t>
  </si>
  <si>
    <t>151209</t>
  </si>
  <si>
    <t>Siena</t>
  </si>
  <si>
    <t>2472.</t>
  </si>
  <si>
    <t>EUROSTRASS S.R.L.</t>
  </si>
  <si>
    <t>03218040362</t>
  </si>
  <si>
    <t>IT03218040362</t>
  </si>
  <si>
    <t>Modena</t>
  </si>
  <si>
    <t>Emilia-Romagna</t>
  </si>
  <si>
    <t>2473.</t>
  </si>
  <si>
    <t>LICONF S.R.L.</t>
  </si>
  <si>
    <t>04602260723</t>
  </si>
  <si>
    <t>IT04602260723</t>
  </si>
  <si>
    <t>Barletta-Andria-Trani</t>
  </si>
  <si>
    <t>Puglia</t>
  </si>
  <si>
    <t>2474.</t>
  </si>
  <si>
    <t>BLUE RIBE SRL</t>
  </si>
  <si>
    <t>02673670283</t>
  </si>
  <si>
    <t>IT02673670283</t>
  </si>
  <si>
    <t>Padova</t>
  </si>
  <si>
    <t>Veneto</t>
  </si>
  <si>
    <t>2475.</t>
  </si>
  <si>
    <t>AUTORE S.R.L.</t>
  </si>
  <si>
    <t>04887331215</t>
  </si>
  <si>
    <t>IT04887331215</t>
  </si>
  <si>
    <t>141310</t>
  </si>
  <si>
    <t>2476.</t>
  </si>
  <si>
    <t>G.M.M. S.R.L.</t>
  </si>
  <si>
    <t>02224770517</t>
  </si>
  <si>
    <t>IT02224770517</t>
  </si>
  <si>
    <t>Arezzo</t>
  </si>
  <si>
    <t>2477.</t>
  </si>
  <si>
    <t>DESTA INDUSTRIE S.R.L.</t>
  </si>
  <si>
    <t>00879290799</t>
  </si>
  <si>
    <t>IT00879290799</t>
  </si>
  <si>
    <t>141200</t>
  </si>
  <si>
    <t>Catanzaro</t>
  </si>
  <si>
    <t>Calabria</t>
  </si>
  <si>
    <t>2478.</t>
  </si>
  <si>
    <t>JIBRIL S.R.L.</t>
  </si>
  <si>
    <t>01967560473</t>
  </si>
  <si>
    <t>IT01967560473</t>
  </si>
  <si>
    <t>142000</t>
  </si>
  <si>
    <t>Pistoia</t>
  </si>
  <si>
    <t>2479.</t>
  </si>
  <si>
    <t>REFEC ITALIA S.R.L.</t>
  </si>
  <si>
    <t>05573240966</t>
  </si>
  <si>
    <t>IT05573240966</t>
  </si>
  <si>
    <t>Monza e della Brianza</t>
  </si>
  <si>
    <t>2480.</t>
  </si>
  <si>
    <t>W LAB SRL</t>
  </si>
  <si>
    <t>03401510544</t>
  </si>
  <si>
    <t>IT03401510544</t>
  </si>
  <si>
    <t>Perugia</t>
  </si>
  <si>
    <t>Umbria</t>
  </si>
  <si>
    <t>2481.</t>
  </si>
  <si>
    <t>BORGOMARINO S.R.L.</t>
  </si>
  <si>
    <t>02064090687</t>
  </si>
  <si>
    <t>IT02064090687</t>
  </si>
  <si>
    <t>Pescara</t>
  </si>
  <si>
    <t>Abruzzo</t>
  </si>
  <si>
    <t>2482.</t>
  </si>
  <si>
    <t>PRINCIPE S.R.L.</t>
  </si>
  <si>
    <t>01233220506</t>
  </si>
  <si>
    <t>IT01233220506</t>
  </si>
  <si>
    <t>2483.</t>
  </si>
  <si>
    <t>S.G.L. SERVICE S.R.L.</t>
  </si>
  <si>
    <t>03784970240</t>
  </si>
  <si>
    <t>IT03784970240</t>
  </si>
  <si>
    <t>151100</t>
  </si>
  <si>
    <t>Vicenza</t>
  </si>
  <si>
    <t>2484.</t>
  </si>
  <si>
    <t>PREMI MARIA S.R.L.</t>
  </si>
  <si>
    <t>04633960234</t>
  </si>
  <si>
    <t>IT04633960234</t>
  </si>
  <si>
    <t>Verona</t>
  </si>
  <si>
    <t>2485.</t>
  </si>
  <si>
    <t>W M CREAZIONI SARTORIALI SOCIETA' A RESPONSABILITA' LIMITATA</t>
  </si>
  <si>
    <t>07446890720</t>
  </si>
  <si>
    <t>IT07446890720</t>
  </si>
  <si>
    <t>Bari</t>
  </si>
  <si>
    <t>2486.</t>
  </si>
  <si>
    <t>NUOVA ARUX SOCIETA' A RESPONSABILITA' LIMITATA</t>
  </si>
  <si>
    <t>00960160471</t>
  </si>
  <si>
    <t>IT00960160471</t>
  </si>
  <si>
    <t>2487.</t>
  </si>
  <si>
    <t>PSP COMPANY SRL</t>
  </si>
  <si>
    <t>04124880248</t>
  </si>
  <si>
    <t>IT04124880248</t>
  </si>
  <si>
    <t>2488.</t>
  </si>
  <si>
    <t>SARTORIA CARRARA S.R.L.</t>
  </si>
  <si>
    <t>01333580452</t>
  </si>
  <si>
    <t>IT01333580452</t>
  </si>
  <si>
    <t>141320</t>
  </si>
  <si>
    <t>Massa-Carrara</t>
  </si>
  <si>
    <t>2489.</t>
  </si>
  <si>
    <t>CASHMERE GS - S.R.L.</t>
  </si>
  <si>
    <t>01964810384</t>
  </si>
  <si>
    <t>IT01964810384</t>
  </si>
  <si>
    <t>143000</t>
  </si>
  <si>
    <t>Ferrara</t>
  </si>
  <si>
    <t>2490.</t>
  </si>
  <si>
    <t>CERBAI S.R.L.</t>
  </si>
  <si>
    <t>02160090508</t>
  </si>
  <si>
    <t>IT02160090508</t>
  </si>
  <si>
    <t>2491.</t>
  </si>
  <si>
    <t>MAMAC SRL</t>
  </si>
  <si>
    <t>03537080545</t>
  </si>
  <si>
    <t>IT03537080545</t>
  </si>
  <si>
    <t>2492.</t>
  </si>
  <si>
    <t>SARTORE S.R.L.</t>
  </si>
  <si>
    <t>03568930246</t>
  </si>
  <si>
    <t>IT03568930246</t>
  </si>
  <si>
    <t>2493.</t>
  </si>
  <si>
    <t>RIGA S.R.L.</t>
  </si>
  <si>
    <t>03501920544</t>
  </si>
  <si>
    <t>IT03501920544</t>
  </si>
  <si>
    <t>2494.</t>
  </si>
  <si>
    <t>SUOLIFICIO A.G. S.R.L.</t>
  </si>
  <si>
    <t>01429350430</t>
  </si>
  <si>
    <t>IT01429350430</t>
  </si>
  <si>
    <t>Macerata</t>
  </si>
  <si>
    <t>2495.</t>
  </si>
  <si>
    <t>CALZE G.M. SPORT S.R.L. SOCIETA' BENEFIT</t>
  </si>
  <si>
    <t>00110490224</t>
  </si>
  <si>
    <t>IT00110490224</t>
  </si>
  <si>
    <t>143100</t>
  </si>
  <si>
    <t>Trento</t>
  </si>
  <si>
    <t>Trentino-Alto Adige/Südtirol</t>
  </si>
  <si>
    <t>2496.</t>
  </si>
  <si>
    <t>BIOTEX S.R.L.</t>
  </si>
  <si>
    <t>01460970393</t>
  </si>
  <si>
    <t>IT01460970393</t>
  </si>
  <si>
    <t>141400</t>
  </si>
  <si>
    <t>Ravenna</t>
  </si>
  <si>
    <t>Emilia-Romagna</t>
  </si>
  <si>
    <t>2497.</t>
  </si>
  <si>
    <t>BEST GROUP ACCESSORI S.R.L. - SOCIETA' UNIPERSONALE</t>
  </si>
  <si>
    <t>02253590976</t>
  </si>
  <si>
    <t>IT02253590976</t>
  </si>
  <si>
    <t>151209</t>
  </si>
  <si>
    <t>Prato</t>
  </si>
  <si>
    <t>Toscana</t>
  </si>
  <si>
    <t>2498.</t>
  </si>
  <si>
    <t>PALMISLE SRL</t>
  </si>
  <si>
    <t>03167800246</t>
  </si>
  <si>
    <t>IT03167800246</t>
  </si>
  <si>
    <t>141929</t>
  </si>
  <si>
    <t>Vicenza</t>
  </si>
  <si>
    <t>Veneto</t>
  </si>
  <si>
    <t>2499.</t>
  </si>
  <si>
    <t>CASTELLARI DIFFUSION S.R.L.</t>
  </si>
  <si>
    <t>02541440125</t>
  </si>
  <si>
    <t>11514460150</t>
  </si>
  <si>
    <t>IT11514460150</t>
  </si>
  <si>
    <t>151200</t>
  </si>
  <si>
    <t>Varese</t>
  </si>
  <si>
    <t>Lombardia</t>
  </si>
  <si>
    <t>2500.</t>
  </si>
  <si>
    <t>PASQUINI S.R.L.</t>
  </si>
  <si>
    <t>01430200467</t>
  </si>
  <si>
    <t>IT01430200467</t>
  </si>
  <si>
    <t>152010</t>
  </si>
  <si>
    <t>Lucca</t>
  </si>
  <si>
    <t>n.d.</t>
  </si>
  <si>
    <t>2501.</t>
  </si>
  <si>
    <t>CAMICERIA CARUCCI S.R.L.</t>
  </si>
  <si>
    <t>01738900743</t>
  </si>
  <si>
    <t>IT01738900743</t>
  </si>
  <si>
    <t>141000</t>
  </si>
  <si>
    <t>Brindisi</t>
  </si>
  <si>
    <t>Puglia</t>
  </si>
  <si>
    <t>2502.</t>
  </si>
  <si>
    <t>CLUB VOLTAIRE S.R.L.</t>
  </si>
  <si>
    <t>01240910479</t>
  </si>
  <si>
    <t>IT01240910479</t>
  </si>
  <si>
    <t>Pistoia</t>
  </si>
  <si>
    <t>2503.</t>
  </si>
  <si>
    <t>MARTINA LEATHERS S.R.L.</t>
  </si>
  <si>
    <t>03898070242</t>
  </si>
  <si>
    <t>IT03898070242</t>
  </si>
  <si>
    <t>151100</t>
  </si>
  <si>
    <t>2504.</t>
  </si>
  <si>
    <t>PELLETTERIE FOTI - S.R.L. SOCIETA' A SOCIO UNICO</t>
  </si>
  <si>
    <t>06587480481</t>
  </si>
  <si>
    <t>IT06587480481</t>
  </si>
  <si>
    <t>Firenze</t>
  </si>
  <si>
    <t>2505.</t>
  </si>
  <si>
    <t>DUECCI SRL</t>
  </si>
  <si>
    <t>02435210444</t>
  </si>
  <si>
    <t>IT02435210444</t>
  </si>
  <si>
    <t>152020</t>
  </si>
  <si>
    <t>Ascoli Piceno</t>
  </si>
  <si>
    <t>Marche</t>
  </si>
  <si>
    <t>2506.</t>
  </si>
  <si>
    <t>CIELLEDUE S.R.L.</t>
  </si>
  <si>
    <t>03571800618</t>
  </si>
  <si>
    <t>IT03571800618</t>
  </si>
  <si>
    <t>Caserta</t>
  </si>
  <si>
    <t>Campania</t>
  </si>
  <si>
    <t>2507.</t>
  </si>
  <si>
    <t>STILSUOLE S.R.L.</t>
  </si>
  <si>
    <t>03800710273</t>
  </si>
  <si>
    <t>IT03800710273</t>
  </si>
  <si>
    <t>Venezia</t>
  </si>
  <si>
    <t>2508.</t>
  </si>
  <si>
    <t>CALZE ANDRE S.R.L.</t>
  </si>
  <si>
    <t>02151410988</t>
  </si>
  <si>
    <t>IT02151410988</t>
  </si>
  <si>
    <t>143100</t>
  </si>
  <si>
    <t>Brescia</t>
  </si>
  <si>
    <t>2509.</t>
  </si>
  <si>
    <t>MARINI SILVANO S.R.L.</t>
  </si>
  <si>
    <t>01503470443</t>
  </si>
  <si>
    <t>IT01503470443</t>
  </si>
  <si>
    <t>Fermo</t>
  </si>
  <si>
    <t>2510.</t>
  </si>
  <si>
    <t>NUOVA CARPI SRL</t>
  </si>
  <si>
    <t>01398850188</t>
  </si>
  <si>
    <t>IT01398850188</t>
  </si>
  <si>
    <t>Pavia</t>
  </si>
  <si>
    <t>2511.</t>
  </si>
  <si>
    <t>TACCHIFICIO NUOVA VAL DI CHIENTI SOCIETA' A RESPONSABILITA' LIMITATA (IN SIGLA TACCHIFICIO NUOVA VAL DI CHIENTI S.R.L.)</t>
  </si>
  <si>
    <t>01524460431</t>
  </si>
  <si>
    <t>IT01524460431</t>
  </si>
  <si>
    <t>Macerata</t>
  </si>
  <si>
    <t>2512.</t>
  </si>
  <si>
    <t>VIAMERCANTI - S.R.L.</t>
  </si>
  <si>
    <t>03823440650</t>
  </si>
  <si>
    <t>IT03823440650</t>
  </si>
  <si>
    <t>Salerno</t>
  </si>
  <si>
    <t>2513.</t>
  </si>
  <si>
    <t>A.G.M. S.R.L.</t>
  </si>
  <si>
    <t>06857751215</t>
  </si>
  <si>
    <t>IT06857751215</t>
  </si>
  <si>
    <t>141100</t>
  </si>
  <si>
    <t>Napoli</t>
  </si>
  <si>
    <t>2514.</t>
  </si>
  <si>
    <t>ANGIOLO FRASCONI - S.R.L.</t>
  </si>
  <si>
    <t>03153620483</t>
  </si>
  <si>
    <t>IT03153620483</t>
  </si>
  <si>
    <t>141910</t>
  </si>
  <si>
    <t>2515.</t>
  </si>
  <si>
    <t>GEA CORPORATION S.R.L.</t>
  </si>
  <si>
    <t>09929501212</t>
  </si>
  <si>
    <t>IT09929501212</t>
  </si>
  <si>
    <t>2516.</t>
  </si>
  <si>
    <t>GLOMUS SRL</t>
  </si>
  <si>
    <t>02248980282</t>
  </si>
  <si>
    <t>IT02248980282</t>
  </si>
  <si>
    <t>141310</t>
  </si>
  <si>
    <t>Padova</t>
  </si>
  <si>
    <t>2517.</t>
  </si>
  <si>
    <t>TEA - FABBRICA CALZE ELASTICHE E AFFINI S.R.L. SIGLABILE NEI CASI CONSENTITI DALLA LEGGE TEA S.R.L.</t>
  </si>
  <si>
    <t>04749040012</t>
  </si>
  <si>
    <t>IT04749040012</t>
  </si>
  <si>
    <t>Torino</t>
  </si>
  <si>
    <t>Piemonte</t>
  </si>
  <si>
    <t>2518.</t>
  </si>
  <si>
    <t>CALZATURIFICIO SOCLANI S.R.L.</t>
  </si>
  <si>
    <t>06751221216</t>
  </si>
  <si>
    <t>IT06751221216</t>
  </si>
  <si>
    <t>2519.</t>
  </si>
  <si>
    <t>ITALIAN FLAG S.R.L.</t>
  </si>
  <si>
    <t>04648660266</t>
  </si>
  <si>
    <t>IT04648660266</t>
  </si>
  <si>
    <t>2520.</t>
  </si>
  <si>
    <t>SALENTO CREAZIONI MODA S.R.L.</t>
  </si>
  <si>
    <t>04649910751</t>
  </si>
  <si>
    <t>IT04649910751</t>
  </si>
  <si>
    <t>141320</t>
  </si>
  <si>
    <t>Lecce</t>
  </si>
  <si>
    <t>2521.</t>
  </si>
  <si>
    <t>MESTRINER S.R.L.</t>
  </si>
  <si>
    <t>02436980268</t>
  </si>
  <si>
    <t>IT02436980268</t>
  </si>
  <si>
    <t>Treviso</t>
  </si>
  <si>
    <t>2522.</t>
  </si>
  <si>
    <t>SHIRT &amp; SPORT S.R.L.</t>
  </si>
  <si>
    <t>03728560651</t>
  </si>
  <si>
    <t>IT03728560651</t>
  </si>
  <si>
    <t>2523.</t>
  </si>
  <si>
    <t>ARTE SARTORIALE S.R.L.</t>
  </si>
  <si>
    <t>09089101217</t>
  </si>
  <si>
    <t>IT09089101217</t>
  </si>
  <si>
    <t>2524.</t>
  </si>
  <si>
    <t>M.E. S.R.L.</t>
  </si>
  <si>
    <t>06557640486</t>
  </si>
  <si>
    <t>IT06557640486</t>
  </si>
  <si>
    <t>2525.</t>
  </si>
  <si>
    <t>PUNTO VERDE INDUSTRIA CONFEZIONI S.R.L.</t>
  </si>
  <si>
    <t>01143340543</t>
  </si>
  <si>
    <t>IT01143340543</t>
  </si>
  <si>
    <t>Perugia</t>
  </si>
  <si>
    <t>Umbria</t>
  </si>
  <si>
    <t>2526.</t>
  </si>
  <si>
    <t>PENELOPE SRL</t>
  </si>
  <si>
    <t>02114010446</t>
  </si>
  <si>
    <t>IT02114010446</t>
  </si>
  <si>
    <t>2527.</t>
  </si>
  <si>
    <t>PISTONESI SRL</t>
  </si>
  <si>
    <t>02295560441</t>
  </si>
  <si>
    <t>IT02295560441</t>
  </si>
  <si>
    <t>2528.</t>
  </si>
  <si>
    <t>CALZE LUISA S.R.L.</t>
  </si>
  <si>
    <t>02324370986</t>
  </si>
  <si>
    <t>IT02324370986</t>
  </si>
  <si>
    <t>143100</t>
  </si>
  <si>
    <t>Brescia</t>
  </si>
  <si>
    <t>Lombardia</t>
  </si>
  <si>
    <t>2529.</t>
  </si>
  <si>
    <t>BALLARINI S.R.L.</t>
  </si>
  <si>
    <t>02551420413</t>
  </si>
  <si>
    <t>IT02551420413</t>
  </si>
  <si>
    <t>151209</t>
  </si>
  <si>
    <t>Pesaro e Urbino</t>
  </si>
  <si>
    <t>Marche</t>
  </si>
  <si>
    <t>2530.</t>
  </si>
  <si>
    <t>CONFEZIONI NADIA S.R.L.</t>
  </si>
  <si>
    <t>04857730289</t>
  </si>
  <si>
    <t>IT04857730289</t>
  </si>
  <si>
    <t>143900</t>
  </si>
  <si>
    <t>Padova</t>
  </si>
  <si>
    <t>Veneto</t>
  </si>
  <si>
    <t>2531.</t>
  </si>
  <si>
    <t>ANNIEL S.R.L.</t>
  </si>
  <si>
    <t>04561020266</t>
  </si>
  <si>
    <t>IT04561020266</t>
  </si>
  <si>
    <t>152010</t>
  </si>
  <si>
    <t>Treviso</t>
  </si>
  <si>
    <t>2532.</t>
  </si>
  <si>
    <t>CUT - SOCIETA' A RESPONSABILITA' LIMITATA</t>
  </si>
  <si>
    <t>05891501008</t>
  </si>
  <si>
    <t>IT05891501008</t>
  </si>
  <si>
    <t>141320</t>
  </si>
  <si>
    <t>Milano</t>
  </si>
  <si>
    <t>2533.</t>
  </si>
  <si>
    <t>PEVERADAMODA S.R.L</t>
  </si>
  <si>
    <t>01835500461</t>
  </si>
  <si>
    <t>IT01835500461</t>
  </si>
  <si>
    <t>Lucca</t>
  </si>
  <si>
    <t>Toscana</t>
  </si>
  <si>
    <t>n.d.</t>
  </si>
  <si>
    <t>2534.</t>
  </si>
  <si>
    <t>ALP SRL</t>
  </si>
  <si>
    <t>01997230444</t>
  </si>
  <si>
    <t>IT01997230444</t>
  </si>
  <si>
    <t>Fermo</t>
  </si>
  <si>
    <t>2535.</t>
  </si>
  <si>
    <t>RUBEK S.R.L.</t>
  </si>
  <si>
    <t>01789210430</t>
  </si>
  <si>
    <t>IT01789210430</t>
  </si>
  <si>
    <t>152020</t>
  </si>
  <si>
    <t>Macerata</t>
  </si>
  <si>
    <t>2536.</t>
  </si>
  <si>
    <t>LUCIANO S.R.L.</t>
  </si>
  <si>
    <t>03226380610</t>
  </si>
  <si>
    <t>IT03226380610</t>
  </si>
  <si>
    <t>141000</t>
  </si>
  <si>
    <t>Caserta</t>
  </si>
  <si>
    <t>Campania</t>
  </si>
  <si>
    <t>2537.</t>
  </si>
  <si>
    <t>SOLI GEROLAMO S.R.L.</t>
  </si>
  <si>
    <t>02514050166</t>
  </si>
  <si>
    <t>IT02514050166</t>
  </si>
  <si>
    <t>141910</t>
  </si>
  <si>
    <t>Bergamo</t>
  </si>
  <si>
    <t>2538.</t>
  </si>
  <si>
    <t>POLISI GROUP S.R.L.</t>
  </si>
  <si>
    <t>05947031216</t>
  </si>
  <si>
    <t>IT05947031216</t>
  </si>
  <si>
    <t>Napoli</t>
  </si>
  <si>
    <t>2539.</t>
  </si>
  <si>
    <t>LO SPECCHIO S.R.L.</t>
  </si>
  <si>
    <t>03336700830</t>
  </si>
  <si>
    <t>IT03336700830</t>
  </si>
  <si>
    <t>2540.</t>
  </si>
  <si>
    <t>STILNOVO SRL</t>
  </si>
  <si>
    <t>00180250508</t>
  </si>
  <si>
    <t>IT00180250508</t>
  </si>
  <si>
    <t>Pisa</t>
  </si>
  <si>
    <t>2541.</t>
  </si>
  <si>
    <t>ITALPRODUZIONI - S.R.L.</t>
  </si>
  <si>
    <t>07012690728</t>
  </si>
  <si>
    <t>IT07012690728</t>
  </si>
  <si>
    <t>141310</t>
  </si>
  <si>
    <t>Bari</t>
  </si>
  <si>
    <t>Puglia</t>
  </si>
  <si>
    <t>2542.</t>
  </si>
  <si>
    <t>FASHION STYLE S.R.L.</t>
  </si>
  <si>
    <t>02515380976</t>
  </si>
  <si>
    <t>IT02515380976</t>
  </si>
  <si>
    <t>Prato</t>
  </si>
  <si>
    <t>2543.</t>
  </si>
  <si>
    <t>AVA LEATHER GROUP S.R.L.</t>
  </si>
  <si>
    <t>02571200241</t>
  </si>
  <si>
    <t>IT02571200241</t>
  </si>
  <si>
    <t>151100</t>
  </si>
  <si>
    <t>Vicenza</t>
  </si>
  <si>
    <t>2544.</t>
  </si>
  <si>
    <t>CONCERIA GIADA S.P.A</t>
  </si>
  <si>
    <t>00529820243</t>
  </si>
  <si>
    <t>IT00529820243</t>
  </si>
  <si>
    <t>2545.</t>
  </si>
  <si>
    <t>DANSIDANCE SRL</t>
  </si>
  <si>
    <t>01714090196</t>
  </si>
  <si>
    <t>IT01714090196</t>
  </si>
  <si>
    <t>Cremona</t>
  </si>
  <si>
    <t>2546.</t>
  </si>
  <si>
    <t>MANIFATTURE DEL NEVOLA S.R.L.</t>
  </si>
  <si>
    <t>01559480429</t>
  </si>
  <si>
    <t>IT01559480429</t>
  </si>
  <si>
    <t>141300</t>
  </si>
  <si>
    <t>Ancona</t>
  </si>
  <si>
    <t>2547.</t>
  </si>
  <si>
    <t>MELISSA S.R.L.</t>
  </si>
  <si>
    <t>01940180506</t>
  </si>
  <si>
    <t>IT01940180506</t>
  </si>
  <si>
    <t>2548.</t>
  </si>
  <si>
    <t>WE CARE S.R.L.</t>
  </si>
  <si>
    <t>09610841000</t>
  </si>
  <si>
    <t>IT09610841000</t>
  </si>
  <si>
    <t>Perugia</t>
  </si>
  <si>
    <t>Umbria</t>
  </si>
  <si>
    <t>2549.</t>
  </si>
  <si>
    <t>DANIELA G S.R.L.</t>
  </si>
  <si>
    <t>02054150970</t>
  </si>
  <si>
    <t>IT02054150970</t>
  </si>
  <si>
    <t>2550.</t>
  </si>
  <si>
    <t>STILL 95 - S.R.L.</t>
  </si>
  <si>
    <t>02445000249</t>
  </si>
  <si>
    <t>IT02445000249</t>
  </si>
  <si>
    <t>2551.</t>
  </si>
  <si>
    <t>DICKSON S.R.L.</t>
  </si>
  <si>
    <t>05438280728</t>
  </si>
  <si>
    <t>IT05438280728</t>
  </si>
  <si>
    <t>Barletta-Andria-Trani</t>
  </si>
  <si>
    <t>2552.</t>
  </si>
  <si>
    <t>SMART LAB ITALIA SOCIETA' A RESPONSABILITA' LIMITATA</t>
  </si>
  <si>
    <t>02932520733</t>
  </si>
  <si>
    <t>IT02932520733</t>
  </si>
  <si>
    <t>2553.</t>
  </si>
  <si>
    <t>M.T.M. S.R.L.</t>
  </si>
  <si>
    <t>02482040207</t>
  </si>
  <si>
    <t>IT02482040207</t>
  </si>
  <si>
    <t>Mantova</t>
  </si>
  <si>
    <t>2554.</t>
  </si>
  <si>
    <t>FAUSTO SARI S.R.L.</t>
  </si>
  <si>
    <t>03112680263</t>
  </si>
  <si>
    <t>IT03112680263</t>
  </si>
  <si>
    <t>2555.</t>
  </si>
  <si>
    <t>CO.RI.MA. - S.R.L.</t>
  </si>
  <si>
    <t>01326130125</t>
  </si>
  <si>
    <t>04610860159</t>
  </si>
  <si>
    <t>IT04610860159</t>
  </si>
  <si>
    <t>Varese</t>
  </si>
  <si>
    <t>2556.</t>
  </si>
  <si>
    <t>ORI MODA SRL</t>
  </si>
  <si>
    <t>03887240368</t>
  </si>
  <si>
    <t>IT03887240368</t>
  </si>
  <si>
    <t>Modena</t>
  </si>
  <si>
    <t>Emilia-Romagna</t>
  </si>
  <si>
    <t>2557.</t>
  </si>
  <si>
    <t>NUOVA IMMAGINE S.R.L.</t>
  </si>
  <si>
    <t>02723930182</t>
  </si>
  <si>
    <t>IT02723930182</t>
  </si>
  <si>
    <t>Pavia</t>
  </si>
  <si>
    <t>2558.</t>
  </si>
  <si>
    <t>REGINA S.R.L.</t>
  </si>
  <si>
    <t>02607381205</t>
  </si>
  <si>
    <t>IT02607381205</t>
  </si>
  <si>
    <t>Bologna</t>
  </si>
  <si>
    <t>2559.</t>
  </si>
  <si>
    <t>SAMBATI S.R.L.</t>
  </si>
  <si>
    <t>04376710754</t>
  </si>
  <si>
    <t>IT04376710754</t>
  </si>
  <si>
    <t>Lecce</t>
  </si>
  <si>
    <t>2560.</t>
  </si>
  <si>
    <t>CONBI MODA S.R.L.</t>
  </si>
  <si>
    <t>03525470286</t>
  </si>
  <si>
    <t>IT03525470286</t>
  </si>
  <si>
    <t>141310</t>
  </si>
  <si>
    <t>Padova</t>
  </si>
  <si>
    <t>Veneto</t>
  </si>
  <si>
    <t>n.d.</t>
  </si>
  <si>
    <t>2561.</t>
  </si>
  <si>
    <t>EMME &amp; ERRE SRL</t>
  </si>
  <si>
    <t>04246230249</t>
  </si>
  <si>
    <t>IT04246230249</t>
  </si>
  <si>
    <t>151209</t>
  </si>
  <si>
    <t>Vicenza</t>
  </si>
  <si>
    <t>2562.</t>
  </si>
  <si>
    <t>SAFER BABY S.R.L.</t>
  </si>
  <si>
    <t>01334870381</t>
  </si>
  <si>
    <t>IT01334870381</t>
  </si>
  <si>
    <t>143000</t>
  </si>
  <si>
    <t>Ferrara</t>
  </si>
  <si>
    <t>Emilia-Romagna</t>
  </si>
  <si>
    <t>2563.</t>
  </si>
  <si>
    <t>MONTEVERDI S.R.L.</t>
  </si>
  <si>
    <t>03836850481</t>
  </si>
  <si>
    <t>IT03836850481</t>
  </si>
  <si>
    <t>151100</t>
  </si>
  <si>
    <t>Firenze</t>
  </si>
  <si>
    <t>Toscana</t>
  </si>
  <si>
    <t>2564.</t>
  </si>
  <si>
    <t>PESPOW S.P.A.</t>
  </si>
  <si>
    <t>03337920262</t>
  </si>
  <si>
    <t>IT03337920262</t>
  </si>
  <si>
    <t>Milano</t>
  </si>
  <si>
    <t>Lombardia</t>
  </si>
  <si>
    <t>2565.</t>
  </si>
  <si>
    <t>FORESTI S.R.L.</t>
  </si>
  <si>
    <t>01782570160</t>
  </si>
  <si>
    <t>IT01782570160</t>
  </si>
  <si>
    <t>Bergamo</t>
  </si>
  <si>
    <t>2566.</t>
  </si>
  <si>
    <t>GIANI - S.R.L.</t>
  </si>
  <si>
    <t>04098130489</t>
  </si>
  <si>
    <t>IT04098130489</t>
  </si>
  <si>
    <t>141100</t>
  </si>
  <si>
    <t>2567.</t>
  </si>
  <si>
    <t>MANIFATTURA CI-ZETA S.R.L.</t>
  </si>
  <si>
    <t>01041310176</t>
  </si>
  <si>
    <t>IT01041310176</t>
  </si>
  <si>
    <t>141929</t>
  </si>
  <si>
    <t>Brescia</t>
  </si>
  <si>
    <t>2568.</t>
  </si>
  <si>
    <t>RG ITALIA S.R.L.</t>
  </si>
  <si>
    <t>01915310476</t>
  </si>
  <si>
    <t>IT01915310476</t>
  </si>
  <si>
    <t>Pistoia</t>
  </si>
  <si>
    <t>2569.</t>
  </si>
  <si>
    <t>FESSURA ITALIA SRL SOCIETA' BENEFIT OVVERO, IN FORMA ABBREVIATA, FESSURA ITALIA S.R.L. SB O FESSURA ITALIA S.R.L.</t>
  </si>
  <si>
    <t>02178780447</t>
  </si>
  <si>
    <t>IT02178780447</t>
  </si>
  <si>
    <t>152010</t>
  </si>
  <si>
    <t>Fermo</t>
  </si>
  <si>
    <t>Marche</t>
  </si>
  <si>
    <t>2570.</t>
  </si>
  <si>
    <t>D.A.C. S.R.L.</t>
  </si>
  <si>
    <t>03477970754</t>
  </si>
  <si>
    <t>IT03477970754</t>
  </si>
  <si>
    <t>143100</t>
  </si>
  <si>
    <t>Lecce</t>
  </si>
  <si>
    <t>Puglia</t>
  </si>
  <si>
    <t>2571.</t>
  </si>
  <si>
    <t>MARESTER STYLE - S.R.L.</t>
  </si>
  <si>
    <t>01027140423</t>
  </si>
  <si>
    <t>IT01027140423</t>
  </si>
  <si>
    <t>Ancona</t>
  </si>
  <si>
    <t>2572.</t>
  </si>
  <si>
    <t>CONFEZIONI CAPPELLO S.R.L.</t>
  </si>
  <si>
    <t>07777380960</t>
  </si>
  <si>
    <t>IT07777380960</t>
  </si>
  <si>
    <t>141200</t>
  </si>
  <si>
    <t>2573.</t>
  </si>
  <si>
    <t>CONCERIA MARIO STEFANELLI &amp; FIGLI S.R.L.</t>
  </si>
  <si>
    <t>00652590506</t>
  </si>
  <si>
    <t>IT00652590506</t>
  </si>
  <si>
    <t>Pisa</t>
  </si>
  <si>
    <t>2574.</t>
  </si>
  <si>
    <t>LE SOFT S.R.L.</t>
  </si>
  <si>
    <t>04598300723</t>
  </si>
  <si>
    <t>IT04598300723</t>
  </si>
  <si>
    <t>152000</t>
  </si>
  <si>
    <t>Barletta-Andria-Trani</t>
  </si>
  <si>
    <t>2575.</t>
  </si>
  <si>
    <t>ROCCHINI S.R.L.</t>
  </si>
  <si>
    <t>01421460518</t>
  </si>
  <si>
    <t>IT01421460518</t>
  </si>
  <si>
    <t>Arezzo</t>
  </si>
  <si>
    <t>2576.</t>
  </si>
  <si>
    <t>GIL S.R.L.</t>
  </si>
  <si>
    <t>01655140364</t>
  </si>
  <si>
    <t>IT01655140364</t>
  </si>
  <si>
    <t>Modena</t>
  </si>
  <si>
    <t>2577.</t>
  </si>
  <si>
    <t>MAGLIERIE LU-IS S.R.L.</t>
  </si>
  <si>
    <t>03207830542</t>
  </si>
  <si>
    <t>IT03207830542</t>
  </si>
  <si>
    <t>143900</t>
  </si>
  <si>
    <t>Perugia</t>
  </si>
  <si>
    <t>Umbria</t>
  </si>
  <si>
    <t>2578.</t>
  </si>
  <si>
    <t>MAGLIFICIO LSM SRL</t>
  </si>
  <si>
    <t>03702490362</t>
  </si>
  <si>
    <t>IT03702490362</t>
  </si>
  <si>
    <t>2579.</t>
  </si>
  <si>
    <t>FABIOLA VINCENTI S.R.L.</t>
  </si>
  <si>
    <t>02509800542</t>
  </si>
  <si>
    <t>IT02509800542</t>
  </si>
  <si>
    <t>2580.</t>
  </si>
  <si>
    <t>CALZATURIFICIO DORIA MARIO SRL</t>
  </si>
  <si>
    <t>00140560434</t>
  </si>
  <si>
    <t>IT00140560434</t>
  </si>
  <si>
    <t>Macerata</t>
  </si>
  <si>
    <t>2581.</t>
  </si>
  <si>
    <t>PICCOLA LUDO SRL</t>
  </si>
  <si>
    <t>01936980661</t>
  </si>
  <si>
    <t>IT01936980661</t>
  </si>
  <si>
    <t>141910</t>
  </si>
  <si>
    <t>L'Aquila</t>
  </si>
  <si>
    <t>Abruzzo</t>
  </si>
  <si>
    <t>2582.</t>
  </si>
  <si>
    <t>L.G. FODERAMI S.R.L.</t>
  </si>
  <si>
    <t>05334531216</t>
  </si>
  <si>
    <t>IT05334531216</t>
  </si>
  <si>
    <t>Napoli</t>
  </si>
  <si>
    <t>Campania</t>
  </si>
  <si>
    <t>2583.</t>
  </si>
  <si>
    <t>GASTALDI AUTOMOTIVE S.R.L.</t>
  </si>
  <si>
    <t>03247800042</t>
  </si>
  <si>
    <t>IT03247800042</t>
  </si>
  <si>
    <t>Cuneo</t>
  </si>
  <si>
    <t>Piemonte</t>
  </si>
  <si>
    <t>2584.</t>
  </si>
  <si>
    <t>TOMAIFICIO SL S.R.L.</t>
  </si>
  <si>
    <t>02286680448</t>
  </si>
  <si>
    <t>IT02286680448</t>
  </si>
  <si>
    <t>152020</t>
  </si>
  <si>
    <t>2585.</t>
  </si>
  <si>
    <t>NEXT BAG S.R.L.S.</t>
  </si>
  <si>
    <t>06532150486</t>
  </si>
  <si>
    <t>IT06532150486</t>
  </si>
  <si>
    <t>2586.</t>
  </si>
  <si>
    <t>LB FASHION S.R.L.</t>
  </si>
  <si>
    <t>01391700299</t>
  </si>
  <si>
    <t>IT01391700299</t>
  </si>
  <si>
    <t>141320</t>
  </si>
  <si>
    <t>2587.</t>
  </si>
  <si>
    <t>PELLETTERIE ABL - SOCIETA' A RESPONSABILITA' LIMITATA</t>
  </si>
  <si>
    <t>02421330271</t>
  </si>
  <si>
    <t>IT02421330271</t>
  </si>
  <si>
    <t>Venezia</t>
  </si>
  <si>
    <t>2588.</t>
  </si>
  <si>
    <t>LEVANTE S.R.L.</t>
  </si>
  <si>
    <t>01521360675</t>
  </si>
  <si>
    <t>IT01521360675</t>
  </si>
  <si>
    <t>141000</t>
  </si>
  <si>
    <t>Teramo</t>
  </si>
  <si>
    <t>2589.</t>
  </si>
  <si>
    <t>NIRIS MODA S.R.L. UNIPERSONALE SEMPLIFICATA</t>
  </si>
  <si>
    <t>06514420485</t>
  </si>
  <si>
    <t>IT06514420485</t>
  </si>
  <si>
    <t>2590.</t>
  </si>
  <si>
    <t>STIRERIA LUNA 1 SOCIETA' A RESPONSABILITA' LIMITATA SEMPLIFICATA</t>
  </si>
  <si>
    <t>01923590671</t>
  </si>
  <si>
    <t>IT01923590671</t>
  </si>
  <si>
    <t>2591.</t>
  </si>
  <si>
    <t>EMME CI TEX S.R.L.</t>
  </si>
  <si>
    <t>04278960754</t>
  </si>
  <si>
    <t>IT04278960754</t>
  </si>
  <si>
    <t>2592.</t>
  </si>
  <si>
    <t>CREAZIONI MAIK S.R.L.</t>
  </si>
  <si>
    <t>04376931210</t>
  </si>
  <si>
    <t>IT04376931210</t>
  </si>
  <si>
    <t>141910</t>
  </si>
  <si>
    <t>Napoli</t>
  </si>
  <si>
    <t>Campania</t>
  </si>
  <si>
    <t>2593.</t>
  </si>
  <si>
    <t>G.R.P. S.R.L.</t>
  </si>
  <si>
    <t>01879840971</t>
  </si>
  <si>
    <t>IT01879840971</t>
  </si>
  <si>
    <t>143900</t>
  </si>
  <si>
    <t>Prato</t>
  </si>
  <si>
    <t>Toscana</t>
  </si>
  <si>
    <t>2594.</t>
  </si>
  <si>
    <t>ANDREA BOSSI S.R.L.</t>
  </si>
  <si>
    <t>03186030718</t>
  </si>
  <si>
    <t>IT03186030718</t>
  </si>
  <si>
    <t>141400</t>
  </si>
  <si>
    <t>Foggia</t>
  </si>
  <si>
    <t>Puglia</t>
  </si>
  <si>
    <t>n.d.</t>
  </si>
  <si>
    <t>2595.</t>
  </si>
  <si>
    <t>CALIMAR S.R.L.</t>
  </si>
  <si>
    <t>00487250441</t>
  </si>
  <si>
    <t>IT00487250441</t>
  </si>
  <si>
    <t>Fermo</t>
  </si>
  <si>
    <t>Marche</t>
  </si>
  <si>
    <t>2596.</t>
  </si>
  <si>
    <t>GIRONACCI PELLETTERIE SOCIETA' A RESPONSABILITA' LIMITATA IN BREVE GIRONACCI PELLETTERIE S.R.L.</t>
  </si>
  <si>
    <t>01805200449</t>
  </si>
  <si>
    <t>IT01805200449</t>
  </si>
  <si>
    <t>151209</t>
  </si>
  <si>
    <t>2597.</t>
  </si>
  <si>
    <t>M.V.M. S.R.L.</t>
  </si>
  <si>
    <t>02393170929</t>
  </si>
  <si>
    <t>IT02393170929</t>
  </si>
  <si>
    <t>141000</t>
  </si>
  <si>
    <t>Cagliari</t>
  </si>
  <si>
    <t>Sardegna</t>
  </si>
  <si>
    <t>2598.</t>
  </si>
  <si>
    <t>GAMMA 3 S.R.L.</t>
  </si>
  <si>
    <t>01813520978</t>
  </si>
  <si>
    <t>IT01813520978</t>
  </si>
  <si>
    <t>151200</t>
  </si>
  <si>
    <t>2599.</t>
  </si>
  <si>
    <t>ARMENICO SRL</t>
  </si>
  <si>
    <t>04024080246</t>
  </si>
  <si>
    <t>IT04024080246</t>
  </si>
  <si>
    <t>Vicenza</t>
  </si>
  <si>
    <t>Veneto</t>
  </si>
  <si>
    <t>2600.</t>
  </si>
  <si>
    <t>MOON FLOWER S.R.L.</t>
  </si>
  <si>
    <t>05379740631</t>
  </si>
  <si>
    <t>IT05379740631</t>
  </si>
  <si>
    <t>152010</t>
  </si>
  <si>
    <t>2601.</t>
  </si>
  <si>
    <t>DAMA S.R.L.</t>
  </si>
  <si>
    <t>02297350981</t>
  </si>
  <si>
    <t>IT02297350981</t>
  </si>
  <si>
    <t>141200</t>
  </si>
  <si>
    <t>Mantova</t>
  </si>
  <si>
    <t>Lombardia</t>
  </si>
  <si>
    <t>2602.</t>
  </si>
  <si>
    <t>MG ETRUSCO S.R.L.</t>
  </si>
  <si>
    <t>05871970488</t>
  </si>
  <si>
    <t>IT05871970488</t>
  </si>
  <si>
    <t>152020</t>
  </si>
  <si>
    <t>Firenze</t>
  </si>
  <si>
    <t>2603.</t>
  </si>
  <si>
    <t>LASER FASHION S.R.L.</t>
  </si>
  <si>
    <t>02398080644</t>
  </si>
  <si>
    <t>IT02398080644</t>
  </si>
  <si>
    <t>151100</t>
  </si>
  <si>
    <t>Avellino</t>
  </si>
  <si>
    <t>2604.</t>
  </si>
  <si>
    <t>PELLETTERIA PORTONE S.R.L.</t>
  </si>
  <si>
    <t>01801650126</t>
  </si>
  <si>
    <t>IT01801650126</t>
  </si>
  <si>
    <t>Varese</t>
  </si>
  <si>
    <t>2605.</t>
  </si>
  <si>
    <t>STUDIO DESIGN - S.R.L.</t>
  </si>
  <si>
    <t>01836970481</t>
  </si>
  <si>
    <t>IT01836970481</t>
  </si>
  <si>
    <t>2606.</t>
  </si>
  <si>
    <t>DUCANERO S.R.L.</t>
  </si>
  <si>
    <t>01765770431</t>
  </si>
  <si>
    <t>IT01765770431</t>
  </si>
  <si>
    <t>Macerata</t>
  </si>
  <si>
    <t>2607.</t>
  </si>
  <si>
    <t>GRUPPO GAMA SRL</t>
  </si>
  <si>
    <t>08311151214</t>
  </si>
  <si>
    <t>IT08311151214</t>
  </si>
  <si>
    <t>141320</t>
  </si>
  <si>
    <t>2608.</t>
  </si>
  <si>
    <t>ANTHEA S.R.L. A SOCIO UNICO</t>
  </si>
  <si>
    <t>01124160860</t>
  </si>
  <si>
    <t>IT01124160860</t>
  </si>
  <si>
    <t>Enna</t>
  </si>
  <si>
    <t>Sicilia</t>
  </si>
  <si>
    <t>2609.</t>
  </si>
  <si>
    <t>CARGERA S.R.L.</t>
  </si>
  <si>
    <t>00626540249</t>
  </si>
  <si>
    <t>03775290152</t>
  </si>
  <si>
    <t>IT03775290152</t>
  </si>
  <si>
    <t>2610.</t>
  </si>
  <si>
    <t>WIN SOCIETA' A RESPONSABILITA' LIMITATA</t>
  </si>
  <si>
    <t>07951390728</t>
  </si>
  <si>
    <t>IT07951390728</t>
  </si>
  <si>
    <t>Milano</t>
  </si>
  <si>
    <t>2611.</t>
  </si>
  <si>
    <t>MAGLIFICIO CORTESE S.R.L.</t>
  </si>
  <si>
    <t>00874620248</t>
  </si>
  <si>
    <t>IT00874620248</t>
  </si>
  <si>
    <t>2612.</t>
  </si>
  <si>
    <t>MAXIMA SRL</t>
  </si>
  <si>
    <t>10563310159</t>
  </si>
  <si>
    <t>IT10563310159</t>
  </si>
  <si>
    <t>2613.</t>
  </si>
  <si>
    <t>BRANDINA S.R.L.</t>
  </si>
  <si>
    <t>04107010409</t>
  </si>
  <si>
    <t>IT04107010409</t>
  </si>
  <si>
    <t>Rimini</t>
  </si>
  <si>
    <t>Emilia-Romagna</t>
  </si>
  <si>
    <t>2614.</t>
  </si>
  <si>
    <t>AL-AN TRICOT SRL</t>
  </si>
  <si>
    <t>02208650131</t>
  </si>
  <si>
    <t>IT02208650131</t>
  </si>
  <si>
    <t>Como</t>
  </si>
  <si>
    <t>2615.</t>
  </si>
  <si>
    <t>ILSMAN S.R.L.</t>
  </si>
  <si>
    <t>03972920247</t>
  </si>
  <si>
    <t>IT03972920247</t>
  </si>
  <si>
    <t>2616.</t>
  </si>
  <si>
    <t>DULIO ACCESSORI DI DULIO ALBERTO E C. S.R.L.</t>
  </si>
  <si>
    <t>00274450188</t>
  </si>
  <si>
    <t>IT00274450188</t>
  </si>
  <si>
    <t>Pavia</t>
  </si>
  <si>
    <t>2617.</t>
  </si>
  <si>
    <t>LUXURY CHILDREN'S WEAR S.R.L.IN FORMA ABBREVIATA LCW S.R.L.</t>
  </si>
  <si>
    <t>08441090969</t>
  </si>
  <si>
    <t>IT08441090969</t>
  </si>
  <si>
    <t>141310</t>
  </si>
  <si>
    <t>2618.</t>
  </si>
  <si>
    <t>A.CARACENI S.R.L.</t>
  </si>
  <si>
    <t>01216410157</t>
  </si>
  <si>
    <t>IT01216410157</t>
  </si>
  <si>
    <t>2619.</t>
  </si>
  <si>
    <t>VALPEL DI LAMBERTO &amp; UGO MOROZZI S.R.L.</t>
  </si>
  <si>
    <t>00839530474</t>
  </si>
  <si>
    <t>IT00839530474</t>
  </si>
  <si>
    <t>Pistoia</t>
  </si>
  <si>
    <t>2620.</t>
  </si>
  <si>
    <t>CMA MORETTA SRL</t>
  </si>
  <si>
    <t>03355100128</t>
  </si>
  <si>
    <t>IT03355100128</t>
  </si>
  <si>
    <t>2621.</t>
  </si>
  <si>
    <t>IL PUMA S.R.L.</t>
  </si>
  <si>
    <t>01760230506</t>
  </si>
  <si>
    <t>IT01760230506</t>
  </si>
  <si>
    <t>Pisa</t>
  </si>
  <si>
    <t>2622.</t>
  </si>
  <si>
    <t>B.M. S.R.L.</t>
  </si>
  <si>
    <t>00560070203</t>
  </si>
  <si>
    <t>IT00560070203</t>
  </si>
  <si>
    <t>2623.</t>
  </si>
  <si>
    <t>MYCROCLEAN ITALIA S.R.L.</t>
  </si>
  <si>
    <t>03702820964</t>
  </si>
  <si>
    <t>IT03702820964</t>
  </si>
  <si>
    <t>2624.</t>
  </si>
  <si>
    <t>AERRE GROUP S.R.L.</t>
  </si>
  <si>
    <t>09144001212</t>
  </si>
  <si>
    <t>IT09144001212</t>
  </si>
  <si>
    <t>152010</t>
  </si>
  <si>
    <t>Napoli</t>
  </si>
  <si>
    <t>Campania</t>
  </si>
  <si>
    <t>2625.</t>
  </si>
  <si>
    <t>EB FASHION S.R.L.</t>
  </si>
  <si>
    <t>02151240203</t>
  </si>
  <si>
    <t>IT02151240203</t>
  </si>
  <si>
    <t>143100</t>
  </si>
  <si>
    <t>Mantova</t>
  </si>
  <si>
    <t>Lombardia</t>
  </si>
  <si>
    <t>2626.</t>
  </si>
  <si>
    <t>MAS SRL</t>
  </si>
  <si>
    <t>04098930169</t>
  </si>
  <si>
    <t>IT04098930169</t>
  </si>
  <si>
    <t>141310</t>
  </si>
  <si>
    <t>Bergamo</t>
  </si>
  <si>
    <t>2627.</t>
  </si>
  <si>
    <t>MANIFATTURA ITALIANA S.R.L.</t>
  </si>
  <si>
    <t>02221860444</t>
  </si>
  <si>
    <t>IT02221860444</t>
  </si>
  <si>
    <t>143900</t>
  </si>
  <si>
    <t>Teramo</t>
  </si>
  <si>
    <t>Abruzzo</t>
  </si>
  <si>
    <t>n.d.</t>
  </si>
  <si>
    <t>2628.</t>
  </si>
  <si>
    <t>DE GROUP S.R.L.</t>
  </si>
  <si>
    <t>06763941215</t>
  </si>
  <si>
    <t>IT06763941215</t>
  </si>
  <si>
    <t>152020</t>
  </si>
  <si>
    <t>2629.</t>
  </si>
  <si>
    <t>NUOVA VEREGRA SOCIETA' A RESPONSABILITA 'LIMITATA</t>
  </si>
  <si>
    <t>01510970443</t>
  </si>
  <si>
    <t>IT01510970443</t>
  </si>
  <si>
    <t>Fermo</t>
  </si>
  <si>
    <t>Marche</t>
  </si>
  <si>
    <t>2630.</t>
  </si>
  <si>
    <t>CSL GROUP S.R.L.</t>
  </si>
  <si>
    <t>06808721218</t>
  </si>
  <si>
    <t>IT06808721218</t>
  </si>
  <si>
    <t>2631.</t>
  </si>
  <si>
    <t>VALERIO GIUNTOLI CORPORATION SRL</t>
  </si>
  <si>
    <t>01798100473</t>
  </si>
  <si>
    <t>IT01798100473</t>
  </si>
  <si>
    <t>Pistoia</t>
  </si>
  <si>
    <t>Toscana</t>
  </si>
  <si>
    <t>2632.</t>
  </si>
  <si>
    <t>FABBRICA 247 S.R.L.</t>
  </si>
  <si>
    <t>01943280675</t>
  </si>
  <si>
    <t>IT01943280675</t>
  </si>
  <si>
    <t>2633.</t>
  </si>
  <si>
    <t>ALBY S.R.L.</t>
  </si>
  <si>
    <t>02045550122</t>
  </si>
  <si>
    <t>IT02045550122</t>
  </si>
  <si>
    <t>141910</t>
  </si>
  <si>
    <t>Varese</t>
  </si>
  <si>
    <t>2634.</t>
  </si>
  <si>
    <t>CONFEZIONI BUFI S.R.L.</t>
  </si>
  <si>
    <t>03837380728</t>
  </si>
  <si>
    <t>IT03837380728</t>
  </si>
  <si>
    <t>Bari</t>
  </si>
  <si>
    <t>Puglia</t>
  </si>
  <si>
    <t>2635.</t>
  </si>
  <si>
    <t>BOSCHINONI S.R.L.</t>
  </si>
  <si>
    <t>03944580244</t>
  </si>
  <si>
    <t>IT03944580244</t>
  </si>
  <si>
    <t>Vicenza</t>
  </si>
  <si>
    <t>Veneto</t>
  </si>
  <si>
    <t>2636.</t>
  </si>
  <si>
    <t>LAB SRL</t>
  </si>
  <si>
    <t>07794140637</t>
  </si>
  <si>
    <t>07411290633</t>
  </si>
  <si>
    <t>IT07411290633</t>
  </si>
  <si>
    <t>2637.</t>
  </si>
  <si>
    <t>NEW IDEAL S.R.L.</t>
  </si>
  <si>
    <t>04005940160</t>
  </si>
  <si>
    <t>IT04005940160</t>
  </si>
  <si>
    <t>2638.</t>
  </si>
  <si>
    <t>COOLEST MODA S.R.L.</t>
  </si>
  <si>
    <t>02496740974</t>
  </si>
  <si>
    <t>IT02496740974</t>
  </si>
  <si>
    <t>Prato</t>
  </si>
  <si>
    <t>2639.</t>
  </si>
  <si>
    <t>CONTESSA ELDA S.R.L.</t>
  </si>
  <si>
    <t>01293450555</t>
  </si>
  <si>
    <t>IT01293450555</t>
  </si>
  <si>
    <t>141000</t>
  </si>
  <si>
    <t>Terni</t>
  </si>
  <si>
    <t>Umbria</t>
  </si>
  <si>
    <t>2640.</t>
  </si>
  <si>
    <t>SPRINT LAB S.R.L.</t>
  </si>
  <si>
    <t>08340811218</t>
  </si>
  <si>
    <t>IT08340811218</t>
  </si>
  <si>
    <t>2641.</t>
  </si>
  <si>
    <t>MAX DI PARMA S.R.L.</t>
  </si>
  <si>
    <t>01934190347</t>
  </si>
  <si>
    <t>IT01934190347</t>
  </si>
  <si>
    <t>151209</t>
  </si>
  <si>
    <t>Parma</t>
  </si>
  <si>
    <t>Emilia-Romagna</t>
  </si>
  <si>
    <t>2642.</t>
  </si>
  <si>
    <t>LUX S.R.L.</t>
  </si>
  <si>
    <t>03639051204</t>
  </si>
  <si>
    <t>IT03639051204</t>
  </si>
  <si>
    <t>Bologna</t>
  </si>
  <si>
    <t>2643.</t>
  </si>
  <si>
    <t>ANTONIA S.R.L.</t>
  </si>
  <si>
    <t>04898100757</t>
  </si>
  <si>
    <t>IT04898100757</t>
  </si>
  <si>
    <t>Lecce</t>
  </si>
  <si>
    <t>2644.</t>
  </si>
  <si>
    <t>MAURI SHOES S.R.L.</t>
  </si>
  <si>
    <t>05094780961</t>
  </si>
  <si>
    <t>IT05094780961</t>
  </si>
  <si>
    <t>Monza e della Brianza</t>
  </si>
  <si>
    <t>2645.</t>
  </si>
  <si>
    <t>STAR PLAST SRL</t>
  </si>
  <si>
    <t>02000890448</t>
  </si>
  <si>
    <t>IT02000890448</t>
  </si>
  <si>
    <t>2646.</t>
  </si>
  <si>
    <t>MARIGROUP &amp; CO. S.R.L.</t>
  </si>
  <si>
    <t>01900940501</t>
  </si>
  <si>
    <t>IT01900940501</t>
  </si>
  <si>
    <t>Pisa</t>
  </si>
  <si>
    <t>2647.</t>
  </si>
  <si>
    <t>CECILIA BENETTI SRL</t>
  </si>
  <si>
    <t>03719560363</t>
  </si>
  <si>
    <t>IT03719560363</t>
  </si>
  <si>
    <t>Modena</t>
  </si>
  <si>
    <t>2648.</t>
  </si>
  <si>
    <t>EQUIPAGE S.R.L.</t>
  </si>
  <si>
    <t>00550790349</t>
  </si>
  <si>
    <t>IT00550790349</t>
  </si>
  <si>
    <t>2649.</t>
  </si>
  <si>
    <t>MOOVE S.R.L.</t>
  </si>
  <si>
    <t>03230800363</t>
  </si>
  <si>
    <t>IT03230800363</t>
  </si>
  <si>
    <t>2650.</t>
  </si>
  <si>
    <t>F.LLI TALLI - S.R.L.</t>
  </si>
  <si>
    <t>00396650483</t>
  </si>
  <si>
    <t>IT00396650483</t>
  </si>
  <si>
    <t>Firenze</t>
  </si>
  <si>
    <t>2651.</t>
  </si>
  <si>
    <t>MAGLIFICIO BRIAN S.R.L.</t>
  </si>
  <si>
    <t>01853670246</t>
  </si>
  <si>
    <t>IT01853670246</t>
  </si>
  <si>
    <t>2652.</t>
  </si>
  <si>
    <t>TOMAIFICIO LIDIS SOCIETA' A RESPONSABILITA' LIMITATA</t>
  </si>
  <si>
    <t>01702440478</t>
  </si>
  <si>
    <t>IT01702440478</t>
  </si>
  <si>
    <t>2653.</t>
  </si>
  <si>
    <t>CONFEZIONI FRAMER S.R.L.</t>
  </si>
  <si>
    <t>02333800395</t>
  </si>
  <si>
    <t>IT02333800395</t>
  </si>
  <si>
    <t>Ravenna</t>
  </si>
  <si>
    <t>2654.</t>
  </si>
  <si>
    <t>CABAN S.R.L.</t>
  </si>
  <si>
    <t>03184110736</t>
  </si>
  <si>
    <t>IT03184110736</t>
  </si>
  <si>
    <t>Taranto</t>
  </si>
  <si>
    <t>2655.</t>
  </si>
  <si>
    <t>CONFEZIONI BIEFFE S.R.L.</t>
  </si>
  <si>
    <t>00251550976</t>
  </si>
  <si>
    <t>01197720483</t>
  </si>
  <si>
    <t>IT01197720483</t>
  </si>
  <si>
    <t>143000</t>
  </si>
  <si>
    <t>2656.</t>
  </si>
  <si>
    <t>LOIFUR S.R.L.</t>
  </si>
  <si>
    <t>01816070245</t>
  </si>
  <si>
    <t>IT01816070245</t>
  </si>
  <si>
    <t>141100</t>
  </si>
  <si>
    <t>Vicenza</t>
  </si>
  <si>
    <t>Veneto</t>
  </si>
  <si>
    <t>2657.</t>
  </si>
  <si>
    <t>CONCERIA DANIELA S.R.L.</t>
  </si>
  <si>
    <t>03948180249</t>
  </si>
  <si>
    <t>IT03948180249</t>
  </si>
  <si>
    <t>151100</t>
  </si>
  <si>
    <t>2658.</t>
  </si>
  <si>
    <t>BRENNA CONFEZIONI S.R.L.</t>
  </si>
  <si>
    <t>03557170135</t>
  </si>
  <si>
    <t>IT03557170135</t>
  </si>
  <si>
    <t>141910</t>
  </si>
  <si>
    <t>Como</t>
  </si>
  <si>
    <t>Lombardia</t>
  </si>
  <si>
    <t>2659.</t>
  </si>
  <si>
    <t>CARBOTTI S.R.L.</t>
  </si>
  <si>
    <t>01076090735</t>
  </si>
  <si>
    <t>IT01076090735</t>
  </si>
  <si>
    <t>151200</t>
  </si>
  <si>
    <t>Taranto</t>
  </si>
  <si>
    <t>Puglia</t>
  </si>
  <si>
    <t>n.d.</t>
  </si>
  <si>
    <t>2660.</t>
  </si>
  <si>
    <t>SIDNEY S.R.L.</t>
  </si>
  <si>
    <t>02321890986</t>
  </si>
  <si>
    <t>IT02321890986</t>
  </si>
  <si>
    <t>Bergamo</t>
  </si>
  <si>
    <t>2661.</t>
  </si>
  <si>
    <t>TERRIDA S.R.L.</t>
  </si>
  <si>
    <t>02058000270</t>
  </si>
  <si>
    <t>IT02058000270</t>
  </si>
  <si>
    <t>151209</t>
  </si>
  <si>
    <t>Venezia</t>
  </si>
  <si>
    <t>2662.</t>
  </si>
  <si>
    <t>PALAZZO SARTORIALE S.R.L.</t>
  </si>
  <si>
    <t>03051680738</t>
  </si>
  <si>
    <t>IT03051680738</t>
  </si>
  <si>
    <t>141310</t>
  </si>
  <si>
    <t>2663.</t>
  </si>
  <si>
    <t>M DESIGN SRL</t>
  </si>
  <si>
    <t>06848880487</t>
  </si>
  <si>
    <t>IT06848880487</t>
  </si>
  <si>
    <t>Firenze</t>
  </si>
  <si>
    <t>Toscana</t>
  </si>
  <si>
    <t>2664.</t>
  </si>
  <si>
    <t>PRODITAL ITALIA S.R.L.</t>
  </si>
  <si>
    <t>02559350240</t>
  </si>
  <si>
    <t>IT02559350240</t>
  </si>
  <si>
    <t>2665.</t>
  </si>
  <si>
    <t>KALEIDOS MODA S.R.L.</t>
  </si>
  <si>
    <t>01527660474</t>
  </si>
  <si>
    <t>IT01527660474</t>
  </si>
  <si>
    <t>Pistoia</t>
  </si>
  <si>
    <t>2666.</t>
  </si>
  <si>
    <t>BLITZ S.R.L.</t>
  </si>
  <si>
    <t>04859510655</t>
  </si>
  <si>
    <t>IT04859510655</t>
  </si>
  <si>
    <t>141000</t>
  </si>
  <si>
    <t>Salerno</t>
  </si>
  <si>
    <t>Campania</t>
  </si>
  <si>
    <t>2667.</t>
  </si>
  <si>
    <t>CASHMERE TEAM S.R.L</t>
  </si>
  <si>
    <t>01831360381</t>
  </si>
  <si>
    <t>IT01831360381</t>
  </si>
  <si>
    <t>143900</t>
  </si>
  <si>
    <t>Ferrara</t>
  </si>
  <si>
    <t>Emilia-Romagna</t>
  </si>
  <si>
    <t>2668.</t>
  </si>
  <si>
    <t>GRUPPO CALVI S.P.A.</t>
  </si>
  <si>
    <t>06954970635</t>
  </si>
  <si>
    <t>05344580633</t>
  </si>
  <si>
    <t>IT05344580633</t>
  </si>
  <si>
    <t>Napoli</t>
  </si>
  <si>
    <t>2669.</t>
  </si>
  <si>
    <t>L'ARIANNA S.R.L.</t>
  </si>
  <si>
    <t>04357491218</t>
  </si>
  <si>
    <t>IT04357491218</t>
  </si>
  <si>
    <t>152010</t>
  </si>
  <si>
    <t>2670.</t>
  </si>
  <si>
    <t>D.G. DI DI PALMA GENNARO S.R.L.</t>
  </si>
  <si>
    <t>07354071214</t>
  </si>
  <si>
    <t>IT07354071214</t>
  </si>
  <si>
    <t>2671.</t>
  </si>
  <si>
    <t>JB ERRE S.R.L.</t>
  </si>
  <si>
    <t>09776510019</t>
  </si>
  <si>
    <t>IT09776510019</t>
  </si>
  <si>
    <t>141929</t>
  </si>
  <si>
    <t>Torino</t>
  </si>
  <si>
    <t>Piemonte</t>
  </si>
  <si>
    <t>2672.</t>
  </si>
  <si>
    <t>YULKIS S.R.L.</t>
  </si>
  <si>
    <t>03451460368</t>
  </si>
  <si>
    <t>IT03451460368</t>
  </si>
  <si>
    <t>Modena</t>
  </si>
  <si>
    <t>2673.</t>
  </si>
  <si>
    <t>MANIFATTURA CECCARELLI S.R.L.</t>
  </si>
  <si>
    <t>04600010401</t>
  </si>
  <si>
    <t>IT04600010401</t>
  </si>
  <si>
    <t>Forlì-Cesena</t>
  </si>
  <si>
    <t>2674.</t>
  </si>
  <si>
    <t>MARANT SOCIETA' A RESPONSABILITA' LIMITATA IN ABBREVIAZIONE MARANT S.R.L.</t>
  </si>
  <si>
    <t>02557240641</t>
  </si>
  <si>
    <t>IT02557240641</t>
  </si>
  <si>
    <t>Avellino</t>
  </si>
  <si>
    <t>2675.</t>
  </si>
  <si>
    <t>CAMICERIA MIRA 1.4 S.R.L.</t>
  </si>
  <si>
    <t>07496590725</t>
  </si>
  <si>
    <t>IT07496590725</t>
  </si>
  <si>
    <t>141400</t>
  </si>
  <si>
    <t>Barletta-Andria-Trani</t>
  </si>
  <si>
    <t>2676.</t>
  </si>
  <si>
    <t>BORDER LINE S.R.L.</t>
  </si>
  <si>
    <t>01913530034</t>
  </si>
  <si>
    <t>IT01913530034</t>
  </si>
  <si>
    <t>Verbano-Cusio-Ossola</t>
  </si>
  <si>
    <t>2677.</t>
  </si>
  <si>
    <t>OSCI PELLAMI S.R.L.</t>
  </si>
  <si>
    <t>04646321218</t>
  </si>
  <si>
    <t>IT04646321218</t>
  </si>
  <si>
    <t>2678.</t>
  </si>
  <si>
    <t>FIMAR SRL</t>
  </si>
  <si>
    <t>08978001215</t>
  </si>
  <si>
    <t>IT08978001215</t>
  </si>
  <si>
    <t>152020</t>
  </si>
  <si>
    <t>2679.</t>
  </si>
  <si>
    <t>RENZONI ILASIO SOCIETA' A RESPONSABILITA' LIMITATA ENUNCIABILE ANCHE RENZONI ILASIO S.R.L.</t>
  </si>
  <si>
    <t>01887240446</t>
  </si>
  <si>
    <t>IT01887240446</t>
  </si>
  <si>
    <t>Fermo</t>
  </si>
  <si>
    <t>Marche</t>
  </si>
  <si>
    <t>2680.</t>
  </si>
  <si>
    <t>EXA SRL</t>
  </si>
  <si>
    <t>01729410447</t>
  </si>
  <si>
    <t>IT01729410447</t>
  </si>
  <si>
    <t>2681.</t>
  </si>
  <si>
    <t>ROBERTO MORELLI S.R.L.</t>
  </si>
  <si>
    <t>02076040449</t>
  </si>
  <si>
    <t>IT02076040449</t>
  </si>
  <si>
    <t>2682.</t>
  </si>
  <si>
    <t>POMME MANIFATTURE S.R.L.</t>
  </si>
  <si>
    <t>00547760678</t>
  </si>
  <si>
    <t>IT00547760678</t>
  </si>
  <si>
    <t>Teramo</t>
  </si>
  <si>
    <t>Abruzzo</t>
  </si>
  <si>
    <t>2683.</t>
  </si>
  <si>
    <t>GDS LAB S.R.L.</t>
  </si>
  <si>
    <t>04630180752</t>
  </si>
  <si>
    <t>IT04630180752</t>
  </si>
  <si>
    <t>Lecce</t>
  </si>
  <si>
    <t>2684.</t>
  </si>
  <si>
    <t>GIRARDI SRL</t>
  </si>
  <si>
    <t>01752120350</t>
  </si>
  <si>
    <t>IT01752120350</t>
  </si>
  <si>
    <t>143100</t>
  </si>
  <si>
    <t>Reggio nell'Emilia</t>
  </si>
  <si>
    <t>2685.</t>
  </si>
  <si>
    <t>CONCERIA BERTOLDI AL GIORIO S.R.L.</t>
  </si>
  <si>
    <t>00142130244</t>
  </si>
  <si>
    <t>IT00142130244</t>
  </si>
  <si>
    <t>2686.</t>
  </si>
  <si>
    <t>G &amp; G CONFEZIONI SRL</t>
  </si>
  <si>
    <t>06771480966</t>
  </si>
  <si>
    <t>IT06771480966</t>
  </si>
  <si>
    <t>Milano</t>
  </si>
  <si>
    <t>2687.</t>
  </si>
  <si>
    <t>IN LINE S.R.L.</t>
  </si>
  <si>
    <t>01586920447</t>
  </si>
  <si>
    <t>IT01586920447</t>
  </si>
  <si>
    <t>2688.</t>
  </si>
  <si>
    <t>ARCELLA SRL</t>
  </si>
  <si>
    <t>05003870283</t>
  </si>
  <si>
    <t>IT05003870283</t>
  </si>
  <si>
    <t>142000</t>
  </si>
  <si>
    <t>Padova</t>
  </si>
  <si>
    <t>Veneto</t>
  </si>
  <si>
    <t>n.d.</t>
  </si>
  <si>
    <t>2689.</t>
  </si>
  <si>
    <t>ALPACA S.R.L.</t>
  </si>
  <si>
    <t>02304610500</t>
  </si>
  <si>
    <t>IT02304610500</t>
  </si>
  <si>
    <t>151100</t>
  </si>
  <si>
    <t>Pisa</t>
  </si>
  <si>
    <t>Toscana</t>
  </si>
  <si>
    <t>2690.</t>
  </si>
  <si>
    <t>C.L. CALZATURIFICIO SOCIETA' COOPERATIVA</t>
  </si>
  <si>
    <t>04203940616</t>
  </si>
  <si>
    <t>IT04203940616</t>
  </si>
  <si>
    <t>152010</t>
  </si>
  <si>
    <t>Caserta</t>
  </si>
  <si>
    <t>Campania</t>
  </si>
  <si>
    <t>2691.</t>
  </si>
  <si>
    <t>SABOR SHOES S.R.L.</t>
  </si>
  <si>
    <t>02482460462</t>
  </si>
  <si>
    <t>IT02482460462</t>
  </si>
  <si>
    <t>Lucca</t>
  </si>
  <si>
    <t>2692.</t>
  </si>
  <si>
    <t>SUOLIFICIO GALLETTI S.R.L.</t>
  </si>
  <si>
    <t>02292460447</t>
  </si>
  <si>
    <t>IT02292460447</t>
  </si>
  <si>
    <t>152020</t>
  </si>
  <si>
    <t>Fermo</t>
  </si>
  <si>
    <t>Marche</t>
  </si>
  <si>
    <t>2693.</t>
  </si>
  <si>
    <t>PROJECT S.R.L.</t>
  </si>
  <si>
    <t>03527450369</t>
  </si>
  <si>
    <t>IT03527450369</t>
  </si>
  <si>
    <t>143900</t>
  </si>
  <si>
    <t>Modena</t>
  </si>
  <si>
    <t>Emilia-Romagna</t>
  </si>
  <si>
    <t>2694.</t>
  </si>
  <si>
    <t>EGG S.R.L.</t>
  </si>
  <si>
    <t>01900050434</t>
  </si>
  <si>
    <t>IT01900050434</t>
  </si>
  <si>
    <t>Ancona</t>
  </si>
  <si>
    <t>2695.</t>
  </si>
  <si>
    <t>TESSILE SAN FERMO S.R.L.</t>
  </si>
  <si>
    <t>03546060132</t>
  </si>
  <si>
    <t>IT03546060132</t>
  </si>
  <si>
    <t>141910</t>
  </si>
  <si>
    <t>Como</t>
  </si>
  <si>
    <t>Lombardia</t>
  </si>
  <si>
    <t>2696.</t>
  </si>
  <si>
    <t>LABOR SRL</t>
  </si>
  <si>
    <t>00485820500</t>
  </si>
  <si>
    <t>IT00485820500</t>
  </si>
  <si>
    <t>151209</t>
  </si>
  <si>
    <t>2697.</t>
  </si>
  <si>
    <t>NEW TERCONF S.R.L.</t>
  </si>
  <si>
    <t>01576300675</t>
  </si>
  <si>
    <t>IT01576300675</t>
  </si>
  <si>
    <t>141310</t>
  </si>
  <si>
    <t>Teramo</t>
  </si>
  <si>
    <t>Abruzzo</t>
  </si>
  <si>
    <t>2698.</t>
  </si>
  <si>
    <t>MAF SRL</t>
  </si>
  <si>
    <t>01746110442</t>
  </si>
  <si>
    <t>IT01746110442</t>
  </si>
  <si>
    <t>2699.</t>
  </si>
  <si>
    <t>CONFEZIONI KATY S.R.L.</t>
  </si>
  <si>
    <t>00326860194</t>
  </si>
  <si>
    <t>IT00326860194</t>
  </si>
  <si>
    <t>Cremona</t>
  </si>
  <si>
    <t>2700.</t>
  </si>
  <si>
    <t>ITALKIDS SRL</t>
  </si>
  <si>
    <t>07729900725</t>
  </si>
  <si>
    <t>IT07729900725</t>
  </si>
  <si>
    <t>Bari</t>
  </si>
  <si>
    <t>Puglia</t>
  </si>
  <si>
    <t>2701.</t>
  </si>
  <si>
    <t>DALMUT S.R.L.</t>
  </si>
  <si>
    <t>02436110742</t>
  </si>
  <si>
    <t>IT02436110742</t>
  </si>
  <si>
    <t>Brindisi</t>
  </si>
  <si>
    <t>2702.</t>
  </si>
  <si>
    <t>SFERA S.R.L.</t>
  </si>
  <si>
    <t>03764540369</t>
  </si>
  <si>
    <t>IT03764540369</t>
  </si>
  <si>
    <t>2703.</t>
  </si>
  <si>
    <t>ALTILE SOCIETA' A RESPONSABILITA' LIMITATA</t>
  </si>
  <si>
    <t>00321610420</t>
  </si>
  <si>
    <t>IT00321610420</t>
  </si>
  <si>
    <t>2704.</t>
  </si>
  <si>
    <t>ACQUASARTA S.R.L.</t>
  </si>
  <si>
    <t>03568290542</t>
  </si>
  <si>
    <t>IT03568290542</t>
  </si>
  <si>
    <t>Pesaro e Urbino</t>
  </si>
  <si>
    <t>2705.</t>
  </si>
  <si>
    <t>EVER S.R.L.</t>
  </si>
  <si>
    <t>02135160972</t>
  </si>
  <si>
    <t>IT02135160972</t>
  </si>
  <si>
    <t>141000</t>
  </si>
  <si>
    <t>Prato</t>
  </si>
  <si>
    <t>2706.</t>
  </si>
  <si>
    <t>ENNE VU S.R.L.</t>
  </si>
  <si>
    <t>00626241202</t>
  </si>
  <si>
    <t>03489250377</t>
  </si>
  <si>
    <t>IT03489250377</t>
  </si>
  <si>
    <t>Bologna</t>
  </si>
  <si>
    <t>2707.</t>
  </si>
  <si>
    <t>ALDO CASTAGNA S.R.L.</t>
  </si>
  <si>
    <t>04004421212</t>
  </si>
  <si>
    <t>07402000637</t>
  </si>
  <si>
    <t>IT07402000637</t>
  </si>
  <si>
    <t>152000</t>
  </si>
  <si>
    <t>Napoli</t>
  </si>
  <si>
    <t>2708.</t>
  </si>
  <si>
    <t>GROUP ITALIA S.R.L.</t>
  </si>
  <si>
    <t>02073070688</t>
  </si>
  <si>
    <t>IT02073070688</t>
  </si>
  <si>
    <t>Pescara</t>
  </si>
  <si>
    <t>2709.</t>
  </si>
  <si>
    <t>CONFEZIONI MANUELA S.R.L.</t>
  </si>
  <si>
    <t>01123130476</t>
  </si>
  <si>
    <t>IT01123130476</t>
  </si>
  <si>
    <t>141400</t>
  </si>
  <si>
    <t>Pistoia</t>
  </si>
  <si>
    <t>2710.</t>
  </si>
  <si>
    <t>FAVRE S.R.L.</t>
  </si>
  <si>
    <t>05960830015</t>
  </si>
  <si>
    <t>IT05960830015</t>
  </si>
  <si>
    <t>Torino</t>
  </si>
  <si>
    <t>Piemonte</t>
  </si>
  <si>
    <t>2711.</t>
  </si>
  <si>
    <t>CONSULT LINE S.R.L.</t>
  </si>
  <si>
    <t>01728280262</t>
  </si>
  <si>
    <t>IT01728280262</t>
  </si>
  <si>
    <t>Treviso</t>
  </si>
  <si>
    <t>2712.</t>
  </si>
  <si>
    <t>PELLETTERIA 2 A S.R.L.</t>
  </si>
  <si>
    <t>06575710485</t>
  </si>
  <si>
    <t>IT06575710485</t>
  </si>
  <si>
    <t>Firenze</t>
  </si>
  <si>
    <t>2713.</t>
  </si>
  <si>
    <t>CALZATURIFICIO ROMANO MARTEGANI S.R.L.</t>
  </si>
  <si>
    <t>00196340129</t>
  </si>
  <si>
    <t>IT00196340129</t>
  </si>
  <si>
    <t>Monza e della Brianza</t>
  </si>
  <si>
    <t>2714.</t>
  </si>
  <si>
    <t>START SRL</t>
  </si>
  <si>
    <t>02236470502</t>
  </si>
  <si>
    <t>IT02236470502</t>
  </si>
  <si>
    <t>2715.</t>
  </si>
  <si>
    <t>DDG GROUP S.R.L.</t>
  </si>
  <si>
    <t>06328240483</t>
  </si>
  <si>
    <t>IT06328240483</t>
  </si>
  <si>
    <t>141200</t>
  </si>
  <si>
    <t>2716.</t>
  </si>
  <si>
    <t>FASHION MARKET S.R.L.</t>
  </si>
  <si>
    <t>01836380434</t>
  </si>
  <si>
    <t>IT01836380434</t>
  </si>
  <si>
    <t>Macerata</t>
  </si>
  <si>
    <t>2717.</t>
  </si>
  <si>
    <t>CO.PE.CA. S.R.L.</t>
  </si>
  <si>
    <t>06145421217</t>
  </si>
  <si>
    <t>IT06145421217</t>
  </si>
  <si>
    <t>2718.</t>
  </si>
  <si>
    <t>S.L.K. VERDECCHIA S.R.L.</t>
  </si>
  <si>
    <t>01083860435</t>
  </si>
  <si>
    <t>IT01083860435</t>
  </si>
  <si>
    <t>2719.</t>
  </si>
  <si>
    <t>M2 S.R.L.</t>
  </si>
  <si>
    <t>03680290966</t>
  </si>
  <si>
    <t>IT03680290966</t>
  </si>
  <si>
    <t>2720.</t>
  </si>
  <si>
    <t>SERVICEMODA S.R.L.</t>
  </si>
  <si>
    <t>06927740966</t>
  </si>
  <si>
    <t>IT06927740966</t>
  </si>
  <si>
    <t>141000</t>
  </si>
  <si>
    <t>Milano</t>
  </si>
  <si>
    <t>Lombardia</t>
  </si>
  <si>
    <t>n.d.</t>
  </si>
  <si>
    <t>2721.</t>
  </si>
  <si>
    <t>ITALSUOLE SRL</t>
  </si>
  <si>
    <t>07140530630</t>
  </si>
  <si>
    <t>06993030631</t>
  </si>
  <si>
    <t>IT06993030631</t>
  </si>
  <si>
    <t>152020</t>
  </si>
  <si>
    <t>Caserta</t>
  </si>
  <si>
    <t>Campania</t>
  </si>
  <si>
    <t>2722.</t>
  </si>
  <si>
    <t>PREZIOSO GROUP S.R.L.</t>
  </si>
  <si>
    <t>08138791218</t>
  </si>
  <si>
    <t>IT08138791218</t>
  </si>
  <si>
    <t>152010</t>
  </si>
  <si>
    <t>Napoli</t>
  </si>
  <si>
    <t>2723.</t>
  </si>
  <si>
    <t>MAGLIA CLUB S.R.L.</t>
  </si>
  <si>
    <t>00690960190</t>
  </si>
  <si>
    <t>IT00690960190</t>
  </si>
  <si>
    <t>Cremona</t>
  </si>
  <si>
    <t>2724.</t>
  </si>
  <si>
    <t>AMARYNTH S.R.L.</t>
  </si>
  <si>
    <t>03512450366</t>
  </si>
  <si>
    <t>IT03512450366</t>
  </si>
  <si>
    <t>141310</t>
  </si>
  <si>
    <t>Modena</t>
  </si>
  <si>
    <t>Emilia-Romagna</t>
  </si>
  <si>
    <t>2725.</t>
  </si>
  <si>
    <t>CAMPLIN S.R.L.</t>
  </si>
  <si>
    <t>04456650235</t>
  </si>
  <si>
    <t>IT04456650235</t>
  </si>
  <si>
    <t>Verona</t>
  </si>
  <si>
    <t>Veneto</t>
  </si>
  <si>
    <t>2726.</t>
  </si>
  <si>
    <t>ELLE S.R.L.</t>
  </si>
  <si>
    <t>03943150163</t>
  </si>
  <si>
    <t>IT03943150163</t>
  </si>
  <si>
    <t>Bergamo</t>
  </si>
  <si>
    <t>2727.</t>
  </si>
  <si>
    <t>ITALIANA SPORT S.R.L.</t>
  </si>
  <si>
    <t>01230910687</t>
  </si>
  <si>
    <t>IT01230910687</t>
  </si>
  <si>
    <t>141929</t>
  </si>
  <si>
    <t>Pescara</t>
  </si>
  <si>
    <t>Abruzzo</t>
  </si>
  <si>
    <t>2728.</t>
  </si>
  <si>
    <t>CAMICERIA VALERY S.R.L.</t>
  </si>
  <si>
    <t>01344141211</t>
  </si>
  <si>
    <t>04594810634</t>
  </si>
  <si>
    <t>IT04594810634</t>
  </si>
  <si>
    <t>141400</t>
  </si>
  <si>
    <t>2729.</t>
  </si>
  <si>
    <t>PALMADORO SRL</t>
  </si>
  <si>
    <t>03071830123</t>
  </si>
  <si>
    <t>IT03071830123</t>
  </si>
  <si>
    <t>Varese</t>
  </si>
  <si>
    <t>2730.</t>
  </si>
  <si>
    <t>FRADA S.R.L.</t>
  </si>
  <si>
    <t>03216840268</t>
  </si>
  <si>
    <t>IT03216840268</t>
  </si>
  <si>
    <t>Treviso</t>
  </si>
  <si>
    <t>2731.</t>
  </si>
  <si>
    <t>IL TRIFOGLIO S.R.L. .</t>
  </si>
  <si>
    <t>01522060233</t>
  </si>
  <si>
    <t>IT01522060233</t>
  </si>
  <si>
    <t>2732.</t>
  </si>
  <si>
    <t>EUROPEAN COMFORT S.R.L.</t>
  </si>
  <si>
    <t>03887590234</t>
  </si>
  <si>
    <t>IT03887590234</t>
  </si>
  <si>
    <t>2733.</t>
  </si>
  <si>
    <t>VETTA SRL</t>
  </si>
  <si>
    <t>03960150245</t>
  </si>
  <si>
    <t>IT03960150245</t>
  </si>
  <si>
    <t>Vicenza</t>
  </si>
  <si>
    <t>2734.</t>
  </si>
  <si>
    <t>TABULA RASA S.R.L.</t>
  </si>
  <si>
    <t>01718990367</t>
  </si>
  <si>
    <t>IT01718990367</t>
  </si>
  <si>
    <t>143900</t>
  </si>
  <si>
    <t>2735.</t>
  </si>
  <si>
    <t>DESTRO DIFFUSIONE S.R.L.</t>
  </si>
  <si>
    <t>02461210284</t>
  </si>
  <si>
    <t>IT02461210284</t>
  </si>
  <si>
    <t>141910</t>
  </si>
  <si>
    <t>Padova</t>
  </si>
  <si>
    <t>2736.</t>
  </si>
  <si>
    <t>PELLETTERIA Z3 SRL</t>
  </si>
  <si>
    <t>13177730150</t>
  </si>
  <si>
    <t>IT13177730150</t>
  </si>
  <si>
    <t>151200</t>
  </si>
  <si>
    <t>2737.</t>
  </si>
  <si>
    <t>CALZATURIFICIO RI.ST. S.R.L. UNIPERSONALE</t>
  </si>
  <si>
    <t>01841220443</t>
  </si>
  <si>
    <t>IT01841220443</t>
  </si>
  <si>
    <t>Fermo</t>
  </si>
  <si>
    <t>Marche</t>
  </si>
  <si>
    <t>2738.</t>
  </si>
  <si>
    <t>PRES S.R.L.</t>
  </si>
  <si>
    <t>01478870445</t>
  </si>
  <si>
    <t>IT01478870445</t>
  </si>
  <si>
    <t>151100</t>
  </si>
  <si>
    <t>2739.</t>
  </si>
  <si>
    <t>SUOLIFICIO G.L. S.R.L.</t>
  </si>
  <si>
    <t>01604350445</t>
  </si>
  <si>
    <t>IT01604350445</t>
  </si>
  <si>
    <t>2740.</t>
  </si>
  <si>
    <t>CONFEZIONI GRAZIA S.R.L.</t>
  </si>
  <si>
    <t>00683370191</t>
  </si>
  <si>
    <t>IT00683370191</t>
  </si>
  <si>
    <t>2741.</t>
  </si>
  <si>
    <t>PARAHSOL S.R.L.</t>
  </si>
  <si>
    <t>03056780590</t>
  </si>
  <si>
    <t>IT03056780590</t>
  </si>
  <si>
    <t>2742.</t>
  </si>
  <si>
    <t>LGN ITALIA S.R.L.</t>
  </si>
  <si>
    <t>02345300442</t>
  </si>
  <si>
    <t>IT02345300442</t>
  </si>
  <si>
    <t>2743.</t>
  </si>
  <si>
    <t>FRAGOMENI GROUP S.R.L.</t>
  </si>
  <si>
    <t>04753910282</t>
  </si>
  <si>
    <t>IT04753910282</t>
  </si>
  <si>
    <t>Venezia</t>
  </si>
  <si>
    <t>2744.</t>
  </si>
  <si>
    <t>BASIC S.R.L.</t>
  </si>
  <si>
    <t>03929100612</t>
  </si>
  <si>
    <t>IT03929100612</t>
  </si>
  <si>
    <t>2745.</t>
  </si>
  <si>
    <t>CONCERIA ITALPELLI S.R.L.</t>
  </si>
  <si>
    <t>02772810640</t>
  </si>
  <si>
    <t>IT02772810640</t>
  </si>
  <si>
    <t>Avellino</t>
  </si>
  <si>
    <t>2746.</t>
  </si>
  <si>
    <t>CALZATURIFICIO OSCAR SPORT S.R.L</t>
  </si>
  <si>
    <t>04316980269</t>
  </si>
  <si>
    <t>IT04316980269</t>
  </si>
  <si>
    <t>2747.</t>
  </si>
  <si>
    <t>C3 GROUP SRL</t>
  </si>
  <si>
    <t>01138140445</t>
  </si>
  <si>
    <t>IT01138140445</t>
  </si>
  <si>
    <t>2748.</t>
  </si>
  <si>
    <t>ASCOT S.P.A.</t>
  </si>
  <si>
    <t>00707110508</t>
  </si>
  <si>
    <t>IT00707110508</t>
  </si>
  <si>
    <t>Pisa</t>
  </si>
  <si>
    <t>Toscana</t>
  </si>
  <si>
    <t>2749.</t>
  </si>
  <si>
    <t>ALEVI' SRL</t>
  </si>
  <si>
    <t>04351360401</t>
  </si>
  <si>
    <t>IT04351360401</t>
  </si>
  <si>
    <t>Forlì-Cesena</t>
  </si>
  <si>
    <t>2750.</t>
  </si>
  <si>
    <t>SEVEN PELLETTERIA S.R.L.</t>
  </si>
  <si>
    <t>08114251211</t>
  </si>
  <si>
    <t>IT08114251211</t>
  </si>
  <si>
    <t>151209</t>
  </si>
  <si>
    <t>2751.</t>
  </si>
  <si>
    <t>RGS DIFFUSION S.R.L.</t>
  </si>
  <si>
    <t>07367580011</t>
  </si>
  <si>
    <t>IT07367580011</t>
  </si>
  <si>
    <t>Torino</t>
  </si>
  <si>
    <t>Piemonte</t>
  </si>
  <si>
    <t>2752.</t>
  </si>
  <si>
    <t>BRANDING PRO S.R.L.</t>
  </si>
  <si>
    <t>04164020242</t>
  </si>
  <si>
    <t>IT04164020242</t>
  </si>
  <si>
    <t>141910</t>
  </si>
  <si>
    <t>Vicenza</t>
  </si>
  <si>
    <t>Veneto</t>
  </si>
  <si>
    <t>n.d.</t>
  </si>
  <si>
    <t>2753.</t>
  </si>
  <si>
    <t>MAG MODA NEW S.R.L.</t>
  </si>
  <si>
    <t>08804400151</t>
  </si>
  <si>
    <t>IT08804400151</t>
  </si>
  <si>
    <t>141310</t>
  </si>
  <si>
    <t>Milano</t>
  </si>
  <si>
    <t>Lombardia</t>
  </si>
  <si>
    <t>2754.</t>
  </si>
  <si>
    <t>MONSIGNOR S.R.L.</t>
  </si>
  <si>
    <t>02170750604</t>
  </si>
  <si>
    <t>IT02170750604</t>
  </si>
  <si>
    <t>141400</t>
  </si>
  <si>
    <t>Frosinone</t>
  </si>
  <si>
    <t>Lazio</t>
  </si>
  <si>
    <t>2755.</t>
  </si>
  <si>
    <t>EMPRESS SRL UNIPERSONALE</t>
  </si>
  <si>
    <t>02472800354</t>
  </si>
  <si>
    <t>IT02472800354</t>
  </si>
  <si>
    <t>Modena</t>
  </si>
  <si>
    <t>Emilia-Romagna</t>
  </si>
  <si>
    <t>2756.</t>
  </si>
  <si>
    <t>DELFINO S.R.L.</t>
  </si>
  <si>
    <t>02612410353</t>
  </si>
  <si>
    <t>IT02612410353</t>
  </si>
  <si>
    <t>Reggio nell'Emilia</t>
  </si>
  <si>
    <t>2757.</t>
  </si>
  <si>
    <t>BOTTEGA DEL CUOIO S.R.L.</t>
  </si>
  <si>
    <t>08232611213</t>
  </si>
  <si>
    <t>IT08232611213</t>
  </si>
  <si>
    <t>151209</t>
  </si>
  <si>
    <t>Napoli</t>
  </si>
  <si>
    <t>Campania</t>
  </si>
  <si>
    <t>2758.</t>
  </si>
  <si>
    <t>NOVES S.R.L.</t>
  </si>
  <si>
    <t>00430910505</t>
  </si>
  <si>
    <t>IT00430910505</t>
  </si>
  <si>
    <t>152020</t>
  </si>
  <si>
    <t>Pisa</t>
  </si>
  <si>
    <t>Toscana</t>
  </si>
  <si>
    <t>2759.</t>
  </si>
  <si>
    <t>SIMPLE MEN S.R.L.</t>
  </si>
  <si>
    <t>04547450611</t>
  </si>
  <si>
    <t>IT04547450611</t>
  </si>
  <si>
    <t>Caserta</t>
  </si>
  <si>
    <t>2760.</t>
  </si>
  <si>
    <t>ARCHETIPO S.R.L.</t>
  </si>
  <si>
    <t>01745980308</t>
  </si>
  <si>
    <t>IT01745980308</t>
  </si>
  <si>
    <t>141320</t>
  </si>
  <si>
    <t>Udine</t>
  </si>
  <si>
    <t>Friuli-Venezia Giulia</t>
  </si>
  <si>
    <t>2761.</t>
  </si>
  <si>
    <t>SPACCATRICE PIAVE S.R.L.</t>
  </si>
  <si>
    <t>00709520506</t>
  </si>
  <si>
    <t>IT00709520506</t>
  </si>
  <si>
    <t>151100</t>
  </si>
  <si>
    <t>2762.</t>
  </si>
  <si>
    <t>AGNENSE MANIFATTURA S.R.L.</t>
  </si>
  <si>
    <t>03403550282</t>
  </si>
  <si>
    <t>02915120279</t>
  </si>
  <si>
    <t>IT02915120279</t>
  </si>
  <si>
    <t>141300</t>
  </si>
  <si>
    <t>Padova</t>
  </si>
  <si>
    <t>2763.</t>
  </si>
  <si>
    <t>FREGI S.R.L</t>
  </si>
  <si>
    <t>05331821214</t>
  </si>
  <si>
    <t>IT05331821214</t>
  </si>
  <si>
    <t>141000</t>
  </si>
  <si>
    <t>2764.</t>
  </si>
  <si>
    <t>VENTUNOZERONOVE S.R.L.</t>
  </si>
  <si>
    <t>03284040734</t>
  </si>
  <si>
    <t>IT03284040734</t>
  </si>
  <si>
    <t>Taranto</t>
  </si>
  <si>
    <t>Puglia</t>
  </si>
  <si>
    <t>2765.</t>
  </si>
  <si>
    <t>MAKE IN ITALY S.R.L.</t>
  </si>
  <si>
    <t>04811080268</t>
  </si>
  <si>
    <t>IT04811080268</t>
  </si>
  <si>
    <t>Treviso</t>
  </si>
  <si>
    <t>2766.</t>
  </si>
  <si>
    <t>CORLAB S.R.L.</t>
  </si>
  <si>
    <t>02319040974</t>
  </si>
  <si>
    <t>IT02319040974</t>
  </si>
  <si>
    <t>141929</t>
  </si>
  <si>
    <t>Pistoia</t>
  </si>
  <si>
    <t>2767.</t>
  </si>
  <si>
    <t>FOCUS PULL - S.R.L.</t>
  </si>
  <si>
    <t>03618010379</t>
  </si>
  <si>
    <t>IT03618010379</t>
  </si>
  <si>
    <t>143900</t>
  </si>
  <si>
    <t>Bologna</t>
  </si>
  <si>
    <t>2768.</t>
  </si>
  <si>
    <t>SINDI SRL</t>
  </si>
  <si>
    <t>02434370967</t>
  </si>
  <si>
    <t>IT02434370967</t>
  </si>
  <si>
    <t>Monza e della Brianza</t>
  </si>
  <si>
    <t>2769.</t>
  </si>
  <si>
    <t>SANDROROSSI SRL</t>
  </si>
  <si>
    <t>01447670439</t>
  </si>
  <si>
    <t>IT01447670439</t>
  </si>
  <si>
    <t>Macerata</t>
  </si>
  <si>
    <t>Marche</t>
  </si>
  <si>
    <t>2770.</t>
  </si>
  <si>
    <t>CALZATURIFICIO RINASCITA S.R.L.</t>
  </si>
  <si>
    <t>00191220698</t>
  </si>
  <si>
    <t>IT00191220698</t>
  </si>
  <si>
    <t>152010</t>
  </si>
  <si>
    <t>Chieti</t>
  </si>
  <si>
    <t>Abruzzo</t>
  </si>
  <si>
    <t>2771.</t>
  </si>
  <si>
    <t>ER.CAN S.R.L.</t>
  </si>
  <si>
    <t>00881570436</t>
  </si>
  <si>
    <t>IT00881570436</t>
  </si>
  <si>
    <t>2772.</t>
  </si>
  <si>
    <t>FUTURA UNIFORM - SOCIETA A RESPONSABILITA LIMITATA</t>
  </si>
  <si>
    <t>01593481003</t>
  </si>
  <si>
    <t>06672970586</t>
  </si>
  <si>
    <t>IT06672970586</t>
  </si>
  <si>
    <t>141200</t>
  </si>
  <si>
    <t>Roma</t>
  </si>
  <si>
    <t>2773.</t>
  </si>
  <si>
    <t>MAURO GOVERNA S.R.L.</t>
  </si>
  <si>
    <t>01501520348</t>
  </si>
  <si>
    <t>IT01501520348</t>
  </si>
  <si>
    <t>151200</t>
  </si>
  <si>
    <t>Parma</t>
  </si>
  <si>
    <t>2774.</t>
  </si>
  <si>
    <t>MAGLIFICIO HENRI - S.P.A.</t>
  </si>
  <si>
    <t>01214630129</t>
  </si>
  <si>
    <t>IT01214630129</t>
  </si>
  <si>
    <t>Varese</t>
  </si>
  <si>
    <t>2775.</t>
  </si>
  <si>
    <t>MAR SPORT S.R.L.</t>
  </si>
  <si>
    <t>02297650448</t>
  </si>
  <si>
    <t>IT02297650448</t>
  </si>
  <si>
    <t>Fermo</t>
  </si>
  <si>
    <t>2776.</t>
  </si>
  <si>
    <t>APACHE FACTORY SRL</t>
  </si>
  <si>
    <t>04514910274</t>
  </si>
  <si>
    <t>IT04514910274</t>
  </si>
  <si>
    <t>Venezia</t>
  </si>
  <si>
    <t>2777.</t>
  </si>
  <si>
    <t>D'INZILLO SWEET MODE-SOCIETA A RESPONSABILITA LIMITATA</t>
  </si>
  <si>
    <t>04003191006</t>
  </si>
  <si>
    <t>IT04003191006</t>
  </si>
  <si>
    <t>2778.</t>
  </si>
  <si>
    <t>RIALTO 48 S.R.L.</t>
  </si>
  <si>
    <t>02314020229</t>
  </si>
  <si>
    <t>IT02314020229</t>
  </si>
  <si>
    <t>Trento</t>
  </si>
  <si>
    <t>Trentino-Alto Adige/Südtirol</t>
  </si>
  <si>
    <t>2779.</t>
  </si>
  <si>
    <t>NAPOLETANO SOCIETA' A RESPONSABILITA' LIMITATA</t>
  </si>
  <si>
    <t>08139470721</t>
  </si>
  <si>
    <t>IT08139470721</t>
  </si>
  <si>
    <t>Bari</t>
  </si>
  <si>
    <t>2780.</t>
  </si>
  <si>
    <t>SOLDA' S.R.L.</t>
  </si>
  <si>
    <t>01775780248</t>
  </si>
  <si>
    <t>IT01775780248</t>
  </si>
  <si>
    <t>2781.</t>
  </si>
  <si>
    <t>DBC SOCIETA' A RESPONSABILITA' LIMITATA</t>
  </si>
  <si>
    <t>07670640726</t>
  </si>
  <si>
    <t>IT07670640726</t>
  </si>
  <si>
    <t>Barletta-Andria-Trani</t>
  </si>
  <si>
    <t>2782.</t>
  </si>
  <si>
    <t>FUSTELLIFICIO SCALIGERO VENETO S.R.L.</t>
  </si>
  <si>
    <t>00977720234</t>
  </si>
  <si>
    <t>IT00977720234</t>
  </si>
  <si>
    <t>152000</t>
  </si>
  <si>
    <t>Verona</t>
  </si>
  <si>
    <t>2783.</t>
  </si>
  <si>
    <t>LUZZI S.R.L.</t>
  </si>
  <si>
    <t>01178040513</t>
  </si>
  <si>
    <t>IT01178040513</t>
  </si>
  <si>
    <t>Arezzo</t>
  </si>
  <si>
    <t>2784.</t>
  </si>
  <si>
    <t>BELLA SHOES SRL</t>
  </si>
  <si>
    <t>02219330442</t>
  </si>
  <si>
    <t>IT02219330442</t>
  </si>
  <si>
    <t>152010</t>
  </si>
  <si>
    <t>Fermo</t>
  </si>
  <si>
    <t>Marche</t>
  </si>
  <si>
    <t>2785.</t>
  </si>
  <si>
    <t>TACCHIFICIO CRISTINA S.R.L.</t>
  </si>
  <si>
    <t>03922220284</t>
  </si>
  <si>
    <t>IT03922220284</t>
  </si>
  <si>
    <t>152000</t>
  </si>
  <si>
    <t>Padova</t>
  </si>
  <si>
    <t>Veneto</t>
  </si>
  <si>
    <t>2786.</t>
  </si>
  <si>
    <t>EXTREME WINTER EQUIPMENT S.R.L.</t>
  </si>
  <si>
    <t>02037410202</t>
  </si>
  <si>
    <t>IT02037410202</t>
  </si>
  <si>
    <t>141929</t>
  </si>
  <si>
    <t>Mantova</t>
  </si>
  <si>
    <t>Lombardia</t>
  </si>
  <si>
    <t>2787.</t>
  </si>
  <si>
    <t>FLEA FASHION HUB SRL</t>
  </si>
  <si>
    <t>02373450440</t>
  </si>
  <si>
    <t>IT02373450440</t>
  </si>
  <si>
    <t>2788.</t>
  </si>
  <si>
    <t>PELLETTIERI DI PARMA S.R.L.</t>
  </si>
  <si>
    <t>03227800988</t>
  </si>
  <si>
    <t>IT03227800988</t>
  </si>
  <si>
    <t>Bergamo</t>
  </si>
  <si>
    <t>2789.</t>
  </si>
  <si>
    <t>ENZO BONAFE' S.R.L.</t>
  </si>
  <si>
    <t>02503291201</t>
  </si>
  <si>
    <t>IT02503291201</t>
  </si>
  <si>
    <t>Bologna</t>
  </si>
  <si>
    <t>Emilia-Romagna</t>
  </si>
  <si>
    <t>2790.</t>
  </si>
  <si>
    <t>SAGESTER S.R.L.</t>
  </si>
  <si>
    <t>03433300245</t>
  </si>
  <si>
    <t>IT03433300245</t>
  </si>
  <si>
    <t>Vicenza</t>
  </si>
  <si>
    <t>2791.</t>
  </si>
  <si>
    <t>CALZATURIFICIO CIASCHI S.R.L.</t>
  </si>
  <si>
    <t>04503290480</t>
  </si>
  <si>
    <t>IT04503290480</t>
  </si>
  <si>
    <t>Firenze</t>
  </si>
  <si>
    <t>Toscana</t>
  </si>
  <si>
    <t>n.d.</t>
  </si>
  <si>
    <t>2792.</t>
  </si>
  <si>
    <t>MANCINI ANGELO S.R.L.</t>
  </si>
  <si>
    <t>01994410502</t>
  </si>
  <si>
    <t>IT01994410502</t>
  </si>
  <si>
    <t>151100</t>
  </si>
  <si>
    <t>Pisa</t>
  </si>
  <si>
    <t>2793.</t>
  </si>
  <si>
    <t>MARLENE S.R.L.</t>
  </si>
  <si>
    <t>03476380724</t>
  </si>
  <si>
    <t>IT03476380724</t>
  </si>
  <si>
    <t>141310</t>
  </si>
  <si>
    <t>Barletta-Andria-Trani</t>
  </si>
  <si>
    <t>Puglia</t>
  </si>
  <si>
    <t>2794.</t>
  </si>
  <si>
    <t>SOLETTIFICIO TERRY S.R.L.</t>
  </si>
  <si>
    <t>00405470444</t>
  </si>
  <si>
    <t>IT00405470444</t>
  </si>
  <si>
    <t>152020</t>
  </si>
  <si>
    <t>2795.</t>
  </si>
  <si>
    <t>CALZATURIFICIO MUSELLA S.R.L.</t>
  </si>
  <si>
    <t>05965951212</t>
  </si>
  <si>
    <t>IT05965951212</t>
  </si>
  <si>
    <t>Napoli</t>
  </si>
  <si>
    <t>Campania</t>
  </si>
  <si>
    <t>2796.</t>
  </si>
  <si>
    <t>KNIT KNIT SRL</t>
  </si>
  <si>
    <t>03964640985</t>
  </si>
  <si>
    <t>IT03964640985</t>
  </si>
  <si>
    <t>Brescia</t>
  </si>
  <si>
    <t>2797.</t>
  </si>
  <si>
    <t>TASSI VANIS SRL</t>
  </si>
  <si>
    <t>03894230360</t>
  </si>
  <si>
    <t>IT03894230360</t>
  </si>
  <si>
    <t>151209</t>
  </si>
  <si>
    <t>Modena</t>
  </si>
  <si>
    <t>2798.</t>
  </si>
  <si>
    <t>NEW ITALIA SHOES S.R.L.</t>
  </si>
  <si>
    <t>02503100261</t>
  </si>
  <si>
    <t>IT02503100261</t>
  </si>
  <si>
    <t>Treviso</t>
  </si>
  <si>
    <t>2799.</t>
  </si>
  <si>
    <t>PUBLIARTEX SOCIETA' A RESPONSABILITA' LIMITATA CHE POTRA' ESSERE ANCHE ABBREVIATA IN PUBLIARTEX S.R.L.</t>
  </si>
  <si>
    <t>01796370466</t>
  </si>
  <si>
    <t>IT01796370466</t>
  </si>
  <si>
    <t>Lucca</t>
  </si>
  <si>
    <t>2800.</t>
  </si>
  <si>
    <t>FERRADINI BRUNO S.R.L.</t>
  </si>
  <si>
    <t>00827460502</t>
  </si>
  <si>
    <t>IT00827460502</t>
  </si>
  <si>
    <t>2801.</t>
  </si>
  <si>
    <t>BRUSH SPORTWEAR S.R.L.</t>
  </si>
  <si>
    <t>00497810267</t>
  </si>
  <si>
    <t>IT00497810267</t>
  </si>
  <si>
    <t>141000</t>
  </si>
  <si>
    <t>2802.</t>
  </si>
  <si>
    <t>S &amp; M GROUP S.R.L.</t>
  </si>
  <si>
    <t>02710420361</t>
  </si>
  <si>
    <t>IT02710420361</t>
  </si>
  <si>
    <t>143000</t>
  </si>
  <si>
    <t>2803.</t>
  </si>
  <si>
    <t>CONCERIA GHEPARDO S.R.L.</t>
  </si>
  <si>
    <t>00870480506</t>
  </si>
  <si>
    <t>IT00870480506</t>
  </si>
  <si>
    <t>2804.</t>
  </si>
  <si>
    <t>MANIFATTURE VIGNOLA S.R.L.</t>
  </si>
  <si>
    <t>00293780540</t>
  </si>
  <si>
    <t>IT00293780540</t>
  </si>
  <si>
    <t>141910</t>
  </si>
  <si>
    <t>Perugia</t>
  </si>
  <si>
    <t>Umbria</t>
  </si>
  <si>
    <t>2805.</t>
  </si>
  <si>
    <t>JEANS BOX SRL</t>
  </si>
  <si>
    <t>01894050671</t>
  </si>
  <si>
    <t>IT01894050671</t>
  </si>
  <si>
    <t>Teramo</t>
  </si>
  <si>
    <t>Abruzzo</t>
  </si>
  <si>
    <t>2806.</t>
  </si>
  <si>
    <t>STUDIO TESSILE SOCIETA' A RESPONSABILITA' LIMITATA IN SIGLA STUDIO TESSILE S.R.L.</t>
  </si>
  <si>
    <t>06136940720</t>
  </si>
  <si>
    <t>IT06136940720</t>
  </si>
  <si>
    <t>Bari</t>
  </si>
  <si>
    <t>2807.</t>
  </si>
  <si>
    <t>DEPIAN PEL S.R.L.</t>
  </si>
  <si>
    <t>02769040649</t>
  </si>
  <si>
    <t>IT02769040649</t>
  </si>
  <si>
    <t>141100</t>
  </si>
  <si>
    <t>Avellino</t>
  </si>
  <si>
    <t>2808.</t>
  </si>
  <si>
    <t>OMMY S.R.L.</t>
  </si>
  <si>
    <t>02334610413</t>
  </si>
  <si>
    <t>IT02334610413</t>
  </si>
  <si>
    <t>143900</t>
  </si>
  <si>
    <t>Pesaro e Urbino</t>
  </si>
  <si>
    <t>2809.</t>
  </si>
  <si>
    <t>LAURA URBINATI S.R.L.</t>
  </si>
  <si>
    <t>12746750152</t>
  </si>
  <si>
    <t>IT12746750152</t>
  </si>
  <si>
    <t>Milano</t>
  </si>
  <si>
    <t>2810.</t>
  </si>
  <si>
    <t>VIVALDI - S.R.L.</t>
  </si>
  <si>
    <t>04967281009</t>
  </si>
  <si>
    <t>IT04967281009</t>
  </si>
  <si>
    <t>Roma</t>
  </si>
  <si>
    <t>Lazio</t>
  </si>
  <si>
    <t>2811.</t>
  </si>
  <si>
    <t>VIBEN SRL</t>
  </si>
  <si>
    <t>00296130651</t>
  </si>
  <si>
    <t>IT00296130651</t>
  </si>
  <si>
    <t>Salerno</t>
  </si>
  <si>
    <t>2812.</t>
  </si>
  <si>
    <t>PACE S.R.L.</t>
  </si>
  <si>
    <t>02334050396</t>
  </si>
  <si>
    <t>IT02334050396</t>
  </si>
  <si>
    <t>141200</t>
  </si>
  <si>
    <t>Ravenna</t>
  </si>
  <si>
    <t>2813.</t>
  </si>
  <si>
    <t>CERBIATTO S.R.L.</t>
  </si>
  <si>
    <t>01125510501</t>
  </si>
  <si>
    <t>IT01125510501</t>
  </si>
  <si>
    <t>2814.</t>
  </si>
  <si>
    <t>ENDS CUOIO S.R.L.</t>
  </si>
  <si>
    <t>02962470601</t>
  </si>
  <si>
    <t>IT02962470601</t>
  </si>
  <si>
    <t>Frosinone</t>
  </si>
  <si>
    <t>2815.</t>
  </si>
  <si>
    <t>OTTO B. S.R.L.</t>
  </si>
  <si>
    <t>00810420257</t>
  </si>
  <si>
    <t>IT00810420257</t>
  </si>
  <si>
    <t>141400</t>
  </si>
  <si>
    <t>Belluno</t>
  </si>
  <si>
    <t>2816.</t>
  </si>
  <si>
    <t>CARLO TIVIOLI S.R.L.</t>
  </si>
  <si>
    <t>07773300012</t>
  </si>
  <si>
    <t>IT07773300012</t>
  </si>
  <si>
    <t>142000</t>
  </si>
  <si>
    <t>Torino</t>
  </si>
  <si>
    <t>Piemonte</t>
  </si>
  <si>
    <t>2817.</t>
  </si>
  <si>
    <t>ZENIT SRL</t>
  </si>
  <si>
    <t>02341130447</t>
  </si>
  <si>
    <t>IT02341130447</t>
  </si>
  <si>
    <t>152020</t>
  </si>
  <si>
    <t>Fermo</t>
  </si>
  <si>
    <t>Marche</t>
  </si>
  <si>
    <t>2818.</t>
  </si>
  <si>
    <t>G.B.M. S.R.L.</t>
  </si>
  <si>
    <t>02445670363</t>
  </si>
  <si>
    <t>IT02445670363</t>
  </si>
  <si>
    <t>143900</t>
  </si>
  <si>
    <t>Modena</t>
  </si>
  <si>
    <t>Emilia-Romagna</t>
  </si>
  <si>
    <t>2819.</t>
  </si>
  <si>
    <t>GC FASHION GROUP SOCIETA' A RESPONSABILITA' LIMITATA</t>
  </si>
  <si>
    <t>15589681004</t>
  </si>
  <si>
    <t>IT15589681004</t>
  </si>
  <si>
    <t>141320</t>
  </si>
  <si>
    <t>Roma</t>
  </si>
  <si>
    <t>Lazio</t>
  </si>
  <si>
    <t>2820.</t>
  </si>
  <si>
    <t>MAGLIFICIO TOMAS SRL</t>
  </si>
  <si>
    <t>00179210448</t>
  </si>
  <si>
    <t>IT00179210448</t>
  </si>
  <si>
    <t>2821.</t>
  </si>
  <si>
    <t>CATYA S.R.L.</t>
  </si>
  <si>
    <t>04130240379</t>
  </si>
  <si>
    <t>IT04130240379</t>
  </si>
  <si>
    <t>141910</t>
  </si>
  <si>
    <t>Bologna</t>
  </si>
  <si>
    <t>2822.</t>
  </si>
  <si>
    <t>VOLBAL DI VOLPATO ATTILIO E FIGLI S.R.L.</t>
  </si>
  <si>
    <t>00388680282</t>
  </si>
  <si>
    <t>IT00388680282</t>
  </si>
  <si>
    <t>Padova</t>
  </si>
  <si>
    <t>Veneto</t>
  </si>
  <si>
    <t>2823.</t>
  </si>
  <si>
    <t>CENTANNI LAVORAZIONE PELLAMI S.R.L.</t>
  </si>
  <si>
    <t>01889490445</t>
  </si>
  <si>
    <t>IT01889490445</t>
  </si>
  <si>
    <t>151100</t>
  </si>
  <si>
    <t>2824.</t>
  </si>
  <si>
    <t>GIT S.R.L.</t>
  </si>
  <si>
    <t>02234460505</t>
  </si>
  <si>
    <t>IT02234460505</t>
  </si>
  <si>
    <t>141000</t>
  </si>
  <si>
    <t>Pisa</t>
  </si>
  <si>
    <t>Toscana</t>
  </si>
  <si>
    <t>2825.</t>
  </si>
  <si>
    <t>CALZATURIFICIO EMANUELA S.R.L.</t>
  </si>
  <si>
    <t>00473250413</t>
  </si>
  <si>
    <t>IT00473250413</t>
  </si>
  <si>
    <t>152010</t>
  </si>
  <si>
    <t>Pesaro e Urbino</t>
  </si>
  <si>
    <t>n.d.</t>
  </si>
  <si>
    <t>2826.</t>
  </si>
  <si>
    <t>MANIFATTURE DIPIERRE S.R.L.</t>
  </si>
  <si>
    <t>01888120647</t>
  </si>
  <si>
    <t>IT01888120647</t>
  </si>
  <si>
    <t>Avellino</t>
  </si>
  <si>
    <t>Campania</t>
  </si>
  <si>
    <t>2827.</t>
  </si>
  <si>
    <t>JAMAICA 2020 S.R.L.</t>
  </si>
  <si>
    <t>11083260965</t>
  </si>
  <si>
    <t>IT11083260965</t>
  </si>
  <si>
    <t>151209</t>
  </si>
  <si>
    <t>Milano</t>
  </si>
  <si>
    <t>Lombardia</t>
  </si>
  <si>
    <t>2828.</t>
  </si>
  <si>
    <t>RACING TACK S.R.L.</t>
  </si>
  <si>
    <t>04967380157</t>
  </si>
  <si>
    <t>IT04967380157</t>
  </si>
  <si>
    <t>151200</t>
  </si>
  <si>
    <t>Varese</t>
  </si>
  <si>
    <t>2829.</t>
  </si>
  <si>
    <t>DIAMFONDI SRL</t>
  </si>
  <si>
    <t>00378590442</t>
  </si>
  <si>
    <t>IT00378590442</t>
  </si>
  <si>
    <t>2830.</t>
  </si>
  <si>
    <t>PELER ITALIA S.R.L.</t>
  </si>
  <si>
    <t>03593000361</t>
  </si>
  <si>
    <t>IT03593000361</t>
  </si>
  <si>
    <t>Vicenza</t>
  </si>
  <si>
    <t>2831.</t>
  </si>
  <si>
    <t>WESTAR SRL</t>
  </si>
  <si>
    <t>06028620489</t>
  </si>
  <si>
    <t>IT06028620489</t>
  </si>
  <si>
    <t>Firenze</t>
  </si>
  <si>
    <t>2832.</t>
  </si>
  <si>
    <t>SATEX S.R.L.</t>
  </si>
  <si>
    <t>05960400652</t>
  </si>
  <si>
    <t>IT05960400652</t>
  </si>
  <si>
    <t>141929</t>
  </si>
  <si>
    <t>Salerno</t>
  </si>
  <si>
    <t>2833.</t>
  </si>
  <si>
    <t>CALZATURIFICIO LAUDINO CACCIN S.R.L.</t>
  </si>
  <si>
    <t>02273660288</t>
  </si>
  <si>
    <t>IT02273660288</t>
  </si>
  <si>
    <t>152000</t>
  </si>
  <si>
    <t>2834.</t>
  </si>
  <si>
    <t>MAX MAGLIERIE SRL</t>
  </si>
  <si>
    <t>01289210351</t>
  </si>
  <si>
    <t>IT01289210351</t>
  </si>
  <si>
    <t>Reggio nell'Emilia</t>
  </si>
  <si>
    <t>2835.</t>
  </si>
  <si>
    <t>START UP GROUP S.R.L.</t>
  </si>
  <si>
    <t>08321751219</t>
  </si>
  <si>
    <t>IT08321751219</t>
  </si>
  <si>
    <t>2836.</t>
  </si>
  <si>
    <t>CONFEZIONI BILO' S.R.L.</t>
  </si>
  <si>
    <t>01501090516</t>
  </si>
  <si>
    <t>IT01501090516</t>
  </si>
  <si>
    <t>141310</t>
  </si>
  <si>
    <t>Arezzo</t>
  </si>
  <si>
    <t>2837.</t>
  </si>
  <si>
    <t>C.R.E. CALZIFICI RIUNITI ELLI S.R.L.</t>
  </si>
  <si>
    <t>00747510121</t>
  </si>
  <si>
    <t>03749370155</t>
  </si>
  <si>
    <t>IT03749370155</t>
  </si>
  <si>
    <t>143100</t>
  </si>
  <si>
    <t>2838.</t>
  </si>
  <si>
    <t>ART SPOSA S.R.L.</t>
  </si>
  <si>
    <t>01702460500</t>
  </si>
  <si>
    <t>IT01702460500</t>
  </si>
  <si>
    <t>141300</t>
  </si>
  <si>
    <t>2839.</t>
  </si>
  <si>
    <t>AV LAB S.R.L.</t>
  </si>
  <si>
    <t>04001910274</t>
  </si>
  <si>
    <t>IT04001910274</t>
  </si>
  <si>
    <t>Venezia</t>
  </si>
  <si>
    <t>2840.</t>
  </si>
  <si>
    <t>GHIZZANPELLI FRIGO S.R.L.</t>
  </si>
  <si>
    <t>00708270509</t>
  </si>
  <si>
    <t>IT00708270509</t>
  </si>
  <si>
    <t>2841.</t>
  </si>
  <si>
    <t>MCC PROJECT S.R.L.</t>
  </si>
  <si>
    <t>03250140120</t>
  </si>
  <si>
    <t>IT03250140120</t>
  </si>
  <si>
    <t>2842.</t>
  </si>
  <si>
    <t>FEETNESS S.R.L.</t>
  </si>
  <si>
    <t>04038490985</t>
  </si>
  <si>
    <t>IT04038490985</t>
  </si>
  <si>
    <t>Brescia</t>
  </si>
  <si>
    <t>2843.</t>
  </si>
  <si>
    <t>TESSILCOMPANY S.R.L.</t>
  </si>
  <si>
    <t>01303390122</t>
  </si>
  <si>
    <t>IT01303390122</t>
  </si>
  <si>
    <t>2844.</t>
  </si>
  <si>
    <t>CAF S.R.L.</t>
  </si>
  <si>
    <t>00180840449</t>
  </si>
  <si>
    <t>IT00180840449</t>
  </si>
  <si>
    <t>2845.</t>
  </si>
  <si>
    <t>WEST POINT MANIFATTURA CRAVATTE S.R.L.</t>
  </si>
  <si>
    <t>02988920159</t>
  </si>
  <si>
    <t>IT02988920159</t>
  </si>
  <si>
    <t>2846.</t>
  </si>
  <si>
    <t>MANIFATTURE GIEFFE S.R.L.</t>
  </si>
  <si>
    <t>07629090726</t>
  </si>
  <si>
    <t>IT07629090726</t>
  </si>
  <si>
    <t>Bari</t>
  </si>
  <si>
    <t>Puglia</t>
  </si>
  <si>
    <t>2847.</t>
  </si>
  <si>
    <t>MACHATTIE S.R.L.</t>
  </si>
  <si>
    <t>00338820970</t>
  </si>
  <si>
    <t>00703330506</t>
  </si>
  <si>
    <t>IT00703330506</t>
  </si>
  <si>
    <t>Prato</t>
  </si>
  <si>
    <t>2848.</t>
  </si>
  <si>
    <t>IVI S.R.L.</t>
  </si>
  <si>
    <t>02568090233</t>
  </si>
  <si>
    <t>IT02568090233</t>
  </si>
  <si>
    <t>141000</t>
  </si>
  <si>
    <t>Verona</t>
  </si>
  <si>
    <t>Veneto</t>
  </si>
  <si>
    <t>2849.</t>
  </si>
  <si>
    <t>V E R S.R.L.</t>
  </si>
  <si>
    <t>07696201214</t>
  </si>
  <si>
    <t>IT07696201214</t>
  </si>
  <si>
    <t>151209</t>
  </si>
  <si>
    <t>Napoli</t>
  </si>
  <si>
    <t>Campania</t>
  </si>
  <si>
    <t>n.d.</t>
  </si>
  <si>
    <t>2850.</t>
  </si>
  <si>
    <t>ALMA SRL</t>
  </si>
  <si>
    <t>05141110261</t>
  </si>
  <si>
    <t>IT05141110261</t>
  </si>
  <si>
    <t>143900</t>
  </si>
  <si>
    <t>Treviso</t>
  </si>
  <si>
    <t>2851.</t>
  </si>
  <si>
    <t>CALZIFICIO DANY SRL</t>
  </si>
  <si>
    <t>02140280989</t>
  </si>
  <si>
    <t>IT02140280989</t>
  </si>
  <si>
    <t>143100</t>
  </si>
  <si>
    <t>Brescia</t>
  </si>
  <si>
    <t>Lombardia</t>
  </si>
  <si>
    <t>2852.</t>
  </si>
  <si>
    <t>MARILENA CAPUZZI SRL</t>
  </si>
  <si>
    <t>02356790986</t>
  </si>
  <si>
    <t>IT02356790986</t>
  </si>
  <si>
    <t>141320</t>
  </si>
  <si>
    <t>2853.</t>
  </si>
  <si>
    <t>D'ANGELO S.R.L.</t>
  </si>
  <si>
    <t>02048240127</t>
  </si>
  <si>
    <t>IT02048240127</t>
  </si>
  <si>
    <t>Varese</t>
  </si>
  <si>
    <t>2854.</t>
  </si>
  <si>
    <t>SLER SRL</t>
  </si>
  <si>
    <t>08041431217</t>
  </si>
  <si>
    <t>IT08041431217</t>
  </si>
  <si>
    <t>141310</t>
  </si>
  <si>
    <t>2855.</t>
  </si>
  <si>
    <t>MARTYLO' SRL</t>
  </si>
  <si>
    <t>05450800486</t>
  </si>
  <si>
    <t>IT05450800486</t>
  </si>
  <si>
    <t>Firenze</t>
  </si>
  <si>
    <t>Toscana</t>
  </si>
  <si>
    <t>2856.</t>
  </si>
  <si>
    <t>CRISTINA MILLOTTI S.R.L.</t>
  </si>
  <si>
    <t>01418160519</t>
  </si>
  <si>
    <t>IT01418160519</t>
  </si>
  <si>
    <t>152010</t>
  </si>
  <si>
    <t>Arezzo</t>
  </si>
  <si>
    <t>2857.</t>
  </si>
  <si>
    <t>CALZATURIFICIO MONTELLIANA S.R.L</t>
  </si>
  <si>
    <t>04472000266</t>
  </si>
  <si>
    <t>IT04472000266</t>
  </si>
  <si>
    <t>2858.</t>
  </si>
  <si>
    <t>DUEGI PELLETTERIE SRL</t>
  </si>
  <si>
    <t>03255300240</t>
  </si>
  <si>
    <t>IT03255300240</t>
  </si>
  <si>
    <t>Vicenza</t>
  </si>
  <si>
    <t>2859.</t>
  </si>
  <si>
    <t>CLARA S.R.L.</t>
  </si>
  <si>
    <t>01291010435</t>
  </si>
  <si>
    <t>IT01291010435</t>
  </si>
  <si>
    <t>Macerata</t>
  </si>
  <si>
    <t>Marche</t>
  </si>
  <si>
    <t>2860.</t>
  </si>
  <si>
    <t>VALENTINA BAGS S.R.L.</t>
  </si>
  <si>
    <t>04639840968</t>
  </si>
  <si>
    <t>IT04639840968</t>
  </si>
  <si>
    <t>151200</t>
  </si>
  <si>
    <t>Milano</t>
  </si>
  <si>
    <t>2861.</t>
  </si>
  <si>
    <t>ELKO S.R.L.</t>
  </si>
  <si>
    <t>02487040046</t>
  </si>
  <si>
    <t>IT02487040046</t>
  </si>
  <si>
    <t>141910</t>
  </si>
  <si>
    <t>Cuneo</t>
  </si>
  <si>
    <t>Piemonte</t>
  </si>
  <si>
    <t>2862.</t>
  </si>
  <si>
    <t>PIETROGRANDE S.R.L.</t>
  </si>
  <si>
    <t>02442260283</t>
  </si>
  <si>
    <t>IT02442260283</t>
  </si>
  <si>
    <t>Padova</t>
  </si>
  <si>
    <t>2863.</t>
  </si>
  <si>
    <t>TREGIPELL S.R.L. - SOCIETA' UNIPERSONALE</t>
  </si>
  <si>
    <t>02789620248</t>
  </si>
  <si>
    <t>IT02789620248</t>
  </si>
  <si>
    <t>151100</t>
  </si>
  <si>
    <t>2864.</t>
  </si>
  <si>
    <t>MC 2 S.R.L.</t>
  </si>
  <si>
    <t>04477010617</t>
  </si>
  <si>
    <t>IT04477010617</t>
  </si>
  <si>
    <t>Caserta</t>
  </si>
  <si>
    <t>2865.</t>
  </si>
  <si>
    <t>TRE ESSE S.R.L.</t>
  </si>
  <si>
    <t>01636860437</t>
  </si>
  <si>
    <t>IT01636860437</t>
  </si>
  <si>
    <t>152020</t>
  </si>
  <si>
    <t>2866.</t>
  </si>
  <si>
    <t>B.WEAR S.R.L.</t>
  </si>
  <si>
    <t>03431160245</t>
  </si>
  <si>
    <t>IT03431160245</t>
  </si>
  <si>
    <t>2867.</t>
  </si>
  <si>
    <t>SARA BURGLAR S.R.L.</t>
  </si>
  <si>
    <t>01882070434</t>
  </si>
  <si>
    <t>IT01882070434</t>
  </si>
  <si>
    <t>2868.</t>
  </si>
  <si>
    <t>CONCERIA TURBIGHESE S.R.L.</t>
  </si>
  <si>
    <t>00693580151</t>
  </si>
  <si>
    <t>IT00693580151</t>
  </si>
  <si>
    <t>2869.</t>
  </si>
  <si>
    <t>LORENA PAGGI S.R.L.</t>
  </si>
  <si>
    <t>01633100449</t>
  </si>
  <si>
    <t>IT01633100449</t>
  </si>
  <si>
    <t>Fermo</t>
  </si>
  <si>
    <t>2870.</t>
  </si>
  <si>
    <t>CLEAN CLOTHES S.R.L.</t>
  </si>
  <si>
    <t>06387060723</t>
  </si>
  <si>
    <t>IT06387060723</t>
  </si>
  <si>
    <t>Barletta-Andria-Trani</t>
  </si>
  <si>
    <t>Puglia</t>
  </si>
  <si>
    <t>2871.</t>
  </si>
  <si>
    <t>PRESIDENT F.R.S SRL</t>
  </si>
  <si>
    <t>10043110963</t>
  </si>
  <si>
    <t>IT10043110963</t>
  </si>
  <si>
    <t>2872.</t>
  </si>
  <si>
    <t>DAL LAGO SRL</t>
  </si>
  <si>
    <t>03000310247</t>
  </si>
  <si>
    <t>IT03000310247</t>
  </si>
  <si>
    <t>2873.</t>
  </si>
  <si>
    <t>STIROVAP S.R.L.</t>
  </si>
  <si>
    <t>00267230357</t>
  </si>
  <si>
    <t>IT00267230357</t>
  </si>
  <si>
    <t>141300</t>
  </si>
  <si>
    <t>Reggio nell'Emilia</t>
  </si>
  <si>
    <t>Emilia-Romagna</t>
  </si>
  <si>
    <t>2874.</t>
  </si>
  <si>
    <t>TEOX S.R.L.</t>
  </si>
  <si>
    <t>01709280448</t>
  </si>
  <si>
    <t>IT01709280448</t>
  </si>
  <si>
    <t>2875.</t>
  </si>
  <si>
    <t>FLORENCE INTERNATIONAL S.R.L.</t>
  </si>
  <si>
    <t>02286470972</t>
  </si>
  <si>
    <t>IT02286470972</t>
  </si>
  <si>
    <t>142000</t>
  </si>
  <si>
    <t>Prato</t>
  </si>
  <si>
    <t>2876.</t>
  </si>
  <si>
    <t>TIENNE COMMERCIALE SRL</t>
  </si>
  <si>
    <t>05014040157</t>
  </si>
  <si>
    <t>IT05014040157</t>
  </si>
  <si>
    <t>2877.</t>
  </si>
  <si>
    <t>N.P.M. S.R.L.</t>
  </si>
  <si>
    <t>01282770294</t>
  </si>
  <si>
    <t>IT01282770294</t>
  </si>
  <si>
    <t>2878.</t>
  </si>
  <si>
    <t>TRANCERIA LA TOSCANA S.R.L.</t>
  </si>
  <si>
    <t>01610210500</t>
  </si>
  <si>
    <t>IT01610210500</t>
  </si>
  <si>
    <t>152000</t>
  </si>
  <si>
    <t>Pisa</t>
  </si>
  <si>
    <t>2879.</t>
  </si>
  <si>
    <t>CALZIFICIO BOMBANA S.R.L.</t>
  </si>
  <si>
    <t>02468280207</t>
  </si>
  <si>
    <t>IT02468280207</t>
  </si>
  <si>
    <t>Mantova</t>
  </si>
  <si>
    <t>2880.</t>
  </si>
  <si>
    <t>STEFANO CONTICELLI S.R.L.</t>
  </si>
  <si>
    <t>01367960554</t>
  </si>
  <si>
    <t>IT01367960554</t>
  </si>
  <si>
    <t>141320</t>
  </si>
  <si>
    <t>Terni</t>
  </si>
  <si>
    <t>Umbria</t>
  </si>
  <si>
    <t>n.d.</t>
  </si>
  <si>
    <t>2881.</t>
  </si>
  <si>
    <t>CO.BRI. S.R.L.</t>
  </si>
  <si>
    <t>03993110489</t>
  </si>
  <si>
    <t>IT03993110489</t>
  </si>
  <si>
    <t>151200</t>
  </si>
  <si>
    <t>Firenze</t>
  </si>
  <si>
    <t>Toscana</t>
  </si>
  <si>
    <t>2882.</t>
  </si>
  <si>
    <t>FIDES S.R.L.</t>
  </si>
  <si>
    <t>03741900405</t>
  </si>
  <si>
    <t>IT03741900405</t>
  </si>
  <si>
    <t>141310</t>
  </si>
  <si>
    <t>Forlì-Cesena</t>
  </si>
  <si>
    <t>Emilia-Romagna</t>
  </si>
  <si>
    <t>2883.</t>
  </si>
  <si>
    <t>CONFEZIONI MOMODA SRL</t>
  </si>
  <si>
    <t>02735550358</t>
  </si>
  <si>
    <t>IT02735550358</t>
  </si>
  <si>
    <t>141000</t>
  </si>
  <si>
    <t>Reggio nell'Emilia</t>
  </si>
  <si>
    <t>2884.</t>
  </si>
  <si>
    <t>CREATION CONFEZIONI SOCIETA' A RESPONSABILITA' LIMITATA SEMPLIFICATA</t>
  </si>
  <si>
    <t>05533940879</t>
  </si>
  <si>
    <t>IT05533940879</t>
  </si>
  <si>
    <t>Catania</t>
  </si>
  <si>
    <t>Sicilia</t>
  </si>
  <si>
    <t>2885.</t>
  </si>
  <si>
    <t>AKRON S.R.L.</t>
  </si>
  <si>
    <t>03513650238</t>
  </si>
  <si>
    <t>IT03513650238</t>
  </si>
  <si>
    <t>141929</t>
  </si>
  <si>
    <t>Verona</t>
  </si>
  <si>
    <t>Veneto</t>
  </si>
  <si>
    <t>2886.</t>
  </si>
  <si>
    <t>BERLINI S.R.L.</t>
  </si>
  <si>
    <t>03335290403</t>
  </si>
  <si>
    <t>IT03335290403</t>
  </si>
  <si>
    <t>Rimini</t>
  </si>
  <si>
    <t>2887.</t>
  </si>
  <si>
    <t>IM ITALIANA MANIFATTURE SRL</t>
  </si>
  <si>
    <t>02438370443</t>
  </si>
  <si>
    <t>IT02438370443</t>
  </si>
  <si>
    <t>151209</t>
  </si>
  <si>
    <t>Fermo</t>
  </si>
  <si>
    <t>Marche</t>
  </si>
  <si>
    <t>2888.</t>
  </si>
  <si>
    <t>BUTI SRL</t>
  </si>
  <si>
    <t>01723370506</t>
  </si>
  <si>
    <t>IT01723370506</t>
  </si>
  <si>
    <t>Pisa</t>
  </si>
  <si>
    <t>2889.</t>
  </si>
  <si>
    <t>TOMAIFICIO TARGA S.R.L.</t>
  </si>
  <si>
    <t>01451670291</t>
  </si>
  <si>
    <t>IT01451670291</t>
  </si>
  <si>
    <t>152020</t>
  </si>
  <si>
    <t>Rovigo</t>
  </si>
  <si>
    <t>2890.</t>
  </si>
  <si>
    <t>GIORI S.R.L.</t>
  </si>
  <si>
    <t>02367500440</t>
  </si>
  <si>
    <t>IT02367500440</t>
  </si>
  <si>
    <t>2891.</t>
  </si>
  <si>
    <t>LUBELLO SRL</t>
  </si>
  <si>
    <t>03837910755</t>
  </si>
  <si>
    <t>IT03837910755</t>
  </si>
  <si>
    <t>Lecce</t>
  </si>
  <si>
    <t>Puglia</t>
  </si>
  <si>
    <t>2892.</t>
  </si>
  <si>
    <t>JEFFED S.R.L.</t>
  </si>
  <si>
    <t>01874600677</t>
  </si>
  <si>
    <t>IT01874600677</t>
  </si>
  <si>
    <t>Teramo</t>
  </si>
  <si>
    <t>Abruzzo</t>
  </si>
  <si>
    <t>2893.</t>
  </si>
  <si>
    <t>VICH ITALIA S.R.L.</t>
  </si>
  <si>
    <t>03082640164</t>
  </si>
  <si>
    <t>IT03082640164</t>
  </si>
  <si>
    <t>Bergamo</t>
  </si>
  <si>
    <t>Lombardia</t>
  </si>
  <si>
    <t>2894.</t>
  </si>
  <si>
    <t>CALZATURIFICIO AMORUSO S.R.L.</t>
  </si>
  <si>
    <t>07893750724</t>
  </si>
  <si>
    <t>IT07893750724</t>
  </si>
  <si>
    <t>152010</t>
  </si>
  <si>
    <t>Barletta-Andria-Trani</t>
  </si>
  <si>
    <t>2895.</t>
  </si>
  <si>
    <t>OPERA PRIMA S.R.L.</t>
  </si>
  <si>
    <t>06432220728</t>
  </si>
  <si>
    <t>IT06432220728</t>
  </si>
  <si>
    <t>2896.</t>
  </si>
  <si>
    <t>EMMEGI S.R.L.</t>
  </si>
  <si>
    <t>02549050603</t>
  </si>
  <si>
    <t>IT02549050603</t>
  </si>
  <si>
    <t>Frosinone</t>
  </si>
  <si>
    <t>Lazio</t>
  </si>
  <si>
    <t>2897.</t>
  </si>
  <si>
    <t>TOP LINE SRL FASHION FACTORY</t>
  </si>
  <si>
    <t>01885340438</t>
  </si>
  <si>
    <t>IT01885340438</t>
  </si>
  <si>
    <t>Macerata</t>
  </si>
  <si>
    <t>2898.</t>
  </si>
  <si>
    <t>TORO S.R.L.</t>
  </si>
  <si>
    <t>05215670489</t>
  </si>
  <si>
    <t>IT05215670489</t>
  </si>
  <si>
    <t>Prato</t>
  </si>
  <si>
    <t>2899.</t>
  </si>
  <si>
    <t>TOMA S.R.L.</t>
  </si>
  <si>
    <t>00342620432</t>
  </si>
  <si>
    <t>IT00342620432</t>
  </si>
  <si>
    <t>141200</t>
  </si>
  <si>
    <t>2900.</t>
  </si>
  <si>
    <t>MAGLIFICIO CAMELIA S.R.L.</t>
  </si>
  <si>
    <t>00222290165</t>
  </si>
  <si>
    <t>IT00222290165</t>
  </si>
  <si>
    <t>2901.</t>
  </si>
  <si>
    <t>ELLEBI S.R.L.</t>
  </si>
  <si>
    <t>03260400407</t>
  </si>
  <si>
    <t>IT03260400407</t>
  </si>
  <si>
    <t>2902.</t>
  </si>
  <si>
    <t>PASSI D'ESTATE SOCIETA' A RESPONSABILITA' LIMITATA</t>
  </si>
  <si>
    <t>08107551213</t>
  </si>
  <si>
    <t>IT08107551213</t>
  </si>
  <si>
    <t>Napoli</t>
  </si>
  <si>
    <t>Campania</t>
  </si>
  <si>
    <t>2903.</t>
  </si>
  <si>
    <t>GRUPPO TESSILE ABBIGLIAMENTO MODA - S.R.L.</t>
  </si>
  <si>
    <t>00711890988</t>
  </si>
  <si>
    <t>02963830175</t>
  </si>
  <si>
    <t>IT02963830175</t>
  </si>
  <si>
    <t>Brescia</t>
  </si>
  <si>
    <t>2904.</t>
  </si>
  <si>
    <t>CALZATURIFICIO MICHELA S.R.L.</t>
  </si>
  <si>
    <t>02398670469</t>
  </si>
  <si>
    <t>IT02398670469</t>
  </si>
  <si>
    <t>Lucca</t>
  </si>
  <si>
    <t>2905.</t>
  </si>
  <si>
    <t>CHRISTIA SRL</t>
  </si>
  <si>
    <t>03389050240</t>
  </si>
  <si>
    <t>IT03389050240</t>
  </si>
  <si>
    <t>141100</t>
  </si>
  <si>
    <t>Vicenza</t>
  </si>
  <si>
    <t>2906.</t>
  </si>
  <si>
    <t>EVA SRL</t>
  </si>
  <si>
    <t>03832860369</t>
  </si>
  <si>
    <t>IT03832860369</t>
  </si>
  <si>
    <t>143900</t>
  </si>
  <si>
    <t>Modena</t>
  </si>
  <si>
    <t>2907.</t>
  </si>
  <si>
    <t>QUADRIFOGLIO S.R.L.</t>
  </si>
  <si>
    <t>03555000540</t>
  </si>
  <si>
    <t>IT03555000540</t>
  </si>
  <si>
    <t>141400</t>
  </si>
  <si>
    <t>2908.</t>
  </si>
  <si>
    <t>CALZATURIFICIO R.E.F.A.C. S.R.L.</t>
  </si>
  <si>
    <t>01246890436</t>
  </si>
  <si>
    <t>IT01246890436</t>
  </si>
  <si>
    <t>2909.</t>
  </si>
  <si>
    <t>DETTAGLI S.R.L.</t>
  </si>
  <si>
    <t>01339370445</t>
  </si>
  <si>
    <t>IT01339370445</t>
  </si>
  <si>
    <t>2910.</t>
  </si>
  <si>
    <t>DAVID S.R.L.</t>
  </si>
  <si>
    <t>03774110161</t>
  </si>
  <si>
    <t>IT03774110161</t>
  </si>
  <si>
    <t>Bari</t>
  </si>
  <si>
    <t>2911.</t>
  </si>
  <si>
    <t>SENATORE S.R.L.</t>
  </si>
  <si>
    <t>05516520656</t>
  </si>
  <si>
    <t>IT05516520656</t>
  </si>
  <si>
    <t>Salerno</t>
  </si>
  <si>
    <t>2912.</t>
  </si>
  <si>
    <t>MAXCOM LEATHER ITALIA SRL</t>
  </si>
  <si>
    <t>04301480242</t>
  </si>
  <si>
    <t>IT04301480242</t>
  </si>
  <si>
    <t>151100</t>
  </si>
  <si>
    <t>Vicenza</t>
  </si>
  <si>
    <t>Veneto</t>
  </si>
  <si>
    <t>2913.</t>
  </si>
  <si>
    <t>SIMANI INDUSTRIE - S.R.L.</t>
  </si>
  <si>
    <t>01656520465</t>
  </si>
  <si>
    <t>IT01656520465</t>
  </si>
  <si>
    <t>141200</t>
  </si>
  <si>
    <t>Lucca</t>
  </si>
  <si>
    <t>Toscana</t>
  </si>
  <si>
    <t>2914.</t>
  </si>
  <si>
    <t>GEOFFREY B. SMALL MADE IN ITALY S.R.L.</t>
  </si>
  <si>
    <t>04369270279</t>
  </si>
  <si>
    <t>IT04369270279</t>
  </si>
  <si>
    <t>141320</t>
  </si>
  <si>
    <t>Venezia</t>
  </si>
  <si>
    <t>2915.</t>
  </si>
  <si>
    <t>NICOLINI SILVANA S.R.L.</t>
  </si>
  <si>
    <t>02107590206</t>
  </si>
  <si>
    <t>IT02107590206</t>
  </si>
  <si>
    <t>141910</t>
  </si>
  <si>
    <t>Mantova</t>
  </si>
  <si>
    <t>Lombardia</t>
  </si>
  <si>
    <t>2916.</t>
  </si>
  <si>
    <t>SETTIMOCIELO S.R.L.</t>
  </si>
  <si>
    <t>01170310369</t>
  </si>
  <si>
    <t>IT01170310369</t>
  </si>
  <si>
    <t>141000</t>
  </si>
  <si>
    <t>Modena</t>
  </si>
  <si>
    <t>Emilia-Romagna</t>
  </si>
  <si>
    <t>2917.</t>
  </si>
  <si>
    <t>SARTORIA AGO &amp; FILO SRL</t>
  </si>
  <si>
    <t>02759510429</t>
  </si>
  <si>
    <t>IT02759510429</t>
  </si>
  <si>
    <t>Ancona</t>
  </si>
  <si>
    <t>Marche</t>
  </si>
  <si>
    <t>2918.</t>
  </si>
  <si>
    <t>WESTERNBULL S.R.L.</t>
  </si>
  <si>
    <t>02210240509</t>
  </si>
  <si>
    <t>IT02210240509</t>
  </si>
  <si>
    <t>151209</t>
  </si>
  <si>
    <t>Pisa</t>
  </si>
  <si>
    <t>n.d.</t>
  </si>
  <si>
    <t>2919.</t>
  </si>
  <si>
    <t>JOLLY MANIFATTURE S.R.L.</t>
  </si>
  <si>
    <t>02772050544</t>
  </si>
  <si>
    <t>IT02772050544</t>
  </si>
  <si>
    <t>Perugia</t>
  </si>
  <si>
    <t>Umbria</t>
  </si>
  <si>
    <t>2920.</t>
  </si>
  <si>
    <t>MALIZIOSA S.R.L. - SOCIETA' A RESPONSABILITA' LIMITATA</t>
  </si>
  <si>
    <t>01159570447</t>
  </si>
  <si>
    <t>IT01159570447</t>
  </si>
  <si>
    <t>152010</t>
  </si>
  <si>
    <t>Fermo</t>
  </si>
  <si>
    <t>2921.</t>
  </si>
  <si>
    <t>BELTRAMI EMORE S.R.L.</t>
  </si>
  <si>
    <t>01645510361</t>
  </si>
  <si>
    <t>IT01645510361</t>
  </si>
  <si>
    <t>151200</t>
  </si>
  <si>
    <t>2922.</t>
  </si>
  <si>
    <t>CORIUM SRL</t>
  </si>
  <si>
    <t>06292990485</t>
  </si>
  <si>
    <t>IT06292990485</t>
  </si>
  <si>
    <t>Firenze</t>
  </si>
  <si>
    <t>2923.</t>
  </si>
  <si>
    <t>MAGICONF - S.R.L.</t>
  </si>
  <si>
    <t>00913650677</t>
  </si>
  <si>
    <t>IT00913650677</t>
  </si>
  <si>
    <t>141310</t>
  </si>
  <si>
    <t>Teramo</t>
  </si>
  <si>
    <t>Abruzzo</t>
  </si>
  <si>
    <t>2924.</t>
  </si>
  <si>
    <t>PLENA SRL</t>
  </si>
  <si>
    <t>11427570962</t>
  </si>
  <si>
    <t>IT11427570962</t>
  </si>
  <si>
    <t>Milano</t>
  </si>
  <si>
    <t>2925.</t>
  </si>
  <si>
    <t>MALVI &amp; CO. SRL</t>
  </si>
  <si>
    <t>05199130963</t>
  </si>
  <si>
    <t>IT05199130963</t>
  </si>
  <si>
    <t>141929</t>
  </si>
  <si>
    <t>2926.</t>
  </si>
  <si>
    <t>CALZATURIFICIO ETERNI S.R.L.S.</t>
  </si>
  <si>
    <t>05189390288</t>
  </si>
  <si>
    <t>IT05189390288</t>
  </si>
  <si>
    <t>2927.</t>
  </si>
  <si>
    <t>CA.LU'. - S.R.L.</t>
  </si>
  <si>
    <t>02350200651</t>
  </si>
  <si>
    <t>IT02350200651</t>
  </si>
  <si>
    <t>Napoli</t>
  </si>
  <si>
    <t>Campania</t>
  </si>
  <si>
    <t>2928.</t>
  </si>
  <si>
    <t>DITTA PIERONI BRUNO SOCIETA' A RESPONSABILITA' LIMITATA</t>
  </si>
  <si>
    <t>01806091003</t>
  </si>
  <si>
    <t>07556780588</t>
  </si>
  <si>
    <t>IT07556780588</t>
  </si>
  <si>
    <t>Roma</t>
  </si>
  <si>
    <t>Lazio</t>
  </si>
  <si>
    <t>2929.</t>
  </si>
  <si>
    <t>DENNY ROSE S.R.L.</t>
  </si>
  <si>
    <t>02666230368</t>
  </si>
  <si>
    <t>IT02666230368</t>
  </si>
  <si>
    <t>143900</t>
  </si>
  <si>
    <t>2930.</t>
  </si>
  <si>
    <t>STUDIO S.D.B. SRL</t>
  </si>
  <si>
    <t>03169390279</t>
  </si>
  <si>
    <t>IT03169390279</t>
  </si>
  <si>
    <t>2931.</t>
  </si>
  <si>
    <t>EBE GROUP S.R.L.</t>
  </si>
  <si>
    <t>03553760616</t>
  </si>
  <si>
    <t>IT03553760616</t>
  </si>
  <si>
    <t>Caserta</t>
  </si>
  <si>
    <t>2932.</t>
  </si>
  <si>
    <t>SCM S.R.L.</t>
  </si>
  <si>
    <t>05197520751</t>
  </si>
  <si>
    <t>IT05197520751</t>
  </si>
  <si>
    <t>Lecce</t>
  </si>
  <si>
    <t>Puglia</t>
  </si>
  <si>
    <t>2933.</t>
  </si>
  <si>
    <t>CALZATURIFICIO PEGASO S.R.L.</t>
  </si>
  <si>
    <t>01810200509</t>
  </si>
  <si>
    <t>IT01810200509</t>
  </si>
  <si>
    <t>2934.</t>
  </si>
  <si>
    <t>ARPEC ITALIA SRL</t>
  </si>
  <si>
    <t>01983390442</t>
  </si>
  <si>
    <t>IT01983390442</t>
  </si>
  <si>
    <t>152020</t>
  </si>
  <si>
    <t>Ascoli Piceno</t>
  </si>
  <si>
    <t>2935.</t>
  </si>
  <si>
    <t>CAMPEI S.R.L.</t>
  </si>
  <si>
    <t>00957780141</t>
  </si>
  <si>
    <t>IT00957780141</t>
  </si>
  <si>
    <t>Sondrio</t>
  </si>
  <si>
    <t>2936.</t>
  </si>
  <si>
    <t>A3 S.R.L.</t>
  </si>
  <si>
    <t>01972010126</t>
  </si>
  <si>
    <t>IT01972010126</t>
  </si>
  <si>
    <t>Varese</t>
  </si>
  <si>
    <t>2937.</t>
  </si>
  <si>
    <t>CURCI FASHION GROUP S.R.L.</t>
  </si>
  <si>
    <t>06985200721</t>
  </si>
  <si>
    <t>IT06985200721</t>
  </si>
  <si>
    <t>141100</t>
  </si>
  <si>
    <t>Barletta-Andria-Trani</t>
  </si>
  <si>
    <t>2938.</t>
  </si>
  <si>
    <t>SOZZI CALZE S.R.L.</t>
  </si>
  <si>
    <t>12874520153</t>
  </si>
  <si>
    <t>00126170224</t>
  </si>
  <si>
    <t>IT00126170224</t>
  </si>
  <si>
    <t>143100</t>
  </si>
  <si>
    <t>2939.</t>
  </si>
  <si>
    <t>ZANEBET S.R.L. UNIPERSONALE</t>
  </si>
  <si>
    <t>02805120249</t>
  </si>
  <si>
    <t>IT02805120249</t>
  </si>
  <si>
    <t>141300</t>
  </si>
  <si>
    <t>2940.</t>
  </si>
  <si>
    <t>LIA DIVA SRL</t>
  </si>
  <si>
    <t>09734681217</t>
  </si>
  <si>
    <t>IT09734681217</t>
  </si>
  <si>
    <t>2941.</t>
  </si>
  <si>
    <t>DGL S.R.L.</t>
  </si>
  <si>
    <t>13574441005</t>
  </si>
  <si>
    <t>IT13574441005</t>
  </si>
  <si>
    <t>2942.</t>
  </si>
  <si>
    <t>MAZZOLENI GLOVES S.R.L.</t>
  </si>
  <si>
    <t>03002220162</t>
  </si>
  <si>
    <t>IT03002220162</t>
  </si>
  <si>
    <t>Bergamo</t>
  </si>
  <si>
    <t>2943.</t>
  </si>
  <si>
    <t>SLIM ITALIA GROUP S.R.L.</t>
  </si>
  <si>
    <t>02080140854</t>
  </si>
  <si>
    <t>IT02080140854</t>
  </si>
  <si>
    <t>Caltanissetta</t>
  </si>
  <si>
    <t>Sicilia</t>
  </si>
  <si>
    <t>2944.</t>
  </si>
  <si>
    <t>MIDA TESSILE S.R.L.</t>
  </si>
  <si>
    <t>06906210726</t>
  </si>
  <si>
    <t>IT06906210726</t>
  </si>
  <si>
    <t>141310</t>
  </si>
  <si>
    <t>Barletta-Andria-Trani</t>
  </si>
  <si>
    <t>Puglia</t>
  </si>
  <si>
    <t>n.d.</t>
  </si>
  <si>
    <t>2945.</t>
  </si>
  <si>
    <t>COMPLESSO SAN LORENZO MAGGIORE S.R.L.</t>
  </si>
  <si>
    <t>04721761213</t>
  </si>
  <si>
    <t>IT04721761213</t>
  </si>
  <si>
    <t>152020</t>
  </si>
  <si>
    <t>Napoli</t>
  </si>
  <si>
    <t>Campania</t>
  </si>
  <si>
    <t>2946.</t>
  </si>
  <si>
    <t>NUOVA OFFICINE TESSILI S.R.L</t>
  </si>
  <si>
    <t>05904750725</t>
  </si>
  <si>
    <t>IT05904750725</t>
  </si>
  <si>
    <t>143000</t>
  </si>
  <si>
    <t>Bari</t>
  </si>
  <si>
    <t>2947.</t>
  </si>
  <si>
    <t>LA SCARPA &amp; CO. S.R.L.</t>
  </si>
  <si>
    <t>04347260400</t>
  </si>
  <si>
    <t>IT04347260400</t>
  </si>
  <si>
    <t>151209</t>
  </si>
  <si>
    <t>Rimini</t>
  </si>
  <si>
    <t>Emilia-Romagna</t>
  </si>
  <si>
    <t>2948.</t>
  </si>
  <si>
    <t>PIEROPAN &amp; BAUCE S.R.L.</t>
  </si>
  <si>
    <t>02989140245</t>
  </si>
  <si>
    <t>IT02989140245</t>
  </si>
  <si>
    <t>151100</t>
  </si>
  <si>
    <t>Vicenza</t>
  </si>
  <si>
    <t>Veneto</t>
  </si>
  <si>
    <t>2949.</t>
  </si>
  <si>
    <t>PELLICCERIA NOVELLA S.R.L.</t>
  </si>
  <si>
    <t>00696000249</t>
  </si>
  <si>
    <t>IT00696000249</t>
  </si>
  <si>
    <t>142000</t>
  </si>
  <si>
    <t>2950.</t>
  </si>
  <si>
    <t>P.A.T. S.R.L.</t>
  </si>
  <si>
    <t>03569220282</t>
  </si>
  <si>
    <t>IT03569220282</t>
  </si>
  <si>
    <t>Padova</t>
  </si>
  <si>
    <t>2951.</t>
  </si>
  <si>
    <t>BONETTO CINTURINI S.R.L.</t>
  </si>
  <si>
    <t>03278300243</t>
  </si>
  <si>
    <t>IT03278300243</t>
  </si>
  <si>
    <t>151200</t>
  </si>
  <si>
    <t>2952.</t>
  </si>
  <si>
    <t>OTTO S.R.L.</t>
  </si>
  <si>
    <t>04195040961</t>
  </si>
  <si>
    <t>IT04195040961</t>
  </si>
  <si>
    <t>141000</t>
  </si>
  <si>
    <t>Milano</t>
  </si>
  <si>
    <t>Lombardia</t>
  </si>
  <si>
    <t>2953.</t>
  </si>
  <si>
    <t>V.J. S.R.L.</t>
  </si>
  <si>
    <t>05347960725</t>
  </si>
  <si>
    <t>IT05347960725</t>
  </si>
  <si>
    <t>2954.</t>
  </si>
  <si>
    <t>CRISTINA BONFANTI S.R.L.</t>
  </si>
  <si>
    <t>10810090968</t>
  </si>
  <si>
    <t>IT10810090968</t>
  </si>
  <si>
    <t>Monza e della Brianza</t>
  </si>
  <si>
    <t>2955.</t>
  </si>
  <si>
    <t>+39 MANIFATTURE S.R.L.</t>
  </si>
  <si>
    <t>05821290961</t>
  </si>
  <si>
    <t>IT05821290961</t>
  </si>
  <si>
    <t>2956.</t>
  </si>
  <si>
    <t>SCACCO S.R.L.</t>
  </si>
  <si>
    <t>04801340235</t>
  </si>
  <si>
    <t>IT04801340235</t>
  </si>
  <si>
    <t>Verona</t>
  </si>
  <si>
    <t>2957.</t>
  </si>
  <si>
    <t>MELAPELL S.R.L.</t>
  </si>
  <si>
    <t>02396830248</t>
  </si>
  <si>
    <t>IT02396830248</t>
  </si>
  <si>
    <t>2958.</t>
  </si>
  <si>
    <t>INTERNATIONAL LEATHER WEAVINGS S.R.L.</t>
  </si>
  <si>
    <t>07005830489</t>
  </si>
  <si>
    <t>IT07005830489</t>
  </si>
  <si>
    <t>Firenze</t>
  </si>
  <si>
    <t>Toscana</t>
  </si>
  <si>
    <t>2959.</t>
  </si>
  <si>
    <t>FERRUCCI GROUP S.R.L.</t>
  </si>
  <si>
    <t>06984900727</t>
  </si>
  <si>
    <t>IT06984900727</t>
  </si>
  <si>
    <t>141400</t>
  </si>
  <si>
    <t>2960.</t>
  </si>
  <si>
    <t>LA FONTE PADS SRL</t>
  </si>
  <si>
    <t>03927500268</t>
  </si>
  <si>
    <t>IT03927500268</t>
  </si>
  <si>
    <t>141929</t>
  </si>
  <si>
    <t>Treviso</t>
  </si>
  <si>
    <t>2961.</t>
  </si>
  <si>
    <t>SUITE SARTORIA SOCIETA' A RESPONSABILITA' LIMITATA SEMPLIFICATA</t>
  </si>
  <si>
    <t>09182141219</t>
  </si>
  <si>
    <t>IT09182141219</t>
  </si>
  <si>
    <t>2962.</t>
  </si>
  <si>
    <t>CARLO DEPLANO S.R.L.</t>
  </si>
  <si>
    <t>02069630123</t>
  </si>
  <si>
    <t>IT02069630123</t>
  </si>
  <si>
    <t>141320</t>
  </si>
  <si>
    <t>Varese</t>
  </si>
  <si>
    <t>2963.</t>
  </si>
  <si>
    <t>EV SRL</t>
  </si>
  <si>
    <t>02018280020</t>
  </si>
  <si>
    <t>IT02018280020</t>
  </si>
  <si>
    <t>152010</t>
  </si>
  <si>
    <t>2964.</t>
  </si>
  <si>
    <t>CIGIEFFE - S.R.L.</t>
  </si>
  <si>
    <t>01442390025</t>
  </si>
  <si>
    <t>IT01442390025</t>
  </si>
  <si>
    <t>2965.</t>
  </si>
  <si>
    <t>ERRICO FORMICOLA SRL</t>
  </si>
  <si>
    <t>04514100652</t>
  </si>
  <si>
    <t>IT04514100652</t>
  </si>
  <si>
    <t>141910</t>
  </si>
  <si>
    <t>2966.</t>
  </si>
  <si>
    <t>CAMICERIA SANFORT S.R.L.</t>
  </si>
  <si>
    <t>04500590726</t>
  </si>
  <si>
    <t>IT04500590726</t>
  </si>
  <si>
    <t>2967.</t>
  </si>
  <si>
    <t>DIAL TESSILE SRL</t>
  </si>
  <si>
    <t>03072930047</t>
  </si>
  <si>
    <t>IT03072930047</t>
  </si>
  <si>
    <t>141200</t>
  </si>
  <si>
    <t>Cuneo</t>
  </si>
  <si>
    <t>Piemonte</t>
  </si>
  <si>
    <t>2968.</t>
  </si>
  <si>
    <t>MELANTO CONFEZIONI S.R.L.</t>
  </si>
  <si>
    <t>04462920754</t>
  </si>
  <si>
    <t>IT04462920754</t>
  </si>
  <si>
    <t>Lecce</t>
  </si>
  <si>
    <t>2969.</t>
  </si>
  <si>
    <t>YOKI S.R.L.</t>
  </si>
  <si>
    <t>02397650975</t>
  </si>
  <si>
    <t>IT02397650975</t>
  </si>
  <si>
    <t>Prato</t>
  </si>
  <si>
    <t>2970.</t>
  </si>
  <si>
    <t>SERIENUMERICA S.R.L.</t>
  </si>
  <si>
    <t>12254260016</t>
  </si>
  <si>
    <t>IT12254260016</t>
  </si>
  <si>
    <t>Torino</t>
  </si>
  <si>
    <t>2971.</t>
  </si>
  <si>
    <t>ESSERICAMI SRL</t>
  </si>
  <si>
    <t>02637210309</t>
  </si>
  <si>
    <t>IT02637210309</t>
  </si>
  <si>
    <t>Udine</t>
  </si>
  <si>
    <t>Friuli-Venezia Giulia</t>
  </si>
  <si>
    <t>2972.</t>
  </si>
  <si>
    <t>MAGLIFICIO GRILLO - SOCIETA' A RESPONSABILITA' LIMITATA IN FORMA ABBREVIATA MAGLIFICIO GRILLO S.R.L.</t>
  </si>
  <si>
    <t>00341810307</t>
  </si>
  <si>
    <t>IT00341810307</t>
  </si>
  <si>
    <t>2973.</t>
  </si>
  <si>
    <t>INTIMERI S.R.L.</t>
  </si>
  <si>
    <t>04044430983</t>
  </si>
  <si>
    <t>IT04044430983</t>
  </si>
  <si>
    <t>143100</t>
  </si>
  <si>
    <t>Brescia</t>
  </si>
  <si>
    <t>2974.</t>
  </si>
  <si>
    <t>IMA CASHMERE.IT S.R.L.</t>
  </si>
  <si>
    <t>03471990543</t>
  </si>
  <si>
    <t>IT03471990543</t>
  </si>
  <si>
    <t>143900</t>
  </si>
  <si>
    <t>Perugia</t>
  </si>
  <si>
    <t>Umbria</t>
  </si>
  <si>
    <t>2975.</t>
  </si>
  <si>
    <t>CARIM S.R.L.</t>
  </si>
  <si>
    <t>01194270441</t>
  </si>
  <si>
    <t>IT01194270441</t>
  </si>
  <si>
    <t>Fermo</t>
  </si>
  <si>
    <t>Marche</t>
  </si>
  <si>
    <t>2976.</t>
  </si>
  <si>
    <t>DRESS S.R.L.</t>
  </si>
  <si>
    <t>03467740282</t>
  </si>
  <si>
    <t>IT03467740282</t>
  </si>
  <si>
    <t>141000</t>
  </si>
  <si>
    <t>Padova</t>
  </si>
  <si>
    <t>Veneto</t>
  </si>
  <si>
    <t>2977.</t>
  </si>
  <si>
    <t>MADA GROUP S.R.L.</t>
  </si>
  <si>
    <t>08203731214</t>
  </si>
  <si>
    <t>IT08203731214</t>
  </si>
  <si>
    <t>141310</t>
  </si>
  <si>
    <t>Napoli</t>
  </si>
  <si>
    <t>Campania</t>
  </si>
  <si>
    <t>2978.</t>
  </si>
  <si>
    <t>LUCANA INTIMO SOCIETA' A RESPONSABILITA' LIMITATA SEMPLIFICATA</t>
  </si>
  <si>
    <t>02040130763</t>
  </si>
  <si>
    <t>IT02040130763</t>
  </si>
  <si>
    <t>141400</t>
  </si>
  <si>
    <t>Potenza</t>
  </si>
  <si>
    <t>Basilicata</t>
  </si>
  <si>
    <t>2979.</t>
  </si>
  <si>
    <t>CAMERUCCI S.R.L.</t>
  </si>
  <si>
    <t>02682240011</t>
  </si>
  <si>
    <t>IT02682240011</t>
  </si>
  <si>
    <t>141910</t>
  </si>
  <si>
    <t>Torino</t>
  </si>
  <si>
    <t>Piemonte</t>
  </si>
  <si>
    <t>2980.</t>
  </si>
  <si>
    <t>CALZIFICIO LUALDI S.R.L.</t>
  </si>
  <si>
    <t>00002860120</t>
  </si>
  <si>
    <t>IT00002860120</t>
  </si>
  <si>
    <t>143100</t>
  </si>
  <si>
    <t>Varese</t>
  </si>
  <si>
    <t>Lombardia</t>
  </si>
  <si>
    <t>2981.</t>
  </si>
  <si>
    <t>MUGELLO PROMOTIONAL SRL</t>
  </si>
  <si>
    <t>05033680488</t>
  </si>
  <si>
    <t>IT05033680488</t>
  </si>
  <si>
    <t>Firenze</t>
  </si>
  <si>
    <t>Toscana</t>
  </si>
  <si>
    <t>2982.</t>
  </si>
  <si>
    <t>DUE EFFE S.R.L.</t>
  </si>
  <si>
    <t>02349100137</t>
  </si>
  <si>
    <t>IT02349100137</t>
  </si>
  <si>
    <t>152000</t>
  </si>
  <si>
    <t>Como</t>
  </si>
  <si>
    <t>n.d.</t>
  </si>
  <si>
    <t>2983.</t>
  </si>
  <si>
    <t>NUOVA FLEX S.R.L.</t>
  </si>
  <si>
    <t>01555460508</t>
  </si>
  <si>
    <t>IT01555460508</t>
  </si>
  <si>
    <t>151100</t>
  </si>
  <si>
    <t>Pisa</t>
  </si>
  <si>
    <t>2984.</t>
  </si>
  <si>
    <t>Z STUDIO S.R.L.</t>
  </si>
  <si>
    <t>02541890410</t>
  </si>
  <si>
    <t>IT02541890410</t>
  </si>
  <si>
    <t>151209</t>
  </si>
  <si>
    <t>Pesaro e Urbino</t>
  </si>
  <si>
    <t>Marche</t>
  </si>
  <si>
    <t>2985.</t>
  </si>
  <si>
    <t>RECORD S.R.L.</t>
  </si>
  <si>
    <t>01555740446</t>
  </si>
  <si>
    <t>IT01555740446</t>
  </si>
  <si>
    <t>151200</t>
  </si>
  <si>
    <t>Ascoli Piceno</t>
  </si>
  <si>
    <t>2986.</t>
  </si>
  <si>
    <t>STEFY LINE S.R.L.</t>
  </si>
  <si>
    <t>01337250433</t>
  </si>
  <si>
    <t>IT01337250433</t>
  </si>
  <si>
    <t>Macerata</t>
  </si>
  <si>
    <t>2987.</t>
  </si>
  <si>
    <t>CLERICI &amp; BRAMBATI S.R.L.</t>
  </si>
  <si>
    <t>00434790127</t>
  </si>
  <si>
    <t>IT00434790127</t>
  </si>
  <si>
    <t>2988.</t>
  </si>
  <si>
    <t>TIEMME EXPORT - S.R.L.</t>
  </si>
  <si>
    <t>00495071201</t>
  </si>
  <si>
    <t>00511120354</t>
  </si>
  <si>
    <t>IT00511120354</t>
  </si>
  <si>
    <t>Bologna</t>
  </si>
  <si>
    <t>Emilia-Romagna</t>
  </si>
  <si>
    <t>2989.</t>
  </si>
  <si>
    <t>F.LLI FERRARA S.R.L.</t>
  </si>
  <si>
    <t>01152160436</t>
  </si>
  <si>
    <t>IT01152160436</t>
  </si>
  <si>
    <t>152020</t>
  </si>
  <si>
    <t>2990.</t>
  </si>
  <si>
    <t>IMI S.R.L.</t>
  </si>
  <si>
    <t>02564520415</t>
  </si>
  <si>
    <t>IT02564520415</t>
  </si>
  <si>
    <t>Ancona</t>
  </si>
  <si>
    <t>2991.</t>
  </si>
  <si>
    <t>MARTON CALZATURE S.R.L.</t>
  </si>
  <si>
    <t>03939460618</t>
  </si>
  <si>
    <t>IT03939460618</t>
  </si>
  <si>
    <t>152010</t>
  </si>
  <si>
    <t>Caserta</t>
  </si>
  <si>
    <t>2992.</t>
  </si>
  <si>
    <t>G.S. COUTURE SOCIETA' A RESPONSABILITA' LIMITATA SEMPLIFICATA</t>
  </si>
  <si>
    <t>09375021210</t>
  </si>
  <si>
    <t>IT09375021210</t>
  </si>
  <si>
    <t>141320</t>
  </si>
  <si>
    <t>2993.</t>
  </si>
  <si>
    <t>PIEGHETTATURA PECORARI S.R.L.</t>
  </si>
  <si>
    <t>01790280364</t>
  </si>
  <si>
    <t>IT01790280364</t>
  </si>
  <si>
    <t>Modena</t>
  </si>
  <si>
    <t>2994.</t>
  </si>
  <si>
    <t>PONTREMOLESI S.R.L.</t>
  </si>
  <si>
    <t>01850880483</t>
  </si>
  <si>
    <t>IT01850880483</t>
  </si>
  <si>
    <t>2995.</t>
  </si>
  <si>
    <t>ANNAB DIVISE S.R.L.</t>
  </si>
  <si>
    <t>02738170410</t>
  </si>
  <si>
    <t>IT02738170410</t>
  </si>
  <si>
    <t>141200</t>
  </si>
  <si>
    <t>2996.</t>
  </si>
  <si>
    <t>ALEA SHOES S.R.L.</t>
  </si>
  <si>
    <t>02396870467</t>
  </si>
  <si>
    <t>IT02396870467</t>
  </si>
  <si>
    <t>Lucca</t>
  </si>
  <si>
    <t>2997.</t>
  </si>
  <si>
    <t>ALEX 2000 S.R.L.</t>
  </si>
  <si>
    <t>00967720962</t>
  </si>
  <si>
    <t>09581000156</t>
  </si>
  <si>
    <t>IT09581000156</t>
  </si>
  <si>
    <t>Monza e della Brianza</t>
  </si>
  <si>
    <t>2998.</t>
  </si>
  <si>
    <t>GRUPPO TES.MED. S.R.L. UNIPERSONALE</t>
  </si>
  <si>
    <t>07140090726</t>
  </si>
  <si>
    <t>IT07140090726</t>
  </si>
  <si>
    <t>Barletta-Andria-Trani</t>
  </si>
  <si>
    <t>Puglia</t>
  </si>
  <si>
    <t>2999.</t>
  </si>
  <si>
    <t>CONCERIA PRIMA S.R.L.</t>
  </si>
  <si>
    <t>00333000503</t>
  </si>
  <si>
    <t>IT00333000503</t>
  </si>
  <si>
    <t>3000.</t>
  </si>
  <si>
    <t>FASHION POINT S.R.L.</t>
  </si>
  <si>
    <t>01561470707</t>
  </si>
  <si>
    <t>IT01561470707</t>
  </si>
  <si>
    <t>Campobasso</t>
  </si>
  <si>
    <t>Molise</t>
  </si>
  <si>
    <t>3001.</t>
  </si>
  <si>
    <t>PAOLO SEMERARO S.R.L.</t>
  </si>
  <si>
    <t>07582030727</t>
  </si>
  <si>
    <t>IT07582030727</t>
  </si>
  <si>
    <t>Bari</t>
  </si>
  <si>
    <t>3002.</t>
  </si>
  <si>
    <t>DIEFFE S.R.L.</t>
  </si>
  <si>
    <t>01929770764</t>
  </si>
  <si>
    <t>IT01929770764</t>
  </si>
  <si>
    <t>3003.</t>
  </si>
  <si>
    <t>S.R.L. LEU LOCATI</t>
  </si>
  <si>
    <t>03664510157</t>
  </si>
  <si>
    <t>IT03664510157</t>
  </si>
  <si>
    <t>Milano</t>
  </si>
  <si>
    <t>3004.</t>
  </si>
  <si>
    <t>RB26 S.R.L.</t>
  </si>
  <si>
    <t>02503060465</t>
  </si>
  <si>
    <t>IT02503060465</t>
  </si>
  <si>
    <t>3005.</t>
  </si>
  <si>
    <t>PAVI GROUP S.R.L.</t>
  </si>
  <si>
    <t>01960130696</t>
  </si>
  <si>
    <t>IT01960130696</t>
  </si>
  <si>
    <t>Chieti</t>
  </si>
  <si>
    <t>Abruzzo</t>
  </si>
  <si>
    <t>3006.</t>
  </si>
  <si>
    <t>P. &amp; C. ITALIA SOCIETA' A RESPONSABILITA' LIMITATA IN SIGLA P. &amp; C. ITALIA S.R.L.</t>
  </si>
  <si>
    <t>05964891211</t>
  </si>
  <si>
    <t>IT05964891211</t>
  </si>
  <si>
    <t>3007.</t>
  </si>
  <si>
    <t>MAGLIFICIO PEDONE S.R.L. A CAPITALE RIDOTTO</t>
  </si>
  <si>
    <t>04545270755</t>
  </si>
  <si>
    <t>IT04545270755</t>
  </si>
  <si>
    <t>143900</t>
  </si>
  <si>
    <t>Lecce</t>
  </si>
  <si>
    <t>3008.</t>
  </si>
  <si>
    <t>LAKE S.R.L.</t>
  </si>
  <si>
    <t>03555930985</t>
  </si>
  <si>
    <t>IT03555930985</t>
  </si>
  <si>
    <t>152010</t>
  </si>
  <si>
    <t>Brescia</t>
  </si>
  <si>
    <t>Lombardia</t>
  </si>
  <si>
    <t>3009.</t>
  </si>
  <si>
    <t>F.LLI BERNARDINI S.R.L.</t>
  </si>
  <si>
    <t>00435100441</t>
  </si>
  <si>
    <t>IT00435100441</t>
  </si>
  <si>
    <t>152020</t>
  </si>
  <si>
    <t>Fermo</t>
  </si>
  <si>
    <t>Marche</t>
  </si>
  <si>
    <t>3010.</t>
  </si>
  <si>
    <t>TOSCANA MIGNON SOCIETA' A RESPONSABILITA' LIMITATA</t>
  </si>
  <si>
    <t>02388150514</t>
  </si>
  <si>
    <t>IT02388150514</t>
  </si>
  <si>
    <t>Arezzo</t>
  </si>
  <si>
    <t>Toscana</t>
  </si>
  <si>
    <t>3011.</t>
  </si>
  <si>
    <t>J P M - S.R.L. CON UNICO SOCIO</t>
  </si>
  <si>
    <t>02367810468</t>
  </si>
  <si>
    <t>IT02367810468</t>
  </si>
  <si>
    <t>151209</t>
  </si>
  <si>
    <t>Lucca</t>
  </si>
  <si>
    <t>n.d.</t>
  </si>
  <si>
    <t>3012.</t>
  </si>
  <si>
    <t>IDEA S.R.L.S.</t>
  </si>
  <si>
    <t>02239730506</t>
  </si>
  <si>
    <t>IT02239730506</t>
  </si>
  <si>
    <t>143900</t>
  </si>
  <si>
    <t>Pisa</t>
  </si>
  <si>
    <t>3013.</t>
  </si>
  <si>
    <t>CALZATURIFICIO FAUZIAN JEUNESSE - S.R.L</t>
  </si>
  <si>
    <t>01447720440</t>
  </si>
  <si>
    <t>IT01447720440</t>
  </si>
  <si>
    <t>3014.</t>
  </si>
  <si>
    <t>M.G. FASHION SOCIETA' A RESPONSABILITA' LIMITATA</t>
  </si>
  <si>
    <t>02443820739</t>
  </si>
  <si>
    <t>IT02443820739</t>
  </si>
  <si>
    <t>141310</t>
  </si>
  <si>
    <t>Taranto</t>
  </si>
  <si>
    <t>Puglia</t>
  </si>
  <si>
    <t>3015.</t>
  </si>
  <si>
    <t>RISERVA SRL</t>
  </si>
  <si>
    <t>01126540267</t>
  </si>
  <si>
    <t>IT01126540267</t>
  </si>
  <si>
    <t>Treviso</t>
  </si>
  <si>
    <t>Veneto</t>
  </si>
  <si>
    <t>3016.</t>
  </si>
  <si>
    <t>VARESE RETTILI PELLETTERIA S.R.L.</t>
  </si>
  <si>
    <t>02660230125</t>
  </si>
  <si>
    <t>IT02660230125</t>
  </si>
  <si>
    <t>151200</t>
  </si>
  <si>
    <t>Varese</t>
  </si>
  <si>
    <t>3017.</t>
  </si>
  <si>
    <t>LM FASHION S.R.L.</t>
  </si>
  <si>
    <t>02862550643</t>
  </si>
  <si>
    <t>IT02862550643</t>
  </si>
  <si>
    <t>Avellino</t>
  </si>
  <si>
    <t>Campania</t>
  </si>
  <si>
    <t>3018.</t>
  </si>
  <si>
    <t>DIMOTEX SOCIETA' A RESPONSABILITA' LIMITATA SEMPLIFICATA</t>
  </si>
  <si>
    <t>01302270770</t>
  </si>
  <si>
    <t>IT01302270770</t>
  </si>
  <si>
    <t>Matera</t>
  </si>
  <si>
    <t>Basilicata</t>
  </si>
  <si>
    <t>3019.</t>
  </si>
  <si>
    <t>FERPANT S.R.L</t>
  </si>
  <si>
    <t>05881610652</t>
  </si>
  <si>
    <t>IT05881610652</t>
  </si>
  <si>
    <t>Salerno</t>
  </si>
  <si>
    <t>3020.</t>
  </si>
  <si>
    <t>M.T. TREND FASHION FACTORY S.R.L.</t>
  </si>
  <si>
    <t>03028030165</t>
  </si>
  <si>
    <t>IT03028030165</t>
  </si>
  <si>
    <t>141910</t>
  </si>
  <si>
    <t>3021.</t>
  </si>
  <si>
    <t>CENTRO BEL FURS DIFFUSIONE PELLICCE S.R.L.</t>
  </si>
  <si>
    <t>02299611208</t>
  </si>
  <si>
    <t>IT02299611208</t>
  </si>
  <si>
    <t>142000</t>
  </si>
  <si>
    <t>Bologna</t>
  </si>
  <si>
    <t>Emilia-Romagna</t>
  </si>
  <si>
    <t>3022.</t>
  </si>
  <si>
    <t>SPECIAL ZIPPER S.R.L.S.</t>
  </si>
  <si>
    <t>01967240472</t>
  </si>
  <si>
    <t>IT01967240472</t>
  </si>
  <si>
    <t>3023.</t>
  </si>
  <si>
    <t>OKINAWA OPERATIONS SRL UNIPERSONALE</t>
  </si>
  <si>
    <t>05057460288</t>
  </si>
  <si>
    <t>IT05057460288</t>
  </si>
  <si>
    <t>Padova</t>
  </si>
  <si>
    <t>3024.</t>
  </si>
  <si>
    <t>SARIPEL &amp; CO. S.R.L.</t>
  </si>
  <si>
    <t>01323910479</t>
  </si>
  <si>
    <t>IT01323910479</t>
  </si>
  <si>
    <t>141900</t>
  </si>
  <si>
    <t>Pistoia</t>
  </si>
  <si>
    <t>3025.</t>
  </si>
  <si>
    <t>SPAZIO MODA - S.R.L.</t>
  </si>
  <si>
    <t>01063130197</t>
  </si>
  <si>
    <t>IT01063130197</t>
  </si>
  <si>
    <t>141400</t>
  </si>
  <si>
    <t>Cremona</t>
  </si>
  <si>
    <t>3026.</t>
  </si>
  <si>
    <t>ROVER - S.R.L.</t>
  </si>
  <si>
    <t>00434110060</t>
  </si>
  <si>
    <t>IT00434110060</t>
  </si>
  <si>
    <t>Alessandria</t>
  </si>
  <si>
    <t>Piemonte</t>
  </si>
  <si>
    <t>3027.</t>
  </si>
  <si>
    <t>AQUARELLE S.R.L.</t>
  </si>
  <si>
    <t>00927850131</t>
  </si>
  <si>
    <t>IT00927850131</t>
  </si>
  <si>
    <t>Como</t>
  </si>
  <si>
    <t>3028.</t>
  </si>
  <si>
    <t>LIFE INTIMO S.R.L.</t>
  </si>
  <si>
    <t>04421770720</t>
  </si>
  <si>
    <t>IT04421770720</t>
  </si>
  <si>
    <t>Barletta-Andria-Trani</t>
  </si>
  <si>
    <t>3029.</t>
  </si>
  <si>
    <t>LONGINO D'URSO 1.0 S.R.L.</t>
  </si>
  <si>
    <t>02320430644</t>
  </si>
  <si>
    <t>IT02320430644</t>
  </si>
  <si>
    <t>151100</t>
  </si>
  <si>
    <t>Milano</t>
  </si>
  <si>
    <t>3030.</t>
  </si>
  <si>
    <t>GREEN LIFE CALZATURE S.R.L.</t>
  </si>
  <si>
    <t>02648280390</t>
  </si>
  <si>
    <t>IT02648280390</t>
  </si>
  <si>
    <t>Ravenna</t>
  </si>
  <si>
    <t>3031.</t>
  </si>
  <si>
    <t>MIM'S MODA S.R.L.</t>
  </si>
  <si>
    <t>02361550979</t>
  </si>
  <si>
    <t>IT02361550979</t>
  </si>
  <si>
    <t>Prato</t>
  </si>
  <si>
    <t>3032.</t>
  </si>
  <si>
    <t>CALZATURIFICIO NEW GISAB DI BUONO SALVATORE S.R.L.</t>
  </si>
  <si>
    <t>03202660720</t>
  </si>
  <si>
    <t>IT03202660720</t>
  </si>
  <si>
    <t>152000</t>
  </si>
  <si>
    <t>3033.</t>
  </si>
  <si>
    <t>VELA S.R.L.</t>
  </si>
  <si>
    <t>01287630295</t>
  </si>
  <si>
    <t>IT01287630295</t>
  </si>
  <si>
    <t>Rovigo</t>
  </si>
  <si>
    <t>3034.</t>
  </si>
  <si>
    <t>EUROFUR S.R.L.</t>
  </si>
  <si>
    <t>01309160503</t>
  </si>
  <si>
    <t>IT01309160503</t>
  </si>
  <si>
    <t>3035.</t>
  </si>
  <si>
    <t>ARCTE S.R.L.</t>
  </si>
  <si>
    <t>08348080725</t>
  </si>
  <si>
    <t>IT08348080725</t>
  </si>
  <si>
    <t>Bari</t>
  </si>
  <si>
    <t>3036.</t>
  </si>
  <si>
    <t>I.S.A. S.R.L.</t>
  </si>
  <si>
    <t>02429970755</t>
  </si>
  <si>
    <t>IT02429970755</t>
  </si>
  <si>
    <t>141000</t>
  </si>
  <si>
    <t>Lecce</t>
  </si>
  <si>
    <t>3037.</t>
  </si>
  <si>
    <t>MANIFATTURE ST.A.R. S.R.L.</t>
  </si>
  <si>
    <t>07531250723</t>
  </si>
  <si>
    <t>IT07531250723</t>
  </si>
  <si>
    <t>3038.</t>
  </si>
  <si>
    <t>ERREDI TESS S.R.L.</t>
  </si>
  <si>
    <t>00972600290</t>
  </si>
  <si>
    <t>IT00972600290</t>
  </si>
  <si>
    <t>3039.</t>
  </si>
  <si>
    <t>STESON S.R.L.</t>
  </si>
  <si>
    <t>01257180420</t>
  </si>
  <si>
    <t>IT01257180420</t>
  </si>
  <si>
    <t>Perugia</t>
  </si>
  <si>
    <t>Umbria</t>
  </si>
  <si>
    <t>3040.</t>
  </si>
  <si>
    <t>BEMA S.R.L.</t>
  </si>
  <si>
    <t>03368410241</t>
  </si>
  <si>
    <t>IT03368410241</t>
  </si>
  <si>
    <t>151100</t>
  </si>
  <si>
    <t>Vicenza</t>
  </si>
  <si>
    <t>Veneto</t>
  </si>
  <si>
    <t>n.d.</t>
  </si>
  <si>
    <t>3041.</t>
  </si>
  <si>
    <t>CINTURINI DI ARIGNANO SRL</t>
  </si>
  <si>
    <t>05993670016</t>
  </si>
  <si>
    <t>IT05993670016</t>
  </si>
  <si>
    <t>151209</t>
  </si>
  <si>
    <t>Torino</t>
  </si>
  <si>
    <t>Piemonte</t>
  </si>
  <si>
    <t>3042.</t>
  </si>
  <si>
    <t>APEX S.R.L.</t>
  </si>
  <si>
    <t>01849280126</t>
  </si>
  <si>
    <t>IT01849280126</t>
  </si>
  <si>
    <t>151200</t>
  </si>
  <si>
    <t>Varese</t>
  </si>
  <si>
    <t>Lombardia</t>
  </si>
  <si>
    <t>3043.</t>
  </si>
  <si>
    <t>C 3 V S.R.L.</t>
  </si>
  <si>
    <t>04088220720</t>
  </si>
  <si>
    <t>IT04088220720</t>
  </si>
  <si>
    <t>141000</t>
  </si>
  <si>
    <t>Barletta-Andria-Trani</t>
  </si>
  <si>
    <t>Puglia</t>
  </si>
  <si>
    <t>3044.</t>
  </si>
  <si>
    <t>CARNAVAL QUEEN S.R.L.</t>
  </si>
  <si>
    <t>02548210125</t>
  </si>
  <si>
    <t>IT02548210125</t>
  </si>
  <si>
    <t>141929</t>
  </si>
  <si>
    <t>3045.</t>
  </si>
  <si>
    <t>CONCERIA N.C.L. SOCIETA' A RESPONSABILITA' LIMITATA</t>
  </si>
  <si>
    <t>01902230646</t>
  </si>
  <si>
    <t>IT01902230646</t>
  </si>
  <si>
    <t>Avellino</t>
  </si>
  <si>
    <t>Campania</t>
  </si>
  <si>
    <t>3046.</t>
  </si>
  <si>
    <t>CARLETTI FASHION S.R.L.</t>
  </si>
  <si>
    <t>02465060743</t>
  </si>
  <si>
    <t>IT02465060743</t>
  </si>
  <si>
    <t>141910</t>
  </si>
  <si>
    <t>Brindisi</t>
  </si>
  <si>
    <t>3047.</t>
  </si>
  <si>
    <t>MESH S.R.L.</t>
  </si>
  <si>
    <t>01987440433</t>
  </si>
  <si>
    <t>IT01987440433</t>
  </si>
  <si>
    <t>152010</t>
  </si>
  <si>
    <t>Fermo</t>
  </si>
  <si>
    <t>Marche</t>
  </si>
  <si>
    <t>3048.</t>
  </si>
  <si>
    <t>DAMA COMPANY S.R.L.</t>
  </si>
  <si>
    <t>02164660033</t>
  </si>
  <si>
    <t>IT02164660033</t>
  </si>
  <si>
    <t>Monza e della Brianza</t>
  </si>
  <si>
    <t>3049.</t>
  </si>
  <si>
    <t>EN.ZI.MA S.R.L.</t>
  </si>
  <si>
    <t>05659580483</t>
  </si>
  <si>
    <t>IT05659580483</t>
  </si>
  <si>
    <t>Firenze</t>
  </si>
  <si>
    <t>Toscana</t>
  </si>
  <si>
    <t>3050.</t>
  </si>
  <si>
    <t>CALZATURIFICIO CAPPELLI S.R.L.</t>
  </si>
  <si>
    <t>00087700472</t>
  </si>
  <si>
    <t>IT00087700472</t>
  </si>
  <si>
    <t>Pistoia</t>
  </si>
  <si>
    <t>3051.</t>
  </si>
  <si>
    <t>COMPLIT S.R.L.</t>
  </si>
  <si>
    <t>01231930445</t>
  </si>
  <si>
    <t>IT01231930445</t>
  </si>
  <si>
    <t>3052.</t>
  </si>
  <si>
    <t>TO FIT COMPANY SRL</t>
  </si>
  <si>
    <t>04277190247</t>
  </si>
  <si>
    <t>IT04277190247</t>
  </si>
  <si>
    <t>3053.</t>
  </si>
  <si>
    <t>PELLETTERIE SANT'AGOSTINO S.R.L.</t>
  </si>
  <si>
    <t>11918010155</t>
  </si>
  <si>
    <t>IT11918010155</t>
  </si>
  <si>
    <t>Milano</t>
  </si>
  <si>
    <t>3054.</t>
  </si>
  <si>
    <t>ITALIAN FASHION COMPANY SRL IN SIGLA I.F.C.</t>
  </si>
  <si>
    <t>02020380032</t>
  </si>
  <si>
    <t>IT02020380032</t>
  </si>
  <si>
    <t>Verbano-Cusio-Ossola</t>
  </si>
  <si>
    <t>3055.</t>
  </si>
  <si>
    <t>ANGELETTI GROUP S.R.L.</t>
  </si>
  <si>
    <t>02169740442</t>
  </si>
  <si>
    <t>IT02169740442</t>
  </si>
  <si>
    <t>152020</t>
  </si>
  <si>
    <t>3056.</t>
  </si>
  <si>
    <t>MASIERO CONFEZIONI S.R.L.</t>
  </si>
  <si>
    <t>00259830271</t>
  </si>
  <si>
    <t>IT00259830271</t>
  </si>
  <si>
    <t>141320</t>
  </si>
  <si>
    <t>Venezia</t>
  </si>
  <si>
    <t>3057.</t>
  </si>
  <si>
    <t>DUE CI S.R.L.</t>
  </si>
  <si>
    <t>02498590542</t>
  </si>
  <si>
    <t>IT02498590542</t>
  </si>
  <si>
    <t>143900</t>
  </si>
  <si>
    <t>Perugia</t>
  </si>
  <si>
    <t>Umbria</t>
  </si>
  <si>
    <t>3058.</t>
  </si>
  <si>
    <t>MEDIATEX S.R.L.</t>
  </si>
  <si>
    <t>05207971218</t>
  </si>
  <si>
    <t>IT05207971218</t>
  </si>
  <si>
    <t>Napoli</t>
  </si>
  <si>
    <t>3059.</t>
  </si>
  <si>
    <t>CALZATURIFICIO PAMAR SOCIETA' A RESPONSABILITA' LIMITATA IN BREVE CALZATURIFICIO PAMAR S.R.L.</t>
  </si>
  <si>
    <t>01500110471</t>
  </si>
  <si>
    <t>IT01500110471</t>
  </si>
  <si>
    <t>3060.</t>
  </si>
  <si>
    <t>NICCOLI S.R.L.</t>
  </si>
  <si>
    <t>04888220482</t>
  </si>
  <si>
    <t>IT04888220482</t>
  </si>
  <si>
    <t>3061.</t>
  </si>
  <si>
    <t>CONFEZIONI ECCLESIASTICHE PANAROTTO S.R.L. SIGLA: CONFEZIONI ECCLESIASTICHE S.R.L.</t>
  </si>
  <si>
    <t>03615840240</t>
  </si>
  <si>
    <t>IT03615840240</t>
  </si>
  <si>
    <t>141200</t>
  </si>
  <si>
    <t>3062.</t>
  </si>
  <si>
    <t>CINTURIFICIO BRESCIANO S.R.L.</t>
  </si>
  <si>
    <t>00274410174</t>
  </si>
  <si>
    <t>IT00274410174</t>
  </si>
  <si>
    <t>Brescia</t>
  </si>
  <si>
    <t>3063.</t>
  </si>
  <si>
    <t>G&amp;Q SOCIETA' A RESPONSABILITA' LIMITATA SEMPLIFICATA</t>
  </si>
  <si>
    <t>02392520447</t>
  </si>
  <si>
    <t>IT02392520447</t>
  </si>
  <si>
    <t>3064.</t>
  </si>
  <si>
    <t>E.GI. SRL</t>
  </si>
  <si>
    <t>01421200435</t>
  </si>
  <si>
    <t>IT01421200435</t>
  </si>
  <si>
    <t>Macerata</t>
  </si>
  <si>
    <t>3065.</t>
  </si>
  <si>
    <t>VIOLA RASATURA PELLI S.R.L.</t>
  </si>
  <si>
    <t>02271660504</t>
  </si>
  <si>
    <t>IT02271660504</t>
  </si>
  <si>
    <t>Pisa</t>
  </si>
  <si>
    <t>3066.</t>
  </si>
  <si>
    <t>LE FILANDE S.R.L. - CON UN UNICO SOCIO</t>
  </si>
  <si>
    <t>03019610272</t>
  </si>
  <si>
    <t>IT03019610272</t>
  </si>
  <si>
    <t>3067.</t>
  </si>
  <si>
    <t>G.A.S. GROUP SOCIETA' A RESPONSABILITA' LIMITATA</t>
  </si>
  <si>
    <t>06951270484</t>
  </si>
  <si>
    <t>IT06951270484</t>
  </si>
  <si>
    <t>3068.</t>
  </si>
  <si>
    <t>GIFRAL S.R.L.</t>
  </si>
  <si>
    <t>05935291210</t>
  </si>
  <si>
    <t>IT05935291210</t>
  </si>
  <si>
    <t>3069.</t>
  </si>
  <si>
    <t>SUNSHINE FASHION S.R.L.</t>
  </si>
  <si>
    <t>02442440976</t>
  </si>
  <si>
    <t>IT02442440976</t>
  </si>
  <si>
    <t>141310</t>
  </si>
  <si>
    <t>Prato</t>
  </si>
  <si>
    <t>3070.</t>
  </si>
  <si>
    <t>SUOLIFICIO ORMA S.R.L.</t>
  </si>
  <si>
    <t>05008351214</t>
  </si>
  <si>
    <t>IT05008351214</t>
  </si>
  <si>
    <t>3071.</t>
  </si>
  <si>
    <t>CONFEZIONE CALI' DI FALCETTA &amp; C. SRL</t>
  </si>
  <si>
    <t>00366060127</t>
  </si>
  <si>
    <t>IT00366060127</t>
  </si>
  <si>
    <t>3072.</t>
  </si>
  <si>
    <t>CREDO S.R.L.</t>
  </si>
  <si>
    <t>04060380401</t>
  </si>
  <si>
    <t>IT04060380401</t>
  </si>
  <si>
    <t>151209</t>
  </si>
  <si>
    <t>Forlì-Cesena</t>
  </si>
  <si>
    <t>Emilia-Romagna</t>
  </si>
  <si>
    <t>3073.</t>
  </si>
  <si>
    <t>TACCHIFICIO BERDINI S.R.L.</t>
  </si>
  <si>
    <t>01569770439</t>
  </si>
  <si>
    <t>IT01569770439</t>
  </si>
  <si>
    <t>152020</t>
  </si>
  <si>
    <t>Macerata</t>
  </si>
  <si>
    <t>Marche</t>
  </si>
  <si>
    <t>3074.</t>
  </si>
  <si>
    <t>ISTITUTO ORTOPEDICO PICENO S.R.L.</t>
  </si>
  <si>
    <t>02098530443</t>
  </si>
  <si>
    <t>IT02098530443</t>
  </si>
  <si>
    <t>152010</t>
  </si>
  <si>
    <t>Ascoli Piceno</t>
  </si>
  <si>
    <t>3075.</t>
  </si>
  <si>
    <t>DORICA VESTIS SRL</t>
  </si>
  <si>
    <t>02446770428</t>
  </si>
  <si>
    <t>IT02446770428</t>
  </si>
  <si>
    <t>141310</t>
  </si>
  <si>
    <t>Perugia</t>
  </si>
  <si>
    <t>Umbria</t>
  </si>
  <si>
    <t>3076.</t>
  </si>
  <si>
    <t>CARIDEI BROS.GLOVES SRL</t>
  </si>
  <si>
    <t>08886531212</t>
  </si>
  <si>
    <t>IT08886531212</t>
  </si>
  <si>
    <t>141910</t>
  </si>
  <si>
    <t>Napoli</t>
  </si>
  <si>
    <t>Campania</t>
  </si>
  <si>
    <t>3077.</t>
  </si>
  <si>
    <t>ROBERTA TONINI S.R.L.</t>
  </si>
  <si>
    <t>03671400244</t>
  </si>
  <si>
    <t>IT03671400244</t>
  </si>
  <si>
    <t>141929</t>
  </si>
  <si>
    <t>Vicenza</t>
  </si>
  <si>
    <t>Veneto</t>
  </si>
  <si>
    <t>n.d.</t>
  </si>
  <si>
    <t>3078.</t>
  </si>
  <si>
    <t>CALZIFICIO NEGRISOLI S.R.L.</t>
  </si>
  <si>
    <t>00627040207</t>
  </si>
  <si>
    <t>IT00627040207</t>
  </si>
  <si>
    <t>143100</t>
  </si>
  <si>
    <t>Mantova</t>
  </si>
  <si>
    <t>Lombardia</t>
  </si>
  <si>
    <t>3079.</t>
  </si>
  <si>
    <t>PRONTO PELLI S.R.L.</t>
  </si>
  <si>
    <t>02611440641</t>
  </si>
  <si>
    <t>IT02611440641</t>
  </si>
  <si>
    <t>151100</t>
  </si>
  <si>
    <t>Avellino</t>
  </si>
  <si>
    <t>3080.</t>
  </si>
  <si>
    <t>DISTRIBUZIONE TESSILE S.R.L.</t>
  </si>
  <si>
    <t>07909010725</t>
  </si>
  <si>
    <t>IT07909010725</t>
  </si>
  <si>
    <t>Bari</t>
  </si>
  <si>
    <t>Puglia</t>
  </si>
  <si>
    <t>3081.</t>
  </si>
  <si>
    <t>TINO VIVIANI SARTORIA S.R.L.</t>
  </si>
  <si>
    <t>02431570023</t>
  </si>
  <si>
    <t>IT02431570023</t>
  </si>
  <si>
    <t>141000</t>
  </si>
  <si>
    <t>Vercelli</t>
  </si>
  <si>
    <t>Piemonte</t>
  </si>
  <si>
    <t>3082.</t>
  </si>
  <si>
    <t>NORDOVEST S.R.L.</t>
  </si>
  <si>
    <t>10106430019</t>
  </si>
  <si>
    <t>IT10106430019</t>
  </si>
  <si>
    <t>Torino</t>
  </si>
  <si>
    <t>3083.</t>
  </si>
  <si>
    <t>MANIFATTURA FERMANA SRL</t>
  </si>
  <si>
    <t>01327310445</t>
  </si>
  <si>
    <t>IT01327310445</t>
  </si>
  <si>
    <t>Fermo</t>
  </si>
  <si>
    <t>3084.</t>
  </si>
  <si>
    <t>GUANTI GIGLIO FIORENTINO S.R.L.</t>
  </si>
  <si>
    <t>05370760489</t>
  </si>
  <si>
    <t>IT05370760489</t>
  </si>
  <si>
    <t>Firenze</t>
  </si>
  <si>
    <t>Toscana</t>
  </si>
  <si>
    <t>3085.</t>
  </si>
  <si>
    <t>CONFEZIONI ALEXANDER S.R.L.</t>
  </si>
  <si>
    <t>03314160403</t>
  </si>
  <si>
    <t>IT03314160403</t>
  </si>
  <si>
    <t>3086.</t>
  </si>
  <si>
    <t>MICIO SOCIETA' A RESPONSABILITA' LIMITATA SEMPLIFICATA</t>
  </si>
  <si>
    <t>04726360284</t>
  </si>
  <si>
    <t>IT04726360284</t>
  </si>
  <si>
    <t>Padova</t>
  </si>
  <si>
    <t>3087.</t>
  </si>
  <si>
    <t>GI &amp; GI ICE FASHION SRL</t>
  </si>
  <si>
    <t>11937750013</t>
  </si>
  <si>
    <t>IT11937750013</t>
  </si>
  <si>
    <t>3088.</t>
  </si>
  <si>
    <t>CORBARA - S.R.L.</t>
  </si>
  <si>
    <t>03314600655</t>
  </si>
  <si>
    <t>IT03314600655</t>
  </si>
  <si>
    <t>141200</t>
  </si>
  <si>
    <t>Salerno</t>
  </si>
  <si>
    <t>3089.</t>
  </si>
  <si>
    <t>VINCI UOMO S.R.L.</t>
  </si>
  <si>
    <t>04527190153</t>
  </si>
  <si>
    <t>IT04527190153</t>
  </si>
  <si>
    <t>141100</t>
  </si>
  <si>
    <t>Milano</t>
  </si>
  <si>
    <t>3090.</t>
  </si>
  <si>
    <t>E.S. WEARING SERVICE S.R.L. IN FORMA ABBREVIATA E.S.W.S. S.R.L.</t>
  </si>
  <si>
    <t>04187330230</t>
  </si>
  <si>
    <t>IT04187330230</t>
  </si>
  <si>
    <t>141400</t>
  </si>
  <si>
    <t>Verona</t>
  </si>
  <si>
    <t>3091.</t>
  </si>
  <si>
    <t>CONFEZIONI ELEGANT S.R.L.</t>
  </si>
  <si>
    <t>00431150424</t>
  </si>
  <si>
    <t>IT00431150424</t>
  </si>
  <si>
    <t>Ancona</t>
  </si>
  <si>
    <t>3092.</t>
  </si>
  <si>
    <t>SANTERASMOCINQUE S.R.L.</t>
  </si>
  <si>
    <t>06830240963</t>
  </si>
  <si>
    <t>IT06830240963</t>
  </si>
  <si>
    <t>141320</t>
  </si>
  <si>
    <t>3093.</t>
  </si>
  <si>
    <t>FANTASY 2000 S.R.L.</t>
  </si>
  <si>
    <t>03707641217</t>
  </si>
  <si>
    <t>IT03707641217</t>
  </si>
  <si>
    <t>3094.</t>
  </si>
  <si>
    <t>PARICOP S.R.L.</t>
  </si>
  <si>
    <t>01583170426</t>
  </si>
  <si>
    <t>IT01583170426</t>
  </si>
  <si>
    <t>3095.</t>
  </si>
  <si>
    <t>SHOES &amp; SHOES SOCIETA' A RESPONSABILITA' LIMITATA</t>
  </si>
  <si>
    <t>03511870614</t>
  </si>
  <si>
    <t>IT03511870614</t>
  </si>
  <si>
    <t>Caserta</t>
  </si>
  <si>
    <t>3096.</t>
  </si>
  <si>
    <t>ITALIAN FASHION PATTERNS S.R.L.</t>
  </si>
  <si>
    <t>04135630244</t>
  </si>
  <si>
    <t>IT04135630244</t>
  </si>
  <si>
    <t>3097.</t>
  </si>
  <si>
    <t>TARTABINI E NASINI S.R.L.</t>
  </si>
  <si>
    <t>00872910443</t>
  </si>
  <si>
    <t>IT00872910443</t>
  </si>
  <si>
    <t>3098.</t>
  </si>
  <si>
    <t>MS SERVIZI S.R.L.</t>
  </si>
  <si>
    <t>04253550232</t>
  </si>
  <si>
    <t>IT04253550232</t>
  </si>
  <si>
    <t>3099.</t>
  </si>
  <si>
    <t>SANTARELLI SARTORIA SOCIETA' A RESPONSABILITA' LIMITATA</t>
  </si>
  <si>
    <t>07815270728</t>
  </si>
  <si>
    <t>IT07815270728</t>
  </si>
  <si>
    <t>3100.</t>
  </si>
  <si>
    <t>PARENTINI BIKE WEAR S.R.L.</t>
  </si>
  <si>
    <t>01584880502</t>
  </si>
  <si>
    <t>IT01584880502</t>
  </si>
  <si>
    <t>Pisa</t>
  </si>
  <si>
    <t>3101.</t>
  </si>
  <si>
    <t>MAGLIFICIO DORI S.R.L.</t>
  </si>
  <si>
    <t>00621580125</t>
  </si>
  <si>
    <t>IT00621580125</t>
  </si>
  <si>
    <t>143900</t>
  </si>
  <si>
    <t>Varese</t>
  </si>
  <si>
    <t>3102.</t>
  </si>
  <si>
    <t>SPAFIL S.R.L.</t>
  </si>
  <si>
    <t>02247400738</t>
  </si>
  <si>
    <t>IT02247400738</t>
  </si>
  <si>
    <t>Taranto</t>
  </si>
  <si>
    <t>3103.</t>
  </si>
  <si>
    <t>LAPEC SUN S.R.L.</t>
  </si>
  <si>
    <t>01744640507</t>
  </si>
  <si>
    <t>IT01744640507</t>
  </si>
  <si>
    <t>3104.</t>
  </si>
  <si>
    <t>MA.MA. SOCIETA' A RESPONSABILITA' LIMITATA SEMPLIFICATA</t>
  </si>
  <si>
    <t>01932060674</t>
  </si>
  <si>
    <t>IT01932060674</t>
  </si>
  <si>
    <t>143900</t>
  </si>
  <si>
    <t>Teramo</t>
  </si>
  <si>
    <t>Abruzzo</t>
  </si>
  <si>
    <t>3105.</t>
  </si>
  <si>
    <t>LONGO &amp; C. S.R.L.</t>
  </si>
  <si>
    <t>03417430240</t>
  </si>
  <si>
    <t>IT03417430240</t>
  </si>
  <si>
    <t>Vicenza</t>
  </si>
  <si>
    <t>Veneto</t>
  </si>
  <si>
    <t>3106.</t>
  </si>
  <si>
    <t>HAND LINE COMPANY S.R.L.</t>
  </si>
  <si>
    <t>02050010129</t>
  </si>
  <si>
    <t>IT02050010129</t>
  </si>
  <si>
    <t>141200</t>
  </si>
  <si>
    <t>Como</t>
  </si>
  <si>
    <t>Lombardia</t>
  </si>
  <si>
    <t>3107.</t>
  </si>
  <si>
    <t>COPE.S S.R.L.</t>
  </si>
  <si>
    <t>02229120544</t>
  </si>
  <si>
    <t>IT02229120544</t>
  </si>
  <si>
    <t>141310</t>
  </si>
  <si>
    <t>Perugia</t>
  </si>
  <si>
    <t>Umbria</t>
  </si>
  <si>
    <t>3108.</t>
  </si>
  <si>
    <t>LANIFICIO DELL'ORSO - S.R.L.</t>
  </si>
  <si>
    <t>02108750023</t>
  </si>
  <si>
    <t>IT02108750023</t>
  </si>
  <si>
    <t>141910</t>
  </si>
  <si>
    <t>Biella</t>
  </si>
  <si>
    <t>Piemonte</t>
  </si>
  <si>
    <t>3109.</t>
  </si>
  <si>
    <t>KOSTYLE S.R.L.</t>
  </si>
  <si>
    <t>04218940262</t>
  </si>
  <si>
    <t>IT04218940262</t>
  </si>
  <si>
    <t>152010</t>
  </si>
  <si>
    <t>Treviso</t>
  </si>
  <si>
    <t>n.d.</t>
  </si>
  <si>
    <t>3110.</t>
  </si>
  <si>
    <t>PALM PEL S.R.L.</t>
  </si>
  <si>
    <t>07891101219</t>
  </si>
  <si>
    <t>IT07891101219</t>
  </si>
  <si>
    <t>151100</t>
  </si>
  <si>
    <t>Napoli</t>
  </si>
  <si>
    <t>Campania</t>
  </si>
  <si>
    <t>3111.</t>
  </si>
  <si>
    <t>ERREDI S.R.L.</t>
  </si>
  <si>
    <t>02339530905</t>
  </si>
  <si>
    <t>IT02339530905</t>
  </si>
  <si>
    <t>141000</t>
  </si>
  <si>
    <t>Sassari</t>
  </si>
  <si>
    <t>Sardegna</t>
  </si>
  <si>
    <t>3112.</t>
  </si>
  <si>
    <t>G. &amp; G. CONFEZIONI S.R.L.</t>
  </si>
  <si>
    <t>00506700541</t>
  </si>
  <si>
    <t>IT00506700541</t>
  </si>
  <si>
    <t>3113.</t>
  </si>
  <si>
    <t>BACK LABEL S.R.L.</t>
  </si>
  <si>
    <t>03759760162</t>
  </si>
  <si>
    <t>IT03759760162</t>
  </si>
  <si>
    <t>141400</t>
  </si>
  <si>
    <t>Bergamo</t>
  </si>
  <si>
    <t>3114.</t>
  </si>
  <si>
    <t>CAMICERIA AGATEX SRL</t>
  </si>
  <si>
    <t>10758580152</t>
  </si>
  <si>
    <t>00220430169</t>
  </si>
  <si>
    <t>IT00220430169</t>
  </si>
  <si>
    <t>Milano</t>
  </si>
  <si>
    <t>3115.</t>
  </si>
  <si>
    <t>RI &amp; CO S.R.L.</t>
  </si>
  <si>
    <t>04001510165</t>
  </si>
  <si>
    <t>IT04001510165</t>
  </si>
  <si>
    <t>141100</t>
  </si>
  <si>
    <t>Monza e della Brianza</t>
  </si>
  <si>
    <t>3116.</t>
  </si>
  <si>
    <t>RODI S.R.L.</t>
  </si>
  <si>
    <t>00344790431</t>
  </si>
  <si>
    <t>IT00344790431</t>
  </si>
  <si>
    <t>Macerata</t>
  </si>
  <si>
    <t>Marche</t>
  </si>
  <si>
    <t>3117.</t>
  </si>
  <si>
    <t>BI MODA SRL</t>
  </si>
  <si>
    <t>04494180278</t>
  </si>
  <si>
    <t>IT04494180278</t>
  </si>
  <si>
    <t>Venezia</t>
  </si>
  <si>
    <t>3118.</t>
  </si>
  <si>
    <t>MARTINA GROUP S.R.L.</t>
  </si>
  <si>
    <t>06164001213</t>
  </si>
  <si>
    <t>IT06164001213</t>
  </si>
  <si>
    <t>3119.</t>
  </si>
  <si>
    <t>MELANY-VY SRL</t>
  </si>
  <si>
    <t>04016400618</t>
  </si>
  <si>
    <t>IT04016400618</t>
  </si>
  <si>
    <t>Caserta</t>
  </si>
  <si>
    <t>3120.</t>
  </si>
  <si>
    <t>K LEATHERS S.R.L.</t>
  </si>
  <si>
    <t>01901620508</t>
  </si>
  <si>
    <t>IT01901620508</t>
  </si>
  <si>
    <t>Pisa</t>
  </si>
  <si>
    <t>Toscana</t>
  </si>
  <si>
    <t>3121.</t>
  </si>
  <si>
    <t>MALTESE LAB SRL</t>
  </si>
  <si>
    <t>00542860366</t>
  </si>
  <si>
    <t>IT00542860366</t>
  </si>
  <si>
    <t>Modena</t>
  </si>
  <si>
    <t>Emilia-Romagna</t>
  </si>
  <si>
    <t>3122.</t>
  </si>
  <si>
    <t>ARCADIA SRL</t>
  </si>
  <si>
    <t>04828820268</t>
  </si>
  <si>
    <t>IT04828820268</t>
  </si>
  <si>
    <t>3123.</t>
  </si>
  <si>
    <t>FARFALLA SRL</t>
  </si>
  <si>
    <t>02381660428</t>
  </si>
  <si>
    <t>IT02381660428</t>
  </si>
  <si>
    <t>Ancona</t>
  </si>
  <si>
    <t>3124.</t>
  </si>
  <si>
    <t>MANZOLI SRL</t>
  </si>
  <si>
    <t>09893220153</t>
  </si>
  <si>
    <t>IT09893220153</t>
  </si>
  <si>
    <t>3125.</t>
  </si>
  <si>
    <t>ERREPI - S.R.L. -</t>
  </si>
  <si>
    <t>01511640466</t>
  </si>
  <si>
    <t>IT01511640466</t>
  </si>
  <si>
    <t>Lucca</t>
  </si>
  <si>
    <t>3126.</t>
  </si>
  <si>
    <t>DAVIDE PELLETTERIA NADA S.R.L.</t>
  </si>
  <si>
    <t>09065921216</t>
  </si>
  <si>
    <t>IT09065921216</t>
  </si>
  <si>
    <t>151209</t>
  </si>
  <si>
    <t>3127.</t>
  </si>
  <si>
    <t>FIORDALISO S.R.L.</t>
  </si>
  <si>
    <t>04389620271</t>
  </si>
  <si>
    <t>IT04389620271</t>
  </si>
  <si>
    <t>152020</t>
  </si>
  <si>
    <t>3128.</t>
  </si>
  <si>
    <t>TIMAR SRL</t>
  </si>
  <si>
    <t>02364920443</t>
  </si>
  <si>
    <t>IT02364920443</t>
  </si>
  <si>
    <t>Fermo</t>
  </si>
  <si>
    <t>3129.</t>
  </si>
  <si>
    <t>R.I.T.A. M.O.D.E. S.R.L.</t>
  </si>
  <si>
    <t>08912751214</t>
  </si>
  <si>
    <t>IT08912751214</t>
  </si>
  <si>
    <t>3130.</t>
  </si>
  <si>
    <t>ELE S.R.L.</t>
  </si>
  <si>
    <t>01716790462</t>
  </si>
  <si>
    <t>IT01716790462</t>
  </si>
  <si>
    <t>3131.</t>
  </si>
  <si>
    <t>BRAJDA S.R.L.</t>
  </si>
  <si>
    <t>01986770749</t>
  </si>
  <si>
    <t>IT01986770749</t>
  </si>
  <si>
    <t>141320</t>
  </si>
  <si>
    <t>Brindisi</t>
  </si>
  <si>
    <t>Puglia</t>
  </si>
  <si>
    <t>3132.</t>
  </si>
  <si>
    <t>VE.BA. S.R.L.</t>
  </si>
  <si>
    <t>01990070979</t>
  </si>
  <si>
    <t>IT01990070979</t>
  </si>
  <si>
    <t>Prato</t>
  </si>
  <si>
    <t>3133.</t>
  </si>
  <si>
    <t>B.S.R. S.R.L.</t>
  </si>
  <si>
    <t>01872500408</t>
  </si>
  <si>
    <t>IT01872500408</t>
  </si>
  <si>
    <t>141929</t>
  </si>
  <si>
    <t>Forlì-Cesena</t>
  </si>
  <si>
    <t>3134.</t>
  </si>
  <si>
    <t>GREAT BEAR S.R.L.</t>
  </si>
  <si>
    <t>01348710441</t>
  </si>
  <si>
    <t>IT01348710441</t>
  </si>
  <si>
    <t>3135.</t>
  </si>
  <si>
    <t>FILTEX MANIFATTURA SERICA NOVARESE S.R.L.</t>
  </si>
  <si>
    <t>07342070013</t>
  </si>
  <si>
    <t>00109650036</t>
  </si>
  <si>
    <t>IT00109650036</t>
  </si>
  <si>
    <t>Torino</t>
  </si>
  <si>
    <t>3136.</t>
  </si>
  <si>
    <t>PETER FLOWERS S.R.L.</t>
  </si>
  <si>
    <t>03709330272</t>
  </si>
  <si>
    <t>IT03709330272</t>
  </si>
  <si>
    <t>152010</t>
  </si>
  <si>
    <t>Venezia</t>
  </si>
  <si>
    <t>Veneto</t>
  </si>
  <si>
    <t>3137.</t>
  </si>
  <si>
    <t>12THMAN S.R.L.</t>
  </si>
  <si>
    <t>03203751205</t>
  </si>
  <si>
    <t>IT03203751205</t>
  </si>
  <si>
    <t>141310</t>
  </si>
  <si>
    <t>Milano</t>
  </si>
  <si>
    <t>Lombardia</t>
  </si>
  <si>
    <t>3138.</t>
  </si>
  <si>
    <t>MAGLIFICIO ROSSELLA SRL</t>
  </si>
  <si>
    <t>03441200130</t>
  </si>
  <si>
    <t>IT03441200130</t>
  </si>
  <si>
    <t>143900</t>
  </si>
  <si>
    <t>Lecco</t>
  </si>
  <si>
    <t>3139.</t>
  </si>
  <si>
    <t>GIGLIOROSSO S.R.L.</t>
  </si>
  <si>
    <t>03547830368</t>
  </si>
  <si>
    <t>IT03547830368</t>
  </si>
  <si>
    <t>Modena</t>
  </si>
  <si>
    <t>Emilia-Romagna</t>
  </si>
  <si>
    <t>3140.</t>
  </si>
  <si>
    <t>STYLE TEX SRL</t>
  </si>
  <si>
    <t>02537690691</t>
  </si>
  <si>
    <t>IT02537690691</t>
  </si>
  <si>
    <t>Chieti</t>
  </si>
  <si>
    <t>Abruzzo</t>
  </si>
  <si>
    <t>3141.</t>
  </si>
  <si>
    <t>DIAGOS MANIFATTURE S.R.L.</t>
  </si>
  <si>
    <t>04643010277</t>
  </si>
  <si>
    <t>IT04643010277</t>
  </si>
  <si>
    <t>152020</t>
  </si>
  <si>
    <t>n.d.</t>
  </si>
  <si>
    <t>3142.</t>
  </si>
  <si>
    <t>CAMICERIA FIORENTINA SRL</t>
  </si>
  <si>
    <t>02076270517</t>
  </si>
  <si>
    <t>IT02076270517</t>
  </si>
  <si>
    <t>141400</t>
  </si>
  <si>
    <t>Firenze</t>
  </si>
  <si>
    <t>Toscana</t>
  </si>
  <si>
    <t>3143.</t>
  </si>
  <si>
    <t>BALLANZA S.R.L.</t>
  </si>
  <si>
    <t>00873500508</t>
  </si>
  <si>
    <t>IT00873500508</t>
  </si>
  <si>
    <t>141910</t>
  </si>
  <si>
    <t>Pisa</t>
  </si>
  <si>
    <t>3144.</t>
  </si>
  <si>
    <t>FF S.R.L.</t>
  </si>
  <si>
    <t>08244090968</t>
  </si>
  <si>
    <t>IT08244090968</t>
  </si>
  <si>
    <t>3145.</t>
  </si>
  <si>
    <t>F.LLI CUCCO S.R.L.</t>
  </si>
  <si>
    <t>01628970434</t>
  </si>
  <si>
    <t>IT01628970434</t>
  </si>
  <si>
    <t>Macerata</t>
  </si>
  <si>
    <t>Marche</t>
  </si>
  <si>
    <t>3146.</t>
  </si>
  <si>
    <t>L.I.P. S.R.L.</t>
  </si>
  <si>
    <t>08738320962</t>
  </si>
  <si>
    <t>IT08738320962</t>
  </si>
  <si>
    <t>151100</t>
  </si>
  <si>
    <t>3147.</t>
  </si>
  <si>
    <t>A.R.T. TEXTILE S.R.L.</t>
  </si>
  <si>
    <t>03600020139</t>
  </si>
  <si>
    <t>IT03600020139</t>
  </si>
  <si>
    <t>Como</t>
  </si>
  <si>
    <t>3148.</t>
  </si>
  <si>
    <t>FORMULA SHOES SOCIETA' A RESPONSABILITA' LIMITATA SEMPLIFICATA</t>
  </si>
  <si>
    <t>02284390446</t>
  </si>
  <si>
    <t>IT02284390446</t>
  </si>
  <si>
    <t>Fermo</t>
  </si>
  <si>
    <t>3149.</t>
  </si>
  <si>
    <t>EFFEG S.R.L.</t>
  </si>
  <si>
    <t>03777870134</t>
  </si>
  <si>
    <t>IT03777870134</t>
  </si>
  <si>
    <t>3150.</t>
  </si>
  <si>
    <t>SANDA GROUP S.R.L.</t>
  </si>
  <si>
    <t>01012040448</t>
  </si>
  <si>
    <t>IT01012040448</t>
  </si>
  <si>
    <t>3151.</t>
  </si>
  <si>
    <t>SALVALAGLIO CONFEZIONI S.R.L.</t>
  </si>
  <si>
    <t>00897250155</t>
  </si>
  <si>
    <t>IT00897250155</t>
  </si>
  <si>
    <t>141000</t>
  </si>
  <si>
    <t>Lodi</t>
  </si>
  <si>
    <t>3152.</t>
  </si>
  <si>
    <t>CERESOLI ALBINA S.R.L.</t>
  </si>
  <si>
    <t>02258310164</t>
  </si>
  <si>
    <t>IT02258310164</t>
  </si>
  <si>
    <t>Bergamo</t>
  </si>
  <si>
    <t>3153.</t>
  </si>
  <si>
    <t>IBERT SOCIETA' A RESPONSABILITA' LIMITATA</t>
  </si>
  <si>
    <t>04158900482</t>
  </si>
  <si>
    <t>IT04158900482</t>
  </si>
  <si>
    <t>3154.</t>
  </si>
  <si>
    <t>WOOL STREET S.R.L.</t>
  </si>
  <si>
    <t>03498430366</t>
  </si>
  <si>
    <t>IT03498430366</t>
  </si>
  <si>
    <t>3155.</t>
  </si>
  <si>
    <t>ROBERTA GANDOLFI S.R.L.</t>
  </si>
  <si>
    <t>01681211205</t>
  </si>
  <si>
    <t>IT01681211205</t>
  </si>
  <si>
    <t>151209</t>
  </si>
  <si>
    <t>Bologna</t>
  </si>
  <si>
    <t>3156.</t>
  </si>
  <si>
    <t>LABORATORI ARTIGIANI SRL</t>
  </si>
  <si>
    <t>03459420984</t>
  </si>
  <si>
    <t>IT03459420984</t>
  </si>
  <si>
    <t>Brescia</t>
  </si>
  <si>
    <t>3157.</t>
  </si>
  <si>
    <t>MAESTRIA ITALIANA SRL</t>
  </si>
  <si>
    <t>03638860985</t>
  </si>
  <si>
    <t>IT03638860985</t>
  </si>
  <si>
    <t>3158.</t>
  </si>
  <si>
    <t>MDV S.R.L.</t>
  </si>
  <si>
    <t>05689760659</t>
  </si>
  <si>
    <t>IT05689760659</t>
  </si>
  <si>
    <t>Salerno</t>
  </si>
  <si>
    <t>Campania</t>
  </si>
  <si>
    <t>3159.</t>
  </si>
  <si>
    <t>GR10K S.R.L.</t>
  </si>
  <si>
    <t>03608370122</t>
  </si>
  <si>
    <t>IT03608370122</t>
  </si>
  <si>
    <t>3160.</t>
  </si>
  <si>
    <t>PELLETTERIA PARTENOPE S.R.L.</t>
  </si>
  <si>
    <t>08860401218</t>
  </si>
  <si>
    <t>IT08860401218</t>
  </si>
  <si>
    <t>Napoli</t>
  </si>
  <si>
    <t>3161.</t>
  </si>
  <si>
    <t>CINTURIFICIO JESSY GROUP S.R.L.</t>
  </si>
  <si>
    <t>03426510362</t>
  </si>
  <si>
    <t>IT03426510362</t>
  </si>
  <si>
    <t>3162.</t>
  </si>
  <si>
    <t>NEW SWING - SOCIETA' A RESPONSABILITA' LIMITATA IN SIGLA NEW SWING S.R.L.</t>
  </si>
  <si>
    <t>01785970441</t>
  </si>
  <si>
    <t>IT01785970441</t>
  </si>
  <si>
    <t>3163.</t>
  </si>
  <si>
    <t>L.G. S.R.L.</t>
  </si>
  <si>
    <t>01213770470</t>
  </si>
  <si>
    <t>IT01213770470</t>
  </si>
  <si>
    <t>143000</t>
  </si>
  <si>
    <t>Pistoia</t>
  </si>
  <si>
    <t>3164.</t>
  </si>
  <si>
    <t>MIVANIA S.R.L.</t>
  </si>
  <si>
    <t>02517280547</t>
  </si>
  <si>
    <t>IT02517280547</t>
  </si>
  <si>
    <t>Perugia</t>
  </si>
  <si>
    <t>Umbria</t>
  </si>
  <si>
    <t>3165.</t>
  </si>
  <si>
    <t>MARIO BALDRIGHI S.R.L.</t>
  </si>
  <si>
    <t>02347600963</t>
  </si>
  <si>
    <t>IT02347600963</t>
  </si>
  <si>
    <t>141929</t>
  </si>
  <si>
    <t>Monza e della Brianza</t>
  </si>
  <si>
    <t>3166.</t>
  </si>
  <si>
    <t>CAMICERIA ROEL SRL</t>
  </si>
  <si>
    <t>01604850675</t>
  </si>
  <si>
    <t>IT01604850675</t>
  </si>
  <si>
    <t>Teramo</t>
  </si>
  <si>
    <t>3167.</t>
  </si>
  <si>
    <t>COOL FARM S.R.L.</t>
  </si>
  <si>
    <t>06457100482</t>
  </si>
  <si>
    <t>IT06457100482</t>
  </si>
  <si>
    <t>3168.</t>
  </si>
  <si>
    <t>XAVIER S.R.L.</t>
  </si>
  <si>
    <t>00966860942</t>
  </si>
  <si>
    <t>IT00966860942</t>
  </si>
  <si>
    <t>141000</t>
  </si>
  <si>
    <t>Milano</t>
  </si>
  <si>
    <t>Lombardia</t>
  </si>
  <si>
    <t>3169.</t>
  </si>
  <si>
    <t>KASUCCI S.R.L.</t>
  </si>
  <si>
    <t>03587600721</t>
  </si>
  <si>
    <t>IT03587600721</t>
  </si>
  <si>
    <t>152010</t>
  </si>
  <si>
    <t>Bari</t>
  </si>
  <si>
    <t>Puglia</t>
  </si>
  <si>
    <t>3170.</t>
  </si>
  <si>
    <t>MADEINBO S.R.L.</t>
  </si>
  <si>
    <t>02532620461</t>
  </si>
  <si>
    <t>IT02532620461</t>
  </si>
  <si>
    <t>141310</t>
  </si>
  <si>
    <t>Lucca</t>
  </si>
  <si>
    <t>Toscana</t>
  </si>
  <si>
    <t>n.d.</t>
  </si>
  <si>
    <t>3171.</t>
  </si>
  <si>
    <t>INTERNATIONAL COMPANY SERVICES S.R.L. BREVEMENTE I.C.S. S.R.L.</t>
  </si>
  <si>
    <t>01359680665</t>
  </si>
  <si>
    <t>IT01359680665</t>
  </si>
  <si>
    <t>Roma</t>
  </si>
  <si>
    <t>Lazio</t>
  </si>
  <si>
    <t>3172.</t>
  </si>
  <si>
    <t>NOOS DI SARA LANZI S.R.L.</t>
  </si>
  <si>
    <t>03407900541</t>
  </si>
  <si>
    <t>IT03407900541</t>
  </si>
  <si>
    <t>Perugia</t>
  </si>
  <si>
    <t>Umbria</t>
  </si>
  <si>
    <t>3173.</t>
  </si>
  <si>
    <t>BULLISH S.U.R.L.</t>
  </si>
  <si>
    <t>04134750753</t>
  </si>
  <si>
    <t>IT04134750753</t>
  </si>
  <si>
    <t>141320</t>
  </si>
  <si>
    <t>Lecce</t>
  </si>
  <si>
    <t>3174.</t>
  </si>
  <si>
    <t>ATLANTIDE S.R.L.</t>
  </si>
  <si>
    <t>01554710507</t>
  </si>
  <si>
    <t>IT01554710507</t>
  </si>
  <si>
    <t>152000</t>
  </si>
  <si>
    <t>Pisa</t>
  </si>
  <si>
    <t>3175.</t>
  </si>
  <si>
    <t>TIEMME S.R.L.</t>
  </si>
  <si>
    <t>01964360281</t>
  </si>
  <si>
    <t>IT01964360281</t>
  </si>
  <si>
    <t>Padova</t>
  </si>
  <si>
    <t>Veneto</t>
  </si>
  <si>
    <t>3176.</t>
  </si>
  <si>
    <t>ANACONDA - S.R.L.</t>
  </si>
  <si>
    <t>00926080508</t>
  </si>
  <si>
    <t>IT00926080508</t>
  </si>
  <si>
    <t>151100</t>
  </si>
  <si>
    <t>3177.</t>
  </si>
  <si>
    <t>PIEFFE CONFEZIONI SRL</t>
  </si>
  <si>
    <t>06597320487</t>
  </si>
  <si>
    <t>IT06597320487</t>
  </si>
  <si>
    <t>141200</t>
  </si>
  <si>
    <t>Firenze</t>
  </si>
  <si>
    <t>3178.</t>
  </si>
  <si>
    <t>MARENZ S.R.L</t>
  </si>
  <si>
    <t>02456640693</t>
  </si>
  <si>
    <t>IT02456640693</t>
  </si>
  <si>
    <t>Napoli</t>
  </si>
  <si>
    <t>Campania</t>
  </si>
  <si>
    <t>3179.</t>
  </si>
  <si>
    <t>PROGETTO MAGLIA - S.R.L.</t>
  </si>
  <si>
    <t>04201490481</t>
  </si>
  <si>
    <t>IT04201490481</t>
  </si>
  <si>
    <t>143900</t>
  </si>
  <si>
    <t>3180.</t>
  </si>
  <si>
    <t>MIRACH S.R.L.- UNIPERSONALE</t>
  </si>
  <si>
    <t>04636310288</t>
  </si>
  <si>
    <t>IT04636310288</t>
  </si>
  <si>
    <t>3181.</t>
  </si>
  <si>
    <t>DI BIASE GROUP SRL</t>
  </si>
  <si>
    <t>03728131214</t>
  </si>
  <si>
    <t>IT03728131214</t>
  </si>
  <si>
    <t>3182.</t>
  </si>
  <si>
    <t>CALZATURIFICIO RUGIATI S.R.L.</t>
  </si>
  <si>
    <t>01009740489</t>
  </si>
  <si>
    <t>IT01009740489</t>
  </si>
  <si>
    <t>3183.</t>
  </si>
  <si>
    <t>MARY SHOES SRL</t>
  </si>
  <si>
    <t>03827230545</t>
  </si>
  <si>
    <t>IT03827230545</t>
  </si>
  <si>
    <t>Fermo</t>
  </si>
  <si>
    <t>Marche</t>
  </si>
  <si>
    <t>3184.</t>
  </si>
  <si>
    <t>VERVEN S.R.L.</t>
  </si>
  <si>
    <t>02248060978</t>
  </si>
  <si>
    <t>IT02248060978</t>
  </si>
  <si>
    <t>141910</t>
  </si>
  <si>
    <t>Prato</t>
  </si>
  <si>
    <t>3185.</t>
  </si>
  <si>
    <t>ENNE ELLE S.R.L.</t>
  </si>
  <si>
    <t>01940530361</t>
  </si>
  <si>
    <t>IT01940530361</t>
  </si>
  <si>
    <t>Modena</t>
  </si>
  <si>
    <t>Emilia-Romagna</t>
  </si>
  <si>
    <t>3186.</t>
  </si>
  <si>
    <t>L.D.S. LABORATORIO DELLO SPORT SRL DI DANIELE CAPACCIOLI - SOCIETA' A RESPONSABILITA' LIMITATA UNINOMINALE</t>
  </si>
  <si>
    <t>05588530484</t>
  </si>
  <si>
    <t>IT05588530484</t>
  </si>
  <si>
    <t>3187.</t>
  </si>
  <si>
    <t>FUTURE SERVICE SRL</t>
  </si>
  <si>
    <t>04059590267</t>
  </si>
  <si>
    <t>IT04059590267</t>
  </si>
  <si>
    <t>Treviso</t>
  </si>
  <si>
    <t>3188.</t>
  </si>
  <si>
    <t>STEFANO BEMER S.R.L.</t>
  </si>
  <si>
    <t>06321030485</t>
  </si>
  <si>
    <t>IT06321030485</t>
  </si>
  <si>
    <t>3189.</t>
  </si>
  <si>
    <t>TRANCERIA ITALY SHOES S.R.L.</t>
  </si>
  <si>
    <t>02979950645</t>
  </si>
  <si>
    <t>IT02979950645</t>
  </si>
  <si>
    <t>Avellino</t>
  </si>
  <si>
    <t>3190.</t>
  </si>
  <si>
    <t>CONFEZIONI BARBON SRL</t>
  </si>
  <si>
    <t>00898770268</t>
  </si>
  <si>
    <t>IT00898770268</t>
  </si>
  <si>
    <t>3191.</t>
  </si>
  <si>
    <t>PFL MODA S.R.L.</t>
  </si>
  <si>
    <t>07586410727</t>
  </si>
  <si>
    <t>IT07586410727</t>
  </si>
  <si>
    <t>3192.</t>
  </si>
  <si>
    <t>CONTESSA 3C - SOCIETA' COOPERATIVA PER AZIONI (IN SIGLA CONTESSA 3C S.C.P.A.</t>
  </si>
  <si>
    <t>01615830542</t>
  </si>
  <si>
    <t>IT01615830542</t>
  </si>
  <si>
    <t>3193.</t>
  </si>
  <si>
    <t>CALZIFICIO BIASCO S.R.L.</t>
  </si>
  <si>
    <t>03648030751</t>
  </si>
  <si>
    <t>IT03648030751</t>
  </si>
  <si>
    <t>143100</t>
  </si>
  <si>
    <t>3194.</t>
  </si>
  <si>
    <t>POGGIANTI 1958 S.R.L.</t>
  </si>
  <si>
    <t>02094740509</t>
  </si>
  <si>
    <t>IT02094740509</t>
  </si>
  <si>
    <t>141400</t>
  </si>
  <si>
    <t>3195.</t>
  </si>
  <si>
    <t>GDA GROUP S.R.L.</t>
  </si>
  <si>
    <t>06810150828</t>
  </si>
  <si>
    <t>IT06810150828</t>
  </si>
  <si>
    <t>Palermo</t>
  </si>
  <si>
    <t>Sicilia</t>
  </si>
  <si>
    <t>3196.</t>
  </si>
  <si>
    <t>PELLETTERIE PALAZZOLESI S.R.L.</t>
  </si>
  <si>
    <t>00960050169</t>
  </si>
  <si>
    <t>00777790171</t>
  </si>
  <si>
    <t>IT00777790171</t>
  </si>
  <si>
    <t>Bergamo</t>
  </si>
  <si>
    <t>3197.</t>
  </si>
  <si>
    <t>SO.GI.GER SHOES S.R.L.</t>
  </si>
  <si>
    <t>05505720655</t>
  </si>
  <si>
    <t>IT05505720655</t>
  </si>
  <si>
    <t>Salerno</t>
  </si>
  <si>
    <t>3198.</t>
  </si>
  <si>
    <t>STUDIO 64 S.R.L.</t>
  </si>
  <si>
    <t>03795720758</t>
  </si>
  <si>
    <t>IT03795720758</t>
  </si>
  <si>
    <t>3199.</t>
  </si>
  <si>
    <t>SPALLINIFICIO TOSCANO S.R.L.</t>
  </si>
  <si>
    <t>01030830481</t>
  </si>
  <si>
    <t>IT01030830481</t>
  </si>
  <si>
    <t>3200.</t>
  </si>
  <si>
    <t>SIMONA B. COLLECTION'S SRL</t>
  </si>
  <si>
    <t>02493090365</t>
  </si>
  <si>
    <t>IT02493090365</t>
  </si>
  <si>
    <t>141910</t>
  </si>
  <si>
    <t>Modena</t>
  </si>
  <si>
    <t>Emilia-Romagna</t>
  </si>
  <si>
    <t>3201.</t>
  </si>
  <si>
    <t>CESARE BAROLI 1947 S.R.L.</t>
  </si>
  <si>
    <t>02544260033</t>
  </si>
  <si>
    <t>IT02544260033</t>
  </si>
  <si>
    <t>152010</t>
  </si>
  <si>
    <t>Novara</t>
  </si>
  <si>
    <t>Piemonte</t>
  </si>
  <si>
    <t>3202.</t>
  </si>
  <si>
    <t>ITALIAN BRANDS S.R.L.</t>
  </si>
  <si>
    <t>06794010725</t>
  </si>
  <si>
    <t>IT06794010725</t>
  </si>
  <si>
    <t>141310</t>
  </si>
  <si>
    <t>Barletta-Andria-Trani</t>
  </si>
  <si>
    <t>Puglia</t>
  </si>
  <si>
    <t>3203.</t>
  </si>
  <si>
    <t>GALM S.R.L.</t>
  </si>
  <si>
    <t>01788610440</t>
  </si>
  <si>
    <t>IT01788610440</t>
  </si>
  <si>
    <t>152020</t>
  </si>
  <si>
    <t>Fermo</t>
  </si>
  <si>
    <t>Marche</t>
  </si>
  <si>
    <t>3204.</t>
  </si>
  <si>
    <t>NAZZARENO ACCIARRI SRL</t>
  </si>
  <si>
    <t>02109840443</t>
  </si>
  <si>
    <t>IT02109840443</t>
  </si>
  <si>
    <t>3205.</t>
  </si>
  <si>
    <t>D.V.L. SRL</t>
  </si>
  <si>
    <t>03364520365</t>
  </si>
  <si>
    <t>IT03364520365</t>
  </si>
  <si>
    <t>143900</t>
  </si>
  <si>
    <t>3206.</t>
  </si>
  <si>
    <t>GALLI PELLETTERIE S.R.L.</t>
  </si>
  <si>
    <t>00985310671</t>
  </si>
  <si>
    <t>IT00985310671</t>
  </si>
  <si>
    <t>151200</t>
  </si>
  <si>
    <t>Teramo</t>
  </si>
  <si>
    <t>Abruzzo</t>
  </si>
  <si>
    <t>3207.</t>
  </si>
  <si>
    <t>CLARA S.R.L.</t>
  </si>
  <si>
    <t>03601890613</t>
  </si>
  <si>
    <t>IT03601890613</t>
  </si>
  <si>
    <t>141400</t>
  </si>
  <si>
    <t>Caserta</t>
  </si>
  <si>
    <t>Campania</t>
  </si>
  <si>
    <t>n.d.</t>
  </si>
  <si>
    <t>3208.</t>
  </si>
  <si>
    <t>FRAJOR CONFEZIONI S.R.L.</t>
  </si>
  <si>
    <t>03637500137</t>
  </si>
  <si>
    <t>IT03637500137</t>
  </si>
  <si>
    <t>Como</t>
  </si>
  <si>
    <t>Lombardia</t>
  </si>
  <si>
    <t>3209.</t>
  </si>
  <si>
    <t>ROSSI DA VINCI - S.R.L.</t>
  </si>
  <si>
    <t>01788080487</t>
  </si>
  <si>
    <t>IT01788080487</t>
  </si>
  <si>
    <t>Firenze</t>
  </si>
  <si>
    <t>Toscana</t>
  </si>
  <si>
    <t>3210.</t>
  </si>
  <si>
    <t>3 EMMME S.R.L.</t>
  </si>
  <si>
    <t>00699980124</t>
  </si>
  <si>
    <t>IT00699980124</t>
  </si>
  <si>
    <t>143100</t>
  </si>
  <si>
    <t>Varese</t>
  </si>
  <si>
    <t>3211.</t>
  </si>
  <si>
    <t>CONCERIA FRATELLI PIERONI S.R.L.</t>
  </si>
  <si>
    <t>09731400017</t>
  </si>
  <si>
    <t>IT09731400017</t>
  </si>
  <si>
    <t>151100</t>
  </si>
  <si>
    <t>Torino</t>
  </si>
  <si>
    <t>3212.</t>
  </si>
  <si>
    <t>SEVEN FOLD GLOBAL SRL</t>
  </si>
  <si>
    <t>07122300481</t>
  </si>
  <si>
    <t>IT07122300481</t>
  </si>
  <si>
    <t>3213.</t>
  </si>
  <si>
    <t>CORK LINE S.R.L.</t>
  </si>
  <si>
    <t>02089490540</t>
  </si>
  <si>
    <t>IT02089490540</t>
  </si>
  <si>
    <t>Perugia</t>
  </si>
  <si>
    <t>Umbria</t>
  </si>
  <si>
    <t>3214.</t>
  </si>
  <si>
    <t>EURO NARPELL S.R.L.</t>
  </si>
  <si>
    <t>03487280244</t>
  </si>
  <si>
    <t>IT03487280244</t>
  </si>
  <si>
    <t>Vicenza</t>
  </si>
  <si>
    <t>Veneto</t>
  </si>
  <si>
    <t>3215.</t>
  </si>
  <si>
    <t>PIHER S.R.L.</t>
  </si>
  <si>
    <t>04585220280</t>
  </si>
  <si>
    <t>IT04585220280</t>
  </si>
  <si>
    <t>151209</t>
  </si>
  <si>
    <t>Padova</t>
  </si>
  <si>
    <t>3216.</t>
  </si>
  <si>
    <t>MAGLIFICIO ES-LINE S.R.L.</t>
  </si>
  <si>
    <t>02063220970</t>
  </si>
  <si>
    <t>IT02063220970</t>
  </si>
  <si>
    <t>Prato</t>
  </si>
  <si>
    <t>3217.</t>
  </si>
  <si>
    <t>CARA STYLE SRL</t>
  </si>
  <si>
    <t>06427380487</t>
  </si>
  <si>
    <t>IT06427380487</t>
  </si>
  <si>
    <t>Pisa</t>
  </si>
  <si>
    <t>3218.</t>
  </si>
  <si>
    <t>ARPEL ARTIGIANA PELLI SRL</t>
  </si>
  <si>
    <t>01778970242</t>
  </si>
  <si>
    <t>IT01778970242</t>
  </si>
  <si>
    <t>141100</t>
  </si>
  <si>
    <t>3219.</t>
  </si>
  <si>
    <t>JERBEL S.R.L.</t>
  </si>
  <si>
    <t>04255690721</t>
  </si>
  <si>
    <t>IT04255690721</t>
  </si>
  <si>
    <t>3220.</t>
  </si>
  <si>
    <t>BE SPORT S.R.L.</t>
  </si>
  <si>
    <t>05110890265</t>
  </si>
  <si>
    <t>IT05110890265</t>
  </si>
  <si>
    <t>141929</t>
  </si>
  <si>
    <t>Treviso</t>
  </si>
  <si>
    <t>3221.</t>
  </si>
  <si>
    <t>CU STYLE SRL</t>
  </si>
  <si>
    <t>04470700404</t>
  </si>
  <si>
    <t>IT04470700404</t>
  </si>
  <si>
    <t>Rimini</t>
  </si>
  <si>
    <t>3222.</t>
  </si>
  <si>
    <t>PLAYAMAR S.R.L.S.</t>
  </si>
  <si>
    <t>08326451211</t>
  </si>
  <si>
    <t>IT08326451211</t>
  </si>
  <si>
    <t>Napoli</t>
  </si>
  <si>
    <t>3223.</t>
  </si>
  <si>
    <t>MODA PARA' SRL</t>
  </si>
  <si>
    <t>03454520127</t>
  </si>
  <si>
    <t>IT03454520127</t>
  </si>
  <si>
    <t>3224.</t>
  </si>
  <si>
    <t>BOTTEGA 23 SRL</t>
  </si>
  <si>
    <t>02320620442</t>
  </si>
  <si>
    <t>IT02320620442</t>
  </si>
  <si>
    <t>Ascoli Piceno</t>
  </si>
  <si>
    <t>3225.</t>
  </si>
  <si>
    <t>BEST LEATHER S.R.L.</t>
  </si>
  <si>
    <t>02502240977</t>
  </si>
  <si>
    <t>IT02502240977</t>
  </si>
  <si>
    <t>3226.</t>
  </si>
  <si>
    <t>MONTANARI S.R.L. - LA MAGLIERIA DI BAGNOLO IN PIANO</t>
  </si>
  <si>
    <t>01162400350</t>
  </si>
  <si>
    <t>IT01162400350</t>
  </si>
  <si>
    <t>Reggio nell'Emilia</t>
  </si>
  <si>
    <t>3227.</t>
  </si>
  <si>
    <t>LA THUILE SRL</t>
  </si>
  <si>
    <t>02487400182</t>
  </si>
  <si>
    <t>IT02487400182</t>
  </si>
  <si>
    <t>Pavia</t>
  </si>
  <si>
    <t>3228.</t>
  </si>
  <si>
    <t>C.R. S.R.L.</t>
  </si>
  <si>
    <t>05321030487</t>
  </si>
  <si>
    <t>IT05321030487</t>
  </si>
  <si>
    <t>3229.</t>
  </si>
  <si>
    <t>ALTEREGO LAB S.R.L.</t>
  </si>
  <si>
    <t>06744340826</t>
  </si>
  <si>
    <t>IT06744340826</t>
  </si>
  <si>
    <t>Palermo</t>
  </si>
  <si>
    <t>Sicilia</t>
  </si>
  <si>
    <t>3230.</t>
  </si>
  <si>
    <t>REVOLUTION COMPANY S.R.L.</t>
  </si>
  <si>
    <t>04456660275</t>
  </si>
  <si>
    <t>IT04456660275</t>
  </si>
  <si>
    <t>141000</t>
  </si>
  <si>
    <t>3231.</t>
  </si>
  <si>
    <t>NEW SERVICE S.R.L.</t>
  </si>
  <si>
    <t>02279180240</t>
  </si>
  <si>
    <t>IT02279180240</t>
  </si>
  <si>
    <t>3232.</t>
  </si>
  <si>
    <t>MAGLIFICIO GHIDOTTI S.R.L.</t>
  </si>
  <si>
    <t>03885490163</t>
  </si>
  <si>
    <t>IT03885490163</t>
  </si>
  <si>
    <t>143900</t>
  </si>
  <si>
    <t>Bergamo</t>
  </si>
  <si>
    <t>Lombardia</t>
  </si>
  <si>
    <t>n.d.</t>
  </si>
  <si>
    <t>3233.</t>
  </si>
  <si>
    <t>LAMURA CLUB S.R.L.</t>
  </si>
  <si>
    <t>01368560668</t>
  </si>
  <si>
    <t>IT01368560668</t>
  </si>
  <si>
    <t>141400</t>
  </si>
  <si>
    <t>L'Aquila</t>
  </si>
  <si>
    <t>Abruzzo</t>
  </si>
  <si>
    <t>3234.</t>
  </si>
  <si>
    <t>FORNITURE FABRIKA SRL</t>
  </si>
  <si>
    <t>09361191217</t>
  </si>
  <si>
    <t>IT09361191217</t>
  </si>
  <si>
    <t>141310</t>
  </si>
  <si>
    <t>Napoli</t>
  </si>
  <si>
    <t>Campania</t>
  </si>
  <si>
    <t>3235.</t>
  </si>
  <si>
    <t>INTIMODRESS - ITALIA S.R.L.</t>
  </si>
  <si>
    <t>07644760725</t>
  </si>
  <si>
    <t>IT07644760725</t>
  </si>
  <si>
    <t>Barletta-Andria-Trani</t>
  </si>
  <si>
    <t>Puglia</t>
  </si>
  <si>
    <t>3236.</t>
  </si>
  <si>
    <t>MANIFATTURA MARCAL S.R.L.</t>
  </si>
  <si>
    <t>00651000986</t>
  </si>
  <si>
    <t>01733210171</t>
  </si>
  <si>
    <t>IT01733210171</t>
  </si>
  <si>
    <t>143100</t>
  </si>
  <si>
    <t>Brescia</t>
  </si>
  <si>
    <t>3237.</t>
  </si>
  <si>
    <t>LMP S.R.L.</t>
  </si>
  <si>
    <t>03642281202</t>
  </si>
  <si>
    <t>IT03642281202</t>
  </si>
  <si>
    <t>Bologna</t>
  </si>
  <si>
    <t>Emilia-Romagna</t>
  </si>
  <si>
    <t>3238.</t>
  </si>
  <si>
    <t>DUEPAX S.R.L.</t>
  </si>
  <si>
    <t>01980150500</t>
  </si>
  <si>
    <t>IT01980150500</t>
  </si>
  <si>
    <t>151209</t>
  </si>
  <si>
    <t>Pisa</t>
  </si>
  <si>
    <t>Toscana</t>
  </si>
  <si>
    <t>3239.</t>
  </si>
  <si>
    <t>SOLETTIFICIO GUERRIERI S.R.L.</t>
  </si>
  <si>
    <t>02275430482</t>
  </si>
  <si>
    <t>IT02275430482</t>
  </si>
  <si>
    <t>152020</t>
  </si>
  <si>
    <t>Firenze</t>
  </si>
  <si>
    <t>3240.</t>
  </si>
  <si>
    <t>GENOVA MODA S.R.L.</t>
  </si>
  <si>
    <t>01848360994</t>
  </si>
  <si>
    <t>IT01848360994</t>
  </si>
  <si>
    <t>Genova</t>
  </si>
  <si>
    <t>Liguria</t>
  </si>
  <si>
    <t>3241.</t>
  </si>
  <si>
    <t>REIGN ITALIA S.R.L.</t>
  </si>
  <si>
    <t>02313260446</t>
  </si>
  <si>
    <t>IT02313260446</t>
  </si>
  <si>
    <t>Ascoli Piceno</t>
  </si>
  <si>
    <t>Marche</t>
  </si>
  <si>
    <t>3242.</t>
  </si>
  <si>
    <t>MABLA S.R.L.</t>
  </si>
  <si>
    <t>08163991212</t>
  </si>
  <si>
    <t>IT08163991212</t>
  </si>
  <si>
    <t>3243.</t>
  </si>
  <si>
    <t>GALLERANI FRANCA S.R.L.</t>
  </si>
  <si>
    <t>01700000381</t>
  </si>
  <si>
    <t>IT01700000381</t>
  </si>
  <si>
    <t>Ferrara</t>
  </si>
  <si>
    <t>3244.</t>
  </si>
  <si>
    <t>DELSA S.R.L.</t>
  </si>
  <si>
    <t>00147170435</t>
  </si>
  <si>
    <t>IT00147170435</t>
  </si>
  <si>
    <t>141929</t>
  </si>
  <si>
    <t>Macerata</t>
  </si>
  <si>
    <t>3245.</t>
  </si>
  <si>
    <t>SARTORIA CRESCENTINI S.R.L.</t>
  </si>
  <si>
    <t>01231260413</t>
  </si>
  <si>
    <t>IT01231260413</t>
  </si>
  <si>
    <t>141320</t>
  </si>
  <si>
    <t>Rimini</t>
  </si>
  <si>
    <t>3246.</t>
  </si>
  <si>
    <t>GIEFFEA S.R.L.</t>
  </si>
  <si>
    <t>07865551217</t>
  </si>
  <si>
    <t>IT07865551217</t>
  </si>
  <si>
    <t>3247.</t>
  </si>
  <si>
    <t>PELLETTERIA ESPOSITO S.R.L.</t>
  </si>
  <si>
    <t>09705381219</t>
  </si>
  <si>
    <t>IT09705381219</t>
  </si>
  <si>
    <t>3248.</t>
  </si>
  <si>
    <t>AMELIA GROUP SRL</t>
  </si>
  <si>
    <t>04377530243</t>
  </si>
  <si>
    <t>IT04377530243</t>
  </si>
  <si>
    <t>141200</t>
  </si>
  <si>
    <t>Vicenza</t>
  </si>
  <si>
    <t>Veneto</t>
  </si>
  <si>
    <t>3249.</t>
  </si>
  <si>
    <t>A &amp; R S.R.L.</t>
  </si>
  <si>
    <t>03932590619</t>
  </si>
  <si>
    <t>IT03932590619</t>
  </si>
  <si>
    <t>141000</t>
  </si>
  <si>
    <t>Caserta</t>
  </si>
  <si>
    <t>3250.</t>
  </si>
  <si>
    <t>SARTORIA CAVOUR S.R.L.</t>
  </si>
  <si>
    <t>04335420230</t>
  </si>
  <si>
    <t>IT04335420230</t>
  </si>
  <si>
    <t>Verona</t>
  </si>
  <si>
    <t>3251.</t>
  </si>
  <si>
    <t>CARLO SALVATELLI S.R.L.</t>
  </si>
  <si>
    <t>02033320447</t>
  </si>
  <si>
    <t>IT02033320447</t>
  </si>
  <si>
    <t>Fermo</t>
  </si>
  <si>
    <t>3252.</t>
  </si>
  <si>
    <t>DM TIES - S.R.L.</t>
  </si>
  <si>
    <t>02983540655</t>
  </si>
  <si>
    <t>IT02983540655</t>
  </si>
  <si>
    <t>141910</t>
  </si>
  <si>
    <t>Salerno</t>
  </si>
  <si>
    <t>3253.</t>
  </si>
  <si>
    <t>RE ARTU' - S.R.L.</t>
  </si>
  <si>
    <t>03592550481</t>
  </si>
  <si>
    <t>IT03592550481</t>
  </si>
  <si>
    <t>3254.</t>
  </si>
  <si>
    <t>COLVA GROUP S.R.L.</t>
  </si>
  <si>
    <t>00576420384</t>
  </si>
  <si>
    <t>IT00576420384</t>
  </si>
  <si>
    <t>142000</t>
  </si>
  <si>
    <t>3255.</t>
  </si>
  <si>
    <t>DALCUORE S.R.L.</t>
  </si>
  <si>
    <t>08006721214</t>
  </si>
  <si>
    <t>IT08006721214</t>
  </si>
  <si>
    <t>3256.</t>
  </si>
  <si>
    <t>GALA GLOVES S.R.L. UNIPERSONALE</t>
  </si>
  <si>
    <t>04777351216</t>
  </si>
  <si>
    <t>IT04777351216</t>
  </si>
  <si>
    <t>3257.</t>
  </si>
  <si>
    <t>GJ S.R.L.S. - SOCIETA' A RESPONSABILITA' LIMITATA SEMPLIFICATA</t>
  </si>
  <si>
    <t>08467410729</t>
  </si>
  <si>
    <t>IT08467410729</t>
  </si>
  <si>
    <t>3258.</t>
  </si>
  <si>
    <t>RAFFAELLO BETTINI S.R.L.</t>
  </si>
  <si>
    <t>01714120480</t>
  </si>
  <si>
    <t>IT01714120480</t>
  </si>
  <si>
    <t>3259.</t>
  </si>
  <si>
    <t>NICAM SAFETY SOCIETA' A RESPONSABILITA' LIMITATA</t>
  </si>
  <si>
    <t>08460610721</t>
  </si>
  <si>
    <t>IT08460610721</t>
  </si>
  <si>
    <t>152010</t>
  </si>
  <si>
    <t>3260.</t>
  </si>
  <si>
    <t>KING LOOK SOCIETA' A RESPONSABILITA' LIMITATA SEMPLIFICATA</t>
  </si>
  <si>
    <t>04681520757</t>
  </si>
  <si>
    <t>IT04681520757</t>
  </si>
  <si>
    <t>Lecce</t>
  </si>
  <si>
    <t>3261.</t>
  </si>
  <si>
    <t>NEWLAD SRL</t>
  </si>
  <si>
    <t>01426240444</t>
  </si>
  <si>
    <t>IT01426240444</t>
  </si>
  <si>
    <t>3262.</t>
  </si>
  <si>
    <t>L.I.D.M.A.G. S.R.L.</t>
  </si>
  <si>
    <t>07383271215</t>
  </si>
  <si>
    <t>IT07383271215</t>
  </si>
  <si>
    <t>3263.</t>
  </si>
  <si>
    <t>ELTI SRL</t>
  </si>
  <si>
    <t>01679920437</t>
  </si>
  <si>
    <t>IT01679920437</t>
  </si>
  <si>
    <t>141100</t>
  </si>
  <si>
    <t>3264.</t>
  </si>
  <si>
    <t>PICARAZZI ABBIGLIAMENTO S.R.L.</t>
  </si>
  <si>
    <t>02571120605</t>
  </si>
  <si>
    <t>IT02571120605</t>
  </si>
  <si>
    <t>141910</t>
  </si>
  <si>
    <t>Frosinone</t>
  </si>
  <si>
    <t>Lazio</t>
  </si>
  <si>
    <t>3265.</t>
  </si>
  <si>
    <t>STEFANO BLANDALEONE S.R.L.</t>
  </si>
  <si>
    <t>02206400067</t>
  </si>
  <si>
    <t>IT02206400067</t>
  </si>
  <si>
    <t>141320</t>
  </si>
  <si>
    <t>Milano</t>
  </si>
  <si>
    <t>Lombardia</t>
  </si>
  <si>
    <t>3266.</t>
  </si>
  <si>
    <t>GI.AN. S.R.L.</t>
  </si>
  <si>
    <t>07102800633</t>
  </si>
  <si>
    <t>IT07102800633</t>
  </si>
  <si>
    <t>151209</t>
  </si>
  <si>
    <t>Napoli</t>
  </si>
  <si>
    <t>Campania</t>
  </si>
  <si>
    <t>n.d.</t>
  </si>
  <si>
    <t>3267.</t>
  </si>
  <si>
    <t>GRAZIANI CONFEZIONI S.R.L.</t>
  </si>
  <si>
    <t>02167440698</t>
  </si>
  <si>
    <t>IT02167440698</t>
  </si>
  <si>
    <t>141000</t>
  </si>
  <si>
    <t>Chieti</t>
  </si>
  <si>
    <t>Abruzzo</t>
  </si>
  <si>
    <t>3268.</t>
  </si>
  <si>
    <t>MARRAFFA MARCO S.R.L.</t>
  </si>
  <si>
    <t>04232550279</t>
  </si>
  <si>
    <t>IT04232550279</t>
  </si>
  <si>
    <t>152020</t>
  </si>
  <si>
    <t>Venezia</t>
  </si>
  <si>
    <t>Veneto</t>
  </si>
  <si>
    <t>3269.</t>
  </si>
  <si>
    <t>ITALIAN UNDERWEAR S.R.L.</t>
  </si>
  <si>
    <t>07164060720</t>
  </si>
  <si>
    <t>IT07164060720</t>
  </si>
  <si>
    <t>141400</t>
  </si>
  <si>
    <t>Barletta-Andria-Trani</t>
  </si>
  <si>
    <t>Puglia</t>
  </si>
  <si>
    <t>3270.</t>
  </si>
  <si>
    <t>CALZIFICIO SABER S.R.L.</t>
  </si>
  <si>
    <t>03670970981</t>
  </si>
  <si>
    <t>IT03670970981</t>
  </si>
  <si>
    <t>143100</t>
  </si>
  <si>
    <t>Brescia</t>
  </si>
  <si>
    <t>3271.</t>
  </si>
  <si>
    <t>DA.RI.PEL. DI DAVOLI A. &amp; C. - S.R.L.</t>
  </si>
  <si>
    <t>01213240359</t>
  </si>
  <si>
    <t>IT01213240359</t>
  </si>
  <si>
    <t>Reggio nell'Emilia</t>
  </si>
  <si>
    <t>Emilia-Romagna</t>
  </si>
  <si>
    <t>3272.</t>
  </si>
  <si>
    <t>DILIAR - S.R.L.</t>
  </si>
  <si>
    <t>00380680488</t>
  </si>
  <si>
    <t>IT00380680488</t>
  </si>
  <si>
    <t>Firenze</t>
  </si>
  <si>
    <t>Toscana</t>
  </si>
  <si>
    <t>3273.</t>
  </si>
  <si>
    <t>PAOLA CREAZIONI S.R.L.</t>
  </si>
  <si>
    <t>04719080725</t>
  </si>
  <si>
    <t>IT04719080725</t>
  </si>
  <si>
    <t>Bari</t>
  </si>
  <si>
    <t>3274.</t>
  </si>
  <si>
    <t>ARTEL 2000 SRL</t>
  </si>
  <si>
    <t>03669331211</t>
  </si>
  <si>
    <t>IT03669331211</t>
  </si>
  <si>
    <t>3275.</t>
  </si>
  <si>
    <t>SOLETTIFICIO LILLIO - S.R.L.</t>
  </si>
  <si>
    <t>07010430630</t>
  </si>
  <si>
    <t>02642741215</t>
  </si>
  <si>
    <t>IT02642741215</t>
  </si>
  <si>
    <t>3276.</t>
  </si>
  <si>
    <t>MODIT INTERNATIONAL S.R.L.</t>
  </si>
  <si>
    <t>04312090261</t>
  </si>
  <si>
    <t>IT04312090261</t>
  </si>
  <si>
    <t>141310</t>
  </si>
  <si>
    <t>Gorizia</t>
  </si>
  <si>
    <t>Friuli-Venezia Giulia</t>
  </si>
  <si>
    <t>3277.</t>
  </si>
  <si>
    <t>MAGLIFICIO SOFIA SRL</t>
  </si>
  <si>
    <t>03717030369</t>
  </si>
  <si>
    <t>IT03717030369</t>
  </si>
  <si>
    <t>143900</t>
  </si>
  <si>
    <t>Modena</t>
  </si>
  <si>
    <t>3278.</t>
  </si>
  <si>
    <t>IGI S.R.L.</t>
  </si>
  <si>
    <t>04551170758</t>
  </si>
  <si>
    <t>IT04551170758</t>
  </si>
  <si>
    <t>Lecce</t>
  </si>
  <si>
    <t>3279.</t>
  </si>
  <si>
    <t>ERRECI GRUPPOMODA S.R.L.</t>
  </si>
  <si>
    <t>02355660750</t>
  </si>
  <si>
    <t>IT02355660750</t>
  </si>
  <si>
    <t>3280.</t>
  </si>
  <si>
    <t>MODAPEL S.R.L.</t>
  </si>
  <si>
    <t>02199780509</t>
  </si>
  <si>
    <t>IT02199780509</t>
  </si>
  <si>
    <t>151100</t>
  </si>
  <si>
    <t>Pisa</t>
  </si>
  <si>
    <t>3281.</t>
  </si>
  <si>
    <t>3F MODA SOCIETA' A RESPONSABILITA' LIMITATA SEMPLIFICATA</t>
  </si>
  <si>
    <t>03714870122</t>
  </si>
  <si>
    <t>IT03714870122</t>
  </si>
  <si>
    <t>Varese</t>
  </si>
  <si>
    <t>3282.</t>
  </si>
  <si>
    <t>VIGANO' S.R.L.</t>
  </si>
  <si>
    <t>00734910961</t>
  </si>
  <si>
    <t>02462540150</t>
  </si>
  <si>
    <t>IT02462540150</t>
  </si>
  <si>
    <t>Reggio di Calabria</t>
  </si>
  <si>
    <t>Calabria</t>
  </si>
  <si>
    <t>3283.</t>
  </si>
  <si>
    <t>CARRARO S.R.L.</t>
  </si>
  <si>
    <t>01700720038</t>
  </si>
  <si>
    <t>IT01700720038</t>
  </si>
  <si>
    <t>Novara</t>
  </si>
  <si>
    <t>Piemonte</t>
  </si>
  <si>
    <t>3284.</t>
  </si>
  <si>
    <t>VANITY SOCIETA' A RESPONSABILITA' LIMITATA SEMPLIFICATA</t>
  </si>
  <si>
    <t>05533900873</t>
  </si>
  <si>
    <t>IT05533900873</t>
  </si>
  <si>
    <t>Catania</t>
  </si>
  <si>
    <t>Sicilia</t>
  </si>
  <si>
    <t>3285.</t>
  </si>
  <si>
    <t>F.LLI IPPOLITO S.R.L.</t>
  </si>
  <si>
    <t>07686240156</t>
  </si>
  <si>
    <t>IT07686240156</t>
  </si>
  <si>
    <t>3286.</t>
  </si>
  <si>
    <t>DESTRO S.R.L.</t>
  </si>
  <si>
    <t>02192570188</t>
  </si>
  <si>
    <t>IT02192570188</t>
  </si>
  <si>
    <t>152010</t>
  </si>
  <si>
    <t>Pavia</t>
  </si>
  <si>
    <t>3287.</t>
  </si>
  <si>
    <t>ORTOPEDIA LOCCI S.R.L.</t>
  </si>
  <si>
    <t>01516000914</t>
  </si>
  <si>
    <t>IT01516000914</t>
  </si>
  <si>
    <t>Nuoro</t>
  </si>
  <si>
    <t>Sardegna</t>
  </si>
  <si>
    <t>3288.</t>
  </si>
  <si>
    <t>PAOLOROSSI GROUP SOCIETA' A RESPONSABILITA' LIMITATA</t>
  </si>
  <si>
    <t>02712940424</t>
  </si>
  <si>
    <t>IT02712940424</t>
  </si>
  <si>
    <t>3289.</t>
  </si>
  <si>
    <t>CONFEZIONI MOTTOLA S.R.L.</t>
  </si>
  <si>
    <t>08060530725</t>
  </si>
  <si>
    <t>IT08060530725</t>
  </si>
  <si>
    <t>141929</t>
  </si>
  <si>
    <t>3290.</t>
  </si>
  <si>
    <t>FONTANI S.R.L.</t>
  </si>
  <si>
    <t>05637940486</t>
  </si>
  <si>
    <t>IT05637940486</t>
  </si>
  <si>
    <t>141100</t>
  </si>
  <si>
    <t>3291.</t>
  </si>
  <si>
    <t>A.T.F. S.R.L.</t>
  </si>
  <si>
    <t>07731911215</t>
  </si>
  <si>
    <t>IT07731911215</t>
  </si>
  <si>
    <t>3292.</t>
  </si>
  <si>
    <t>FASHION SERVICE PRATO S.R.L.</t>
  </si>
  <si>
    <t>02480850979</t>
  </si>
  <si>
    <t>IT02480850979</t>
  </si>
  <si>
    <t>Prato</t>
  </si>
  <si>
    <t>3293.</t>
  </si>
  <si>
    <t>BE FLORENCE SRL</t>
  </si>
  <si>
    <t>07051940489</t>
  </si>
  <si>
    <t>IT07051940489</t>
  </si>
  <si>
    <t>142000</t>
  </si>
  <si>
    <t>3294.</t>
  </si>
  <si>
    <t>FROG.MAN - SOCIETA' A RESPONSABILITA' LIMITATA</t>
  </si>
  <si>
    <t>02952770358</t>
  </si>
  <si>
    <t>IT02952770358</t>
  </si>
  <si>
    <t>3295.</t>
  </si>
  <si>
    <t>STUDIO MODA 83 S.R.L.</t>
  </si>
  <si>
    <t>02970260549</t>
  </si>
  <si>
    <t>IT02970260549</t>
  </si>
  <si>
    <t>Perugia</t>
  </si>
  <si>
    <t>Umbria</t>
  </si>
  <si>
    <t>3296.</t>
  </si>
  <si>
    <t>INSIDE COLLECTION S.R.L.</t>
  </si>
  <si>
    <t>01937510970</t>
  </si>
  <si>
    <t>IT01937510970</t>
  </si>
  <si>
    <t>141910</t>
  </si>
  <si>
    <t>Prato</t>
  </si>
  <si>
    <t>Toscana</t>
  </si>
  <si>
    <t>3297.</t>
  </si>
  <si>
    <t>CHRIS CONFEZIONI SRL</t>
  </si>
  <si>
    <t>00719590986</t>
  </si>
  <si>
    <t>03020440172</t>
  </si>
  <si>
    <t>IT03020440172</t>
  </si>
  <si>
    <t>141310</t>
  </si>
  <si>
    <t>Brescia</t>
  </si>
  <si>
    <t>Lombardia</t>
  </si>
  <si>
    <t>3298.</t>
  </si>
  <si>
    <t>NICKY S.R.L.</t>
  </si>
  <si>
    <t>01230030155</t>
  </si>
  <si>
    <t>IT01230030155</t>
  </si>
  <si>
    <t>Milano</t>
  </si>
  <si>
    <t>n.d.</t>
  </si>
  <si>
    <t>3299.</t>
  </si>
  <si>
    <t>LA-RI S.R.L.</t>
  </si>
  <si>
    <t>01063360356</t>
  </si>
  <si>
    <t>IT01063360356</t>
  </si>
  <si>
    <t>142000</t>
  </si>
  <si>
    <t>Reggio nell'Emilia</t>
  </si>
  <si>
    <t>Emilia-Romagna</t>
  </si>
  <si>
    <t>3300.</t>
  </si>
  <si>
    <t>TALENT S.R.L.</t>
  </si>
  <si>
    <t>04581780261</t>
  </si>
  <si>
    <t>IT04581780261</t>
  </si>
  <si>
    <t>141000</t>
  </si>
  <si>
    <t>Treviso</t>
  </si>
  <si>
    <t>Veneto</t>
  </si>
  <si>
    <t>3301.</t>
  </si>
  <si>
    <t>CALZIFICIO PALATINO SOCIETA' A RESPONSABILITA' LIMITATA</t>
  </si>
  <si>
    <t>00877541003</t>
  </si>
  <si>
    <t>00393170584</t>
  </si>
  <si>
    <t>IT00393170584</t>
  </si>
  <si>
    <t>143100</t>
  </si>
  <si>
    <t>Roma</t>
  </si>
  <si>
    <t>Lazio</t>
  </si>
  <si>
    <t>3302.</t>
  </si>
  <si>
    <t>JOAN NORD SHOES S.R.L.</t>
  </si>
  <si>
    <t>01615050984</t>
  </si>
  <si>
    <t>IT01615050984</t>
  </si>
  <si>
    <t>152010</t>
  </si>
  <si>
    <t>3303.</t>
  </si>
  <si>
    <t>STIGMATI E' LTD - SOCIETA' A RESPONSABILITA' LIMITATA</t>
  </si>
  <si>
    <t>04321751218</t>
  </si>
  <si>
    <t>IT04321751218</t>
  </si>
  <si>
    <t>Napoli</t>
  </si>
  <si>
    <t>Campania</t>
  </si>
  <si>
    <t>3304.</t>
  </si>
  <si>
    <t>POZZI GROUP SRL</t>
  </si>
  <si>
    <t>00886350966</t>
  </si>
  <si>
    <t>08008780150</t>
  </si>
  <si>
    <t>IT08008780150</t>
  </si>
  <si>
    <t>141100</t>
  </si>
  <si>
    <t>Monza e della Brianza</t>
  </si>
  <si>
    <t>3305.</t>
  </si>
  <si>
    <t>TP ITALIA S.R.L.</t>
  </si>
  <si>
    <t>09689380963</t>
  </si>
  <si>
    <t>IT09689380963</t>
  </si>
  <si>
    <t>141929</t>
  </si>
  <si>
    <t>Varese</t>
  </si>
  <si>
    <t>3306.</t>
  </si>
  <si>
    <t>CLO-SER S.R.L.</t>
  </si>
  <si>
    <t>02177630510</t>
  </si>
  <si>
    <t>IT02177630510</t>
  </si>
  <si>
    <t>Arezzo</t>
  </si>
  <si>
    <t>3307.</t>
  </si>
  <si>
    <t>M2F S.R.L.</t>
  </si>
  <si>
    <t>07046851213</t>
  </si>
  <si>
    <t>IT07046851213</t>
  </si>
  <si>
    <t>152020</t>
  </si>
  <si>
    <t>Caserta</t>
  </si>
  <si>
    <t>3308.</t>
  </si>
  <si>
    <t>FAUSTO COLATO S.R.L.</t>
  </si>
  <si>
    <t>05274830966</t>
  </si>
  <si>
    <t>IT05274830966</t>
  </si>
  <si>
    <t>151200</t>
  </si>
  <si>
    <t>3309.</t>
  </si>
  <si>
    <t>FASHION SEA S.R.L</t>
  </si>
  <si>
    <t>08183941213</t>
  </si>
  <si>
    <t>IT08183941213</t>
  </si>
  <si>
    <t>3310.</t>
  </si>
  <si>
    <t>FRATELLI GRIMALDI S.R.L.</t>
  </si>
  <si>
    <t>02187050154</t>
  </si>
  <si>
    <t>IT02187050154</t>
  </si>
  <si>
    <t>143900</t>
  </si>
  <si>
    <t>3311.</t>
  </si>
  <si>
    <t>CALZATURE V.F. ITALIA PRODUCTION SRL</t>
  </si>
  <si>
    <t>01954580443</t>
  </si>
  <si>
    <t>IT01954580443</t>
  </si>
  <si>
    <t>Fermo</t>
  </si>
  <si>
    <t>Marche</t>
  </si>
  <si>
    <t>3312.</t>
  </si>
  <si>
    <t>LEATHER CONCEPTS SOCIETA' A RESPONSABILITA' LIMITATA</t>
  </si>
  <si>
    <t>02775820422</t>
  </si>
  <si>
    <t>IT02775820422</t>
  </si>
  <si>
    <t>Ancona</t>
  </si>
  <si>
    <t>3313.</t>
  </si>
  <si>
    <t>CONFEZIONI IRIS S.R.L.</t>
  </si>
  <si>
    <t>04553010168</t>
  </si>
  <si>
    <t>IT04553010168</t>
  </si>
  <si>
    <t>Bergamo</t>
  </si>
  <si>
    <t>3314.</t>
  </si>
  <si>
    <t>VA.FRA. S.R.L. UNIPERSONALE</t>
  </si>
  <si>
    <t>02138850447</t>
  </si>
  <si>
    <t>IT02138850447</t>
  </si>
  <si>
    <t>3315.</t>
  </si>
  <si>
    <t>VICO CAROLI SRL</t>
  </si>
  <si>
    <t>01905960744</t>
  </si>
  <si>
    <t>IT01905960744</t>
  </si>
  <si>
    <t>141400</t>
  </si>
  <si>
    <t>Brindisi</t>
  </si>
  <si>
    <t>Puglia</t>
  </si>
  <si>
    <t>3316.</t>
  </si>
  <si>
    <t>VOLATA S.R.L.</t>
  </si>
  <si>
    <t>04876060262</t>
  </si>
  <si>
    <t>IT04876060262</t>
  </si>
  <si>
    <t>3317.</t>
  </si>
  <si>
    <t>YANGHIROS S.R.L.</t>
  </si>
  <si>
    <t>00661111203</t>
  </si>
  <si>
    <t>03781990373</t>
  </si>
  <si>
    <t>IT03781990373</t>
  </si>
  <si>
    <t>Bologna</t>
  </si>
  <si>
    <t>3318.</t>
  </si>
  <si>
    <t>BOMBA S.R.L</t>
  </si>
  <si>
    <t>13360711009</t>
  </si>
  <si>
    <t>IT13360711009</t>
  </si>
  <si>
    <t>3319.</t>
  </si>
  <si>
    <t>CALOR S.R.L. DI XOMPERO GIULIETTO</t>
  </si>
  <si>
    <t>00171310246</t>
  </si>
  <si>
    <t>IT00171310246</t>
  </si>
  <si>
    <t>151100</t>
  </si>
  <si>
    <t>Vicenza</t>
  </si>
  <si>
    <t>3320.</t>
  </si>
  <si>
    <t>PROGETTO MODA S.R.L.</t>
  </si>
  <si>
    <t>04329580288</t>
  </si>
  <si>
    <t>IT04329580288</t>
  </si>
  <si>
    <t>Padova</t>
  </si>
  <si>
    <t>3321.</t>
  </si>
  <si>
    <t>ATUM SRL</t>
  </si>
  <si>
    <t>01827310440</t>
  </si>
  <si>
    <t>IT01827310440</t>
  </si>
  <si>
    <t>3322.</t>
  </si>
  <si>
    <t>MIMMA MODA S.R.L.</t>
  </si>
  <si>
    <t>01979100540</t>
  </si>
  <si>
    <t>IT01979100540</t>
  </si>
  <si>
    <t>Perugia</t>
  </si>
  <si>
    <t>Umbria</t>
  </si>
  <si>
    <t>3323.</t>
  </si>
  <si>
    <t>GLED S.R.L.</t>
  </si>
  <si>
    <t>03342630542</t>
  </si>
  <si>
    <t>IT03342630542</t>
  </si>
  <si>
    <t>3324.</t>
  </si>
  <si>
    <t>PARISI GLOVES S.R.L.</t>
  </si>
  <si>
    <t>03555571219</t>
  </si>
  <si>
    <t>IT03555571219</t>
  </si>
  <si>
    <t>3325.</t>
  </si>
  <si>
    <t>PIEMME S.R.L.</t>
  </si>
  <si>
    <t>08943951213</t>
  </si>
  <si>
    <t>IT08943951213</t>
  </si>
  <si>
    <t>3326.</t>
  </si>
  <si>
    <t>B &amp; B ITALIA S.R.L.</t>
  </si>
  <si>
    <t>06193460489</t>
  </si>
  <si>
    <t>IT06193460489</t>
  </si>
  <si>
    <t>141320</t>
  </si>
  <si>
    <t>Firenze</t>
  </si>
  <si>
    <t>3327.</t>
  </si>
  <si>
    <t>LABENS - S.R.L.</t>
  </si>
  <si>
    <t>01825260472</t>
  </si>
  <si>
    <t>IT01825260472</t>
  </si>
  <si>
    <t>Pistoia</t>
  </si>
  <si>
    <t>3328.</t>
  </si>
  <si>
    <t>CARRARO S.R.L.</t>
  </si>
  <si>
    <t>00863610275</t>
  </si>
  <si>
    <t>IT00863610275</t>
  </si>
  <si>
    <t>152010</t>
  </si>
  <si>
    <t>Venezia</t>
  </si>
  <si>
    <t>Veneto</t>
  </si>
  <si>
    <t>3329.</t>
  </si>
  <si>
    <t>GORDON CONFEZIONI S.R.L.</t>
  </si>
  <si>
    <t>02560910727</t>
  </si>
  <si>
    <t>IT02560910727</t>
  </si>
  <si>
    <t>143900</t>
  </si>
  <si>
    <t>Bari</t>
  </si>
  <si>
    <t>Puglia</t>
  </si>
  <si>
    <t>3330.</t>
  </si>
  <si>
    <t>GALVAN SPOSA S.R.L.</t>
  </si>
  <si>
    <t>01565890207</t>
  </si>
  <si>
    <t>IT01565890207</t>
  </si>
  <si>
    <t>141320</t>
  </si>
  <si>
    <t>Mantova</t>
  </si>
  <si>
    <t>Lombardia</t>
  </si>
  <si>
    <t>3331.</t>
  </si>
  <si>
    <t>ALTEX - SOCIETA A RESPONSABILITA LIMITATA</t>
  </si>
  <si>
    <t>01292601000</t>
  </si>
  <si>
    <t>04712570581</t>
  </si>
  <si>
    <t>IT04712570581</t>
  </si>
  <si>
    <t>Roma</t>
  </si>
  <si>
    <t>Lazio</t>
  </si>
  <si>
    <t>n.d.</t>
  </si>
  <si>
    <t>3332.</t>
  </si>
  <si>
    <t>GIEMME FASHION SERVICE S.R.L.</t>
  </si>
  <si>
    <t>03702310248</t>
  </si>
  <si>
    <t>IT03702310248</t>
  </si>
  <si>
    <t>141310</t>
  </si>
  <si>
    <t>Vicenza</t>
  </si>
  <si>
    <t>3333.</t>
  </si>
  <si>
    <t>MARA TAC S.R.L.</t>
  </si>
  <si>
    <t>01421160449</t>
  </si>
  <si>
    <t>IT01421160449</t>
  </si>
  <si>
    <t>152020</t>
  </si>
  <si>
    <t>Fermo</t>
  </si>
  <si>
    <t>Marche</t>
  </si>
  <si>
    <t>3334.</t>
  </si>
  <si>
    <t>SANVENERO S.R.L.</t>
  </si>
  <si>
    <t>01698660097</t>
  </si>
  <si>
    <t>IT01698660097</t>
  </si>
  <si>
    <t>Savona</t>
  </si>
  <si>
    <t>Liguria</t>
  </si>
  <si>
    <t>3335.</t>
  </si>
  <si>
    <t>EXTREME DESIGN SRL</t>
  </si>
  <si>
    <t>02041350972</t>
  </si>
  <si>
    <t>IT02041350972</t>
  </si>
  <si>
    <t>151209</t>
  </si>
  <si>
    <t>Prato</t>
  </si>
  <si>
    <t>Toscana</t>
  </si>
  <si>
    <t>3336.</t>
  </si>
  <si>
    <t>CRI.DA S.R.L.</t>
  </si>
  <si>
    <t>04416290163</t>
  </si>
  <si>
    <t>IT04416290163</t>
  </si>
  <si>
    <t>Bergamo</t>
  </si>
  <si>
    <t>3337.</t>
  </si>
  <si>
    <t>CONFORT S.R.L.</t>
  </si>
  <si>
    <t>01041820760</t>
  </si>
  <si>
    <t>IT01041820760</t>
  </si>
  <si>
    <t>141910</t>
  </si>
  <si>
    <t>Potenza</t>
  </si>
  <si>
    <t>Basilicata</t>
  </si>
  <si>
    <t>3338.</t>
  </si>
  <si>
    <t>EFFETTO LANA E COTONE S.R.L.</t>
  </si>
  <si>
    <t>02293350266</t>
  </si>
  <si>
    <t>IT02293350266</t>
  </si>
  <si>
    <t>Treviso</t>
  </si>
  <si>
    <t>3339.</t>
  </si>
  <si>
    <t>SC CALZE S.R.L.</t>
  </si>
  <si>
    <t>07749040726</t>
  </si>
  <si>
    <t>IT07749040726</t>
  </si>
  <si>
    <t>143100</t>
  </si>
  <si>
    <t>Barletta-Andria-Trani</t>
  </si>
  <si>
    <t>3340.</t>
  </si>
  <si>
    <t>SERALFRED TAGLIO S.R.L.</t>
  </si>
  <si>
    <t>02346300169</t>
  </si>
  <si>
    <t>IT02346300169</t>
  </si>
  <si>
    <t>141300</t>
  </si>
  <si>
    <t>3341.</t>
  </si>
  <si>
    <t>STILEITALIA S.R.L.</t>
  </si>
  <si>
    <t>04253710166</t>
  </si>
  <si>
    <t>IT04253710166</t>
  </si>
  <si>
    <t>141400</t>
  </si>
  <si>
    <t>3342.</t>
  </si>
  <si>
    <t>COFFINARDI &amp; DELPANNO INDUSTRIES SRL</t>
  </si>
  <si>
    <t>04044270983</t>
  </si>
  <si>
    <t>IT04044270983</t>
  </si>
  <si>
    <t>Brescia</t>
  </si>
  <si>
    <t>3343.</t>
  </si>
  <si>
    <t>EUROSPAL GROUP S.R.L.</t>
  </si>
  <si>
    <t>03236590364</t>
  </si>
  <si>
    <t>IT03236590364</t>
  </si>
  <si>
    <t>Modena</t>
  </si>
  <si>
    <t>Emilia-Romagna</t>
  </si>
  <si>
    <t>3344.</t>
  </si>
  <si>
    <t>CREAZIONI NIGI'S - S.R.L.</t>
  </si>
  <si>
    <t>01624830129</t>
  </si>
  <si>
    <t>IT01624830129</t>
  </si>
  <si>
    <t>Varese</t>
  </si>
  <si>
    <t>3345.</t>
  </si>
  <si>
    <t>COME S.R.L.</t>
  </si>
  <si>
    <t>04522400284</t>
  </si>
  <si>
    <t>IT04522400284</t>
  </si>
  <si>
    <t>Padova</t>
  </si>
  <si>
    <t>3346.</t>
  </si>
  <si>
    <t>CONFEZIONI RI.GI SPORT S.R.L.</t>
  </si>
  <si>
    <t>05477580723</t>
  </si>
  <si>
    <t>IT05477580723</t>
  </si>
  <si>
    <t>141929</t>
  </si>
  <si>
    <t>3347.</t>
  </si>
  <si>
    <t>DM SOCIETA' A RESPONSABILITA' LIMITATA ENUNCIABILE ANCHE DM SRL</t>
  </si>
  <si>
    <t>01386340440</t>
  </si>
  <si>
    <t>IT01386340440</t>
  </si>
  <si>
    <t>3348.</t>
  </si>
  <si>
    <t>CALZATURIFICIO PIACENTINI S.R.L.</t>
  </si>
  <si>
    <t>02447590460</t>
  </si>
  <si>
    <t>IT02447590460</t>
  </si>
  <si>
    <t>Lucca</t>
  </si>
  <si>
    <t>3349.</t>
  </si>
  <si>
    <t>LANIFICIO MARCHESIN S.R.L.</t>
  </si>
  <si>
    <t>01176510269</t>
  </si>
  <si>
    <t>IT01176510269</t>
  </si>
  <si>
    <t>3350.</t>
  </si>
  <si>
    <t>LAURORA S.R.L.</t>
  </si>
  <si>
    <t>02663510135</t>
  </si>
  <si>
    <t>IT02663510135</t>
  </si>
  <si>
    <t>141000</t>
  </si>
  <si>
    <t>Lecco</t>
  </si>
  <si>
    <t>3351.</t>
  </si>
  <si>
    <t>SARTORIA SILVIO ZANELLA S.R.L.</t>
  </si>
  <si>
    <t>00015870249</t>
  </si>
  <si>
    <t>IT00015870249</t>
  </si>
  <si>
    <t>3352.</t>
  </si>
  <si>
    <t>SCOLARO S.R.L.</t>
  </si>
  <si>
    <t>00101390441</t>
  </si>
  <si>
    <t>IT00101390441</t>
  </si>
  <si>
    <t>3353.</t>
  </si>
  <si>
    <t>ANTIDA S.R.L.</t>
  </si>
  <si>
    <t>02333090203</t>
  </si>
  <si>
    <t>IT02333090203</t>
  </si>
  <si>
    <t>3354.</t>
  </si>
  <si>
    <t>ALIS CREATION SOCIETA' A RESPONSABILITA' LIMITATA SEMPLIFICATA</t>
  </si>
  <si>
    <t>03356970545</t>
  </si>
  <si>
    <t>IT03356970545</t>
  </si>
  <si>
    <t>Perugia</t>
  </si>
  <si>
    <t>Umbria</t>
  </si>
  <si>
    <t>3355.</t>
  </si>
  <si>
    <t>B &amp; B S.R.L.</t>
  </si>
  <si>
    <t>07085981210</t>
  </si>
  <si>
    <t>IT07085981210</t>
  </si>
  <si>
    <t>Napoli</t>
  </si>
  <si>
    <t>Campania</t>
  </si>
  <si>
    <t>3356.</t>
  </si>
  <si>
    <t>G.E.M.I. SRLS SOCIETA' A RESPONSABILITA' LIMITATA SEMPLIFICATA</t>
  </si>
  <si>
    <t>01562890291</t>
  </si>
  <si>
    <t>IT01562890291</t>
  </si>
  <si>
    <t>Rovigo</t>
  </si>
  <si>
    <t>3357.</t>
  </si>
  <si>
    <t>LA DEA S.R.L.</t>
  </si>
  <si>
    <t>02495910974</t>
  </si>
  <si>
    <t>IT02495910974</t>
  </si>
  <si>
    <t>3358.</t>
  </si>
  <si>
    <t>VIRNA DRO' S.R.L.</t>
  </si>
  <si>
    <t>06688800488</t>
  </si>
  <si>
    <t>IT06688800488</t>
  </si>
  <si>
    <t>Firenze</t>
  </si>
  <si>
    <t>3359.</t>
  </si>
  <si>
    <t>OMBRETTA S.R.L.</t>
  </si>
  <si>
    <t>05220690480</t>
  </si>
  <si>
    <t>IT05220690480</t>
  </si>
  <si>
    <t>151200</t>
  </si>
  <si>
    <t>3360.</t>
  </si>
  <si>
    <t>MEVI SRL</t>
  </si>
  <si>
    <t>04311170403</t>
  </si>
  <si>
    <t>IT04311170403</t>
  </si>
  <si>
    <t>141200</t>
  </si>
  <si>
    <t>Rimini</t>
  </si>
  <si>
    <t>Emilia-Romagna</t>
  </si>
  <si>
    <t>n.d.</t>
  </si>
  <si>
    <t>3361.</t>
  </si>
  <si>
    <t>PELLA SPORTSWEAR S.R.L.</t>
  </si>
  <si>
    <t>02653500021</t>
  </si>
  <si>
    <t>IT02653500021</t>
  </si>
  <si>
    <t>141310</t>
  </si>
  <si>
    <t>Milano</t>
  </si>
  <si>
    <t>Lombardia</t>
  </si>
  <si>
    <t>3362.</t>
  </si>
  <si>
    <t>DOLCI S.R.L. - UNIPERSONALE</t>
  </si>
  <si>
    <t>01926970987</t>
  </si>
  <si>
    <t>IT01926970987</t>
  </si>
  <si>
    <t>143100</t>
  </si>
  <si>
    <t>Brescia</t>
  </si>
  <si>
    <t>3363.</t>
  </si>
  <si>
    <t>PELLE ITALIA - S.R.L.</t>
  </si>
  <si>
    <t>02493360248</t>
  </si>
  <si>
    <t>01686680206</t>
  </si>
  <si>
    <t>IT01686680206</t>
  </si>
  <si>
    <t>151100</t>
  </si>
  <si>
    <t>Vicenza</t>
  </si>
  <si>
    <t>Veneto</t>
  </si>
  <si>
    <t>3364.</t>
  </si>
  <si>
    <t>MANIFATTURE GEMO'S ITALIA S.R.L.</t>
  </si>
  <si>
    <t>04983580483</t>
  </si>
  <si>
    <t>IT04983580483</t>
  </si>
  <si>
    <t>141910</t>
  </si>
  <si>
    <t>Firenze</t>
  </si>
  <si>
    <t>Toscana</t>
  </si>
  <si>
    <t>3365.</t>
  </si>
  <si>
    <t>NOVEL ITALIA S.R.L.</t>
  </si>
  <si>
    <t>03758130714</t>
  </si>
  <si>
    <t>IT03758130714</t>
  </si>
  <si>
    <t>Foggia</t>
  </si>
  <si>
    <t>Puglia</t>
  </si>
  <si>
    <t>3366.</t>
  </si>
  <si>
    <t>PRIMA LINEA S.R.L.</t>
  </si>
  <si>
    <t>03460520244</t>
  </si>
  <si>
    <t>IT03460520244</t>
  </si>
  <si>
    <t>141000</t>
  </si>
  <si>
    <t>3367.</t>
  </si>
  <si>
    <t>PAOUL SRL</t>
  </si>
  <si>
    <t>04609750288</t>
  </si>
  <si>
    <t>IT04609750288</t>
  </si>
  <si>
    <t>152010</t>
  </si>
  <si>
    <t>Padova</t>
  </si>
  <si>
    <t>3368.</t>
  </si>
  <si>
    <t>ALTER STUDIO S.R.L.</t>
  </si>
  <si>
    <t>04434070233</t>
  </si>
  <si>
    <t>IT04434070233</t>
  </si>
  <si>
    <t>Verona</t>
  </si>
  <si>
    <t>3369.</t>
  </si>
  <si>
    <t>DELTA WEAR S.R.L.</t>
  </si>
  <si>
    <t>07829680631</t>
  </si>
  <si>
    <t>IT07829680631</t>
  </si>
  <si>
    <t>Napoli</t>
  </si>
  <si>
    <t>Campania</t>
  </si>
  <si>
    <t>3370.</t>
  </si>
  <si>
    <t>PIELLEITALIA S.R.L.</t>
  </si>
  <si>
    <t>03264870167</t>
  </si>
  <si>
    <t>IT03264870167</t>
  </si>
  <si>
    <t>Bergamo</t>
  </si>
  <si>
    <t>3371.</t>
  </si>
  <si>
    <t>MARGI S.R.L.</t>
  </si>
  <si>
    <t>00881140248</t>
  </si>
  <si>
    <t>IT00881140248</t>
  </si>
  <si>
    <t>3372.</t>
  </si>
  <si>
    <t>AMABILIA S.R.L. - UNIPERSONALE</t>
  </si>
  <si>
    <t>02849680240</t>
  </si>
  <si>
    <t>IT02849680240</t>
  </si>
  <si>
    <t>151209</t>
  </si>
  <si>
    <t>3373.</t>
  </si>
  <si>
    <t>CO.MI S.R.L.</t>
  </si>
  <si>
    <t>01688100153</t>
  </si>
  <si>
    <t>IT01688100153</t>
  </si>
  <si>
    <t>3374.</t>
  </si>
  <si>
    <t>ITAKA SRL</t>
  </si>
  <si>
    <t>04958250260</t>
  </si>
  <si>
    <t>IT04958250260</t>
  </si>
  <si>
    <t>3375.</t>
  </si>
  <si>
    <t>CALZATURIFICIO MEPRES S.R.L.</t>
  </si>
  <si>
    <t>02419200262</t>
  </si>
  <si>
    <t>IT02419200262</t>
  </si>
  <si>
    <t>152000</t>
  </si>
  <si>
    <t>Treviso</t>
  </si>
  <si>
    <t>3376.</t>
  </si>
  <si>
    <t>CONFEZIONI GIERRE S.R.L.</t>
  </si>
  <si>
    <t>01056160037</t>
  </si>
  <si>
    <t>IT01056160037</t>
  </si>
  <si>
    <t>Novara</t>
  </si>
  <si>
    <t>Piemonte</t>
  </si>
  <si>
    <t>3377.</t>
  </si>
  <si>
    <t>KING TARTUFOLI S.R.L.</t>
  </si>
  <si>
    <t>01834670430</t>
  </si>
  <si>
    <t>IT01834670430</t>
  </si>
  <si>
    <t>Macerata</t>
  </si>
  <si>
    <t>Marche</t>
  </si>
  <si>
    <t>3378.</t>
  </si>
  <si>
    <t>WEST ROSE S.R.L. CON SOCIO UNICO</t>
  </si>
  <si>
    <t>10566480017</t>
  </si>
  <si>
    <t>IT10566480017</t>
  </si>
  <si>
    <t>Torino</t>
  </si>
  <si>
    <t>3379.</t>
  </si>
  <si>
    <t>ROMITELLI SHOES SRL</t>
  </si>
  <si>
    <t>01692800434</t>
  </si>
  <si>
    <t>IT01692800434</t>
  </si>
  <si>
    <t>3380.</t>
  </si>
  <si>
    <t>FORCINITI S.R.L.</t>
  </si>
  <si>
    <t>02163690510</t>
  </si>
  <si>
    <t>IT02163690510</t>
  </si>
  <si>
    <t>Arezzo</t>
  </si>
  <si>
    <t>3381.</t>
  </si>
  <si>
    <t>CONFEZIONI DVN S.R.L.</t>
  </si>
  <si>
    <t>04334580729</t>
  </si>
  <si>
    <t>IT04334580729</t>
  </si>
  <si>
    <t>141400</t>
  </si>
  <si>
    <t>Barletta-Andria-Trani</t>
  </si>
  <si>
    <t>3382.</t>
  </si>
  <si>
    <t>ITALIAN FASHION LAB S.R.L.</t>
  </si>
  <si>
    <t>03451150365</t>
  </si>
  <si>
    <t>IT03451150365</t>
  </si>
  <si>
    <t>Modena</t>
  </si>
  <si>
    <t>3383.</t>
  </si>
  <si>
    <t>DOONEY &amp; BOURKE ITALIA S.R.L.</t>
  </si>
  <si>
    <t>05041450486</t>
  </si>
  <si>
    <t>IT05041450486</t>
  </si>
  <si>
    <t>Pistoia</t>
  </si>
  <si>
    <t>3384.</t>
  </si>
  <si>
    <t>STUDIO IMMAGINE S.R.L.</t>
  </si>
  <si>
    <t>02151370448</t>
  </si>
  <si>
    <t>IT02151370448</t>
  </si>
  <si>
    <t>Fermo</t>
  </si>
  <si>
    <t>3385.</t>
  </si>
  <si>
    <t>MARPELL S.R.L.</t>
  </si>
  <si>
    <t>01921360507</t>
  </si>
  <si>
    <t>IT01921360507</t>
  </si>
  <si>
    <t>Pisa</t>
  </si>
  <si>
    <t>3386.</t>
  </si>
  <si>
    <t>QUADRARO - SOCIETA' A RESPONSABILITA' LIMITATA</t>
  </si>
  <si>
    <t>03563170483</t>
  </si>
  <si>
    <t>IT03563170483</t>
  </si>
  <si>
    <t>3387.</t>
  </si>
  <si>
    <t>FALCIM S.R.L.</t>
  </si>
  <si>
    <t>01136490594</t>
  </si>
  <si>
    <t>IT01136490594</t>
  </si>
  <si>
    <t>141320</t>
  </si>
  <si>
    <t>Latina</t>
  </si>
  <si>
    <t>Lazio</t>
  </si>
  <si>
    <t>3388.</t>
  </si>
  <si>
    <t>SHIRT LAB S.R.L.</t>
  </si>
  <si>
    <t>00434460689</t>
  </si>
  <si>
    <t>IT00434460689</t>
  </si>
  <si>
    <t>Pescara</t>
  </si>
  <si>
    <t>Abruzzo</t>
  </si>
  <si>
    <t>3389.</t>
  </si>
  <si>
    <t>JEANS MARKET S.R.L.</t>
  </si>
  <si>
    <t>00941540296</t>
  </si>
  <si>
    <t>IT00941540296</t>
  </si>
  <si>
    <t>3390.</t>
  </si>
  <si>
    <t>ARTIGIANINO S.R.L.</t>
  </si>
  <si>
    <t>04642300653</t>
  </si>
  <si>
    <t>IT04642300653</t>
  </si>
  <si>
    <t>3391.</t>
  </si>
  <si>
    <t>ITALIAN BELTS S.R.L.</t>
  </si>
  <si>
    <t>09444791215</t>
  </si>
  <si>
    <t>IT09444791215</t>
  </si>
  <si>
    <t>3392.</t>
  </si>
  <si>
    <t>CALZATURE EPOCA S.R.L.</t>
  </si>
  <si>
    <t>09260300158</t>
  </si>
  <si>
    <t>IT09260300158</t>
  </si>
  <si>
    <t>152000</t>
  </si>
  <si>
    <t>Milano</t>
  </si>
  <si>
    <t>Lombardia</t>
  </si>
  <si>
    <t>3393.</t>
  </si>
  <si>
    <t>R.G.G. GROUP SRL</t>
  </si>
  <si>
    <t>02164580736</t>
  </si>
  <si>
    <t>IT02164580736</t>
  </si>
  <si>
    <t>141310</t>
  </si>
  <si>
    <t>Taranto</t>
  </si>
  <si>
    <t>Puglia</t>
  </si>
  <si>
    <t>3394.</t>
  </si>
  <si>
    <t>ATELIER S.R.L.</t>
  </si>
  <si>
    <t>01556450474</t>
  </si>
  <si>
    <t>IT01556450474</t>
  </si>
  <si>
    <t>141929</t>
  </si>
  <si>
    <t>Lucca</t>
  </si>
  <si>
    <t>Toscana</t>
  </si>
  <si>
    <t>3395.</t>
  </si>
  <si>
    <t>NEW ENERGY SRL</t>
  </si>
  <si>
    <t>04882640289</t>
  </si>
  <si>
    <t>IT04882640289</t>
  </si>
  <si>
    <t>Padova</t>
  </si>
  <si>
    <t>Veneto</t>
  </si>
  <si>
    <t>3396.</t>
  </si>
  <si>
    <t>CLAIRE S.R.L.</t>
  </si>
  <si>
    <t>01489990513</t>
  </si>
  <si>
    <t>IT01489990513</t>
  </si>
  <si>
    <t>151209</t>
  </si>
  <si>
    <t>Arezzo</t>
  </si>
  <si>
    <t>3397.</t>
  </si>
  <si>
    <t>IDEA 90 S.R.L.</t>
  </si>
  <si>
    <t>03187180264</t>
  </si>
  <si>
    <t>IT03187180264</t>
  </si>
  <si>
    <t>Treviso</t>
  </si>
  <si>
    <t>3398.</t>
  </si>
  <si>
    <t>A.V.F. S.R.L.S.</t>
  </si>
  <si>
    <t>01922830672</t>
  </si>
  <si>
    <t>IT01922830672</t>
  </si>
  <si>
    <t>Teramo</t>
  </si>
  <si>
    <t>Abruzzo</t>
  </si>
  <si>
    <t>3399.</t>
  </si>
  <si>
    <t>SORGENTE GROUP S.R.L.</t>
  </si>
  <si>
    <t>09000031212</t>
  </si>
  <si>
    <t>IT09000031212</t>
  </si>
  <si>
    <t>Napoli</t>
  </si>
  <si>
    <t>Campania</t>
  </si>
  <si>
    <t>n.d.</t>
  </si>
  <si>
    <t>3400.</t>
  </si>
  <si>
    <t>DEL MUGNAIO S.R.L.</t>
  </si>
  <si>
    <t>00235860509</t>
  </si>
  <si>
    <t>IT00235860509</t>
  </si>
  <si>
    <t>151100</t>
  </si>
  <si>
    <t>Pisa</t>
  </si>
  <si>
    <t>3401.</t>
  </si>
  <si>
    <t>LUCARELLA PELLICCE SRL</t>
  </si>
  <si>
    <t>06381731212</t>
  </si>
  <si>
    <t>IT06381731212</t>
  </si>
  <si>
    <t>142000</t>
  </si>
  <si>
    <t>3402.</t>
  </si>
  <si>
    <t>ESSEFASHION S.R.L.</t>
  </si>
  <si>
    <t>03669820163</t>
  </si>
  <si>
    <t>IT03669820163</t>
  </si>
  <si>
    <t>141000</t>
  </si>
  <si>
    <t>Bergamo</t>
  </si>
  <si>
    <t>3403.</t>
  </si>
  <si>
    <t>TRIZIO S.R.L.</t>
  </si>
  <si>
    <t>10664470159</t>
  </si>
  <si>
    <t>IT10664470159</t>
  </si>
  <si>
    <t>3404.</t>
  </si>
  <si>
    <t>VISUAL FRIEND S.R.L.</t>
  </si>
  <si>
    <t>05021030266</t>
  </si>
  <si>
    <t>IT05021030266</t>
  </si>
  <si>
    <t>141910</t>
  </si>
  <si>
    <t>3405.</t>
  </si>
  <si>
    <t>BELTS + SOCIETA' A RESPONSABILITA' LIMITATA</t>
  </si>
  <si>
    <t>01517160345</t>
  </si>
  <si>
    <t>IT01517160345</t>
  </si>
  <si>
    <t>141100</t>
  </si>
  <si>
    <t>Parma</t>
  </si>
  <si>
    <t>Emilia-Romagna</t>
  </si>
  <si>
    <t>3406.</t>
  </si>
  <si>
    <t>SERTEO CONFEZIONI S.R.L.</t>
  </si>
  <si>
    <t>02818470136</t>
  </si>
  <si>
    <t>IT02818470136</t>
  </si>
  <si>
    <t>Lecco</t>
  </si>
  <si>
    <t>3407.</t>
  </si>
  <si>
    <t>CALZATURIFICIO ARDITO - S.R.L. -</t>
  </si>
  <si>
    <t>03411900651</t>
  </si>
  <si>
    <t>IT03411900651</t>
  </si>
  <si>
    <t>Salerno</t>
  </si>
  <si>
    <t>3408.</t>
  </si>
  <si>
    <t>ELVICART S.R.L.</t>
  </si>
  <si>
    <t>12575690156</t>
  </si>
  <si>
    <t>IT12575690156</t>
  </si>
  <si>
    <t>151200</t>
  </si>
  <si>
    <t>3409.</t>
  </si>
  <si>
    <t>CINTURIFICIO G. &amp; G. S.R.L.</t>
  </si>
  <si>
    <t>04330390289</t>
  </si>
  <si>
    <t>IT04330390289</t>
  </si>
  <si>
    <t>3410.</t>
  </si>
  <si>
    <t>FASHION STREETWEAR ITALIA S.R.L.</t>
  </si>
  <si>
    <t>03516860362</t>
  </si>
  <si>
    <t>IT03516860362</t>
  </si>
  <si>
    <t>Firenze</t>
  </si>
  <si>
    <t>3411.</t>
  </si>
  <si>
    <t>MAX MIL S.R.L.</t>
  </si>
  <si>
    <t>00123250037</t>
  </si>
  <si>
    <t>IT00123250037</t>
  </si>
  <si>
    <t>143900</t>
  </si>
  <si>
    <t>Novara</t>
  </si>
  <si>
    <t>Piemonte</t>
  </si>
  <si>
    <t>3412.</t>
  </si>
  <si>
    <t>MARIANI CONFEZIONI S.R.L.</t>
  </si>
  <si>
    <t>05232740653</t>
  </si>
  <si>
    <t>IT05232740653</t>
  </si>
  <si>
    <t>141320</t>
  </si>
  <si>
    <t>3413.</t>
  </si>
  <si>
    <t>SUOLIFICIO PALAZZO GIOVANNI S.R.L.</t>
  </si>
  <si>
    <t>02479790186</t>
  </si>
  <si>
    <t>IT02479790186</t>
  </si>
  <si>
    <t>152020</t>
  </si>
  <si>
    <t>Pavia</t>
  </si>
  <si>
    <t>3414.</t>
  </si>
  <si>
    <t>SUNSTAR SRL</t>
  </si>
  <si>
    <t>02499150973</t>
  </si>
  <si>
    <t>IT02499150973</t>
  </si>
  <si>
    <t>Prato</t>
  </si>
  <si>
    <t>3415.</t>
  </si>
  <si>
    <t>ALCOSTRICOT HOLDING S.R.L.</t>
  </si>
  <si>
    <t>09409200962</t>
  </si>
  <si>
    <t>IT09409200962</t>
  </si>
  <si>
    <t>3416.</t>
  </si>
  <si>
    <t>2 EFFE SOCIETA' A RESPONSABILITA' LIMITATA SEMPLIFICATA</t>
  </si>
  <si>
    <t>03667430981</t>
  </si>
  <si>
    <t>IT03667430981</t>
  </si>
  <si>
    <t>Brescia</t>
  </si>
  <si>
    <t>3417.</t>
  </si>
  <si>
    <t>FONTANA SHOES S.R.L.</t>
  </si>
  <si>
    <t>02401400441</t>
  </si>
  <si>
    <t>IT02401400441</t>
  </si>
  <si>
    <t>152010</t>
  </si>
  <si>
    <t>Fermo</t>
  </si>
  <si>
    <t>Marche</t>
  </si>
  <si>
    <t>3418.</t>
  </si>
  <si>
    <t>EQUITIME SRL</t>
  </si>
  <si>
    <t>02240870689</t>
  </si>
  <si>
    <t>IT02240870689</t>
  </si>
  <si>
    <t>Pescara</t>
  </si>
  <si>
    <t>3419.</t>
  </si>
  <si>
    <t>ANGIVENEZIA SRL</t>
  </si>
  <si>
    <t>04035400243</t>
  </si>
  <si>
    <t>IT04035400243</t>
  </si>
  <si>
    <t>Vicenza</t>
  </si>
  <si>
    <t>3420.</t>
  </si>
  <si>
    <t>CONFEZIONI GHEDESI S.R.L.</t>
  </si>
  <si>
    <t>03137420174</t>
  </si>
  <si>
    <t>IT03137420174</t>
  </si>
  <si>
    <t>3421.</t>
  </si>
  <si>
    <t>STAMPERIA MAST S.R.L.</t>
  </si>
  <si>
    <t>03559480243</t>
  </si>
  <si>
    <t>IT03559480243</t>
  </si>
  <si>
    <t>3422.</t>
  </si>
  <si>
    <t>GIVU' SRL</t>
  </si>
  <si>
    <t>01878100435</t>
  </si>
  <si>
    <t>IT01878100435</t>
  </si>
  <si>
    <t>Macerata</t>
  </si>
  <si>
    <t>3423.</t>
  </si>
  <si>
    <t>CONFEZIONI GIGI'S SRL</t>
  </si>
  <si>
    <t>00640390985</t>
  </si>
  <si>
    <t>01588990174</t>
  </si>
  <si>
    <t>IT01588990174</t>
  </si>
  <si>
    <t>3424.</t>
  </si>
  <si>
    <t>DE MARCHI 1946 SRL</t>
  </si>
  <si>
    <t>04861070268</t>
  </si>
  <si>
    <t>IT04861070268</t>
  </si>
  <si>
    <t>141929</t>
  </si>
  <si>
    <t>Treviso</t>
  </si>
  <si>
    <t>Veneto</t>
  </si>
  <si>
    <t>3425.</t>
  </si>
  <si>
    <t>MANIFATTURE GIULIA S.R.L.</t>
  </si>
  <si>
    <t>01664180435</t>
  </si>
  <si>
    <t>IT01664180435</t>
  </si>
  <si>
    <t>143900</t>
  </si>
  <si>
    <t>Macerata</t>
  </si>
  <si>
    <t>Marche</t>
  </si>
  <si>
    <t>3426.</t>
  </si>
  <si>
    <t>GAIA SEGATTINI KNOTWEAR SOCIETA' BENEFIT A RESPONSABILITA' LIMITATA</t>
  </si>
  <si>
    <t>02824010421</t>
  </si>
  <si>
    <t>IT02824010421</t>
  </si>
  <si>
    <t>Ancona</t>
  </si>
  <si>
    <t>3427.</t>
  </si>
  <si>
    <t>MAGLIFICIO FLY LINE - S.R.L.</t>
  </si>
  <si>
    <t>02059130480</t>
  </si>
  <si>
    <t>IT02059130480</t>
  </si>
  <si>
    <t>Firenze</t>
  </si>
  <si>
    <t>Toscana</t>
  </si>
  <si>
    <t>3428.</t>
  </si>
  <si>
    <t>NIKI CONFEZIONI SRL</t>
  </si>
  <si>
    <t>00868530247</t>
  </si>
  <si>
    <t>IT00868530247</t>
  </si>
  <si>
    <t>141310</t>
  </si>
  <si>
    <t>Vicenza</t>
  </si>
  <si>
    <t>n.d.</t>
  </si>
  <si>
    <t>3429.</t>
  </si>
  <si>
    <t>C.M. S.R.L. - SOCIETA' UNIPERSONALE</t>
  </si>
  <si>
    <t>02815130246</t>
  </si>
  <si>
    <t>IT02815130246</t>
  </si>
  <si>
    <t>151100</t>
  </si>
  <si>
    <t>3430.</t>
  </si>
  <si>
    <t>RUSSOLILLO TESSILE S.R.L.</t>
  </si>
  <si>
    <t>07575260638</t>
  </si>
  <si>
    <t>IT07575260638</t>
  </si>
  <si>
    <t>Napoli</t>
  </si>
  <si>
    <t>Campania</t>
  </si>
  <si>
    <t>3431.</t>
  </si>
  <si>
    <t>SUNJOY SRL</t>
  </si>
  <si>
    <t>02470700978</t>
  </si>
  <si>
    <t>IT02470700978</t>
  </si>
  <si>
    <t>141910</t>
  </si>
  <si>
    <t>Prato</t>
  </si>
  <si>
    <t>3432.</t>
  </si>
  <si>
    <t>LUIGI BONZA &amp; C. S.R.L.</t>
  </si>
  <si>
    <t>01131100032</t>
  </si>
  <si>
    <t>IT01131100032</t>
  </si>
  <si>
    <t>Novara</t>
  </si>
  <si>
    <t>Piemonte</t>
  </si>
  <si>
    <t>3433.</t>
  </si>
  <si>
    <t>SCENZA S.R.L.</t>
  </si>
  <si>
    <t>01879910436</t>
  </si>
  <si>
    <t>IT01879910436</t>
  </si>
  <si>
    <t>152010</t>
  </si>
  <si>
    <t>3434.</t>
  </si>
  <si>
    <t>CTC CONCERIA DEL CHIENTI SOCIETA' BENEFIT S.P.A.</t>
  </si>
  <si>
    <t>02083630430</t>
  </si>
  <si>
    <t>IT02083630430</t>
  </si>
  <si>
    <t>3435.</t>
  </si>
  <si>
    <t>L'HORTOPEDICO 2.0 S.R.L.</t>
  </si>
  <si>
    <t>05066210286</t>
  </si>
  <si>
    <t>IT05066210286</t>
  </si>
  <si>
    <t>Padova</t>
  </si>
  <si>
    <t>3436.</t>
  </si>
  <si>
    <t>AC STUDIO SRL</t>
  </si>
  <si>
    <t>04976190266</t>
  </si>
  <si>
    <t>IT04976190266</t>
  </si>
  <si>
    <t>3437.</t>
  </si>
  <si>
    <t>ELENPELL S.R.L.</t>
  </si>
  <si>
    <t>02085180244</t>
  </si>
  <si>
    <t>IT02085180244</t>
  </si>
  <si>
    <t>3438.</t>
  </si>
  <si>
    <t>LEPO CALZATURE S.R.L. UNIPERSONALE</t>
  </si>
  <si>
    <t>02020520462</t>
  </si>
  <si>
    <t>IT02020520462</t>
  </si>
  <si>
    <t>Lucca</t>
  </si>
  <si>
    <t>3439.</t>
  </si>
  <si>
    <t>PELLETTERIE ALEST S.R.L.</t>
  </si>
  <si>
    <t>01006590481</t>
  </si>
  <si>
    <t>IT01006590481</t>
  </si>
  <si>
    <t>151200</t>
  </si>
  <si>
    <t>3440.</t>
  </si>
  <si>
    <t>SERGIO FUMI VALIGERIA S.R.L.</t>
  </si>
  <si>
    <t>01057890335</t>
  </si>
  <si>
    <t>IT01057890335</t>
  </si>
  <si>
    <t>151209</t>
  </si>
  <si>
    <t>Piacenza</t>
  </si>
  <si>
    <t>Emilia-Romagna</t>
  </si>
  <si>
    <t>3441.</t>
  </si>
  <si>
    <t>TECNORIVER S.R.L.</t>
  </si>
  <si>
    <t>00717320980</t>
  </si>
  <si>
    <t>03003080177</t>
  </si>
  <si>
    <t>IT03003080177</t>
  </si>
  <si>
    <t>143100</t>
  </si>
  <si>
    <t>Brescia</t>
  </si>
  <si>
    <t>Lombardia</t>
  </si>
  <si>
    <t>3442.</t>
  </si>
  <si>
    <t>GIANFRANCO BUTTERI SRL</t>
  </si>
  <si>
    <t>01898540446</t>
  </si>
  <si>
    <t>IT01898540446</t>
  </si>
  <si>
    <t>Fermo</t>
  </si>
  <si>
    <t>3443.</t>
  </si>
  <si>
    <t>WORLD FASHION S.R.L.</t>
  </si>
  <si>
    <t>07800861218</t>
  </si>
  <si>
    <t>IT07800861218</t>
  </si>
  <si>
    <t>3444.</t>
  </si>
  <si>
    <t>LE FARELLA SRL</t>
  </si>
  <si>
    <t>06405310639</t>
  </si>
  <si>
    <t>IT06405310639</t>
  </si>
  <si>
    <t>3445.</t>
  </si>
  <si>
    <t>FOGLIZZO LUXURY GOODS - SOCIETA' A RESPONSABILITA' LIMITATA</t>
  </si>
  <si>
    <t>08285570019</t>
  </si>
  <si>
    <t>IT08285570019</t>
  </si>
  <si>
    <t>Torino</t>
  </si>
  <si>
    <t>3446.</t>
  </si>
  <si>
    <t>GIANFORT S.R.L.</t>
  </si>
  <si>
    <t>03477090249</t>
  </si>
  <si>
    <t>IT03477090249</t>
  </si>
  <si>
    <t>3447.</t>
  </si>
  <si>
    <t>VIRTUS PELLAMI SRL</t>
  </si>
  <si>
    <t>04243440247</t>
  </si>
  <si>
    <t>IT04243440247</t>
  </si>
  <si>
    <t>3448.</t>
  </si>
  <si>
    <t>DIERRETEX S.R.L.</t>
  </si>
  <si>
    <t>03914700483</t>
  </si>
  <si>
    <t>IT03914700483</t>
  </si>
  <si>
    <t>3449.</t>
  </si>
  <si>
    <t>ANPEL DI SCARANO PEPPINO &amp; MOLINARO ELVIRA S.R.L.</t>
  </si>
  <si>
    <t>00809050701</t>
  </si>
  <si>
    <t>IT00809050701</t>
  </si>
  <si>
    <t>141000</t>
  </si>
  <si>
    <t>Campobasso</t>
  </si>
  <si>
    <t>Molise</t>
  </si>
  <si>
    <t>3450.</t>
  </si>
  <si>
    <t>EURO PROTEC S.R.L.</t>
  </si>
  <si>
    <t>08481170721</t>
  </si>
  <si>
    <t>IT08481170721</t>
  </si>
  <si>
    <t>141200</t>
  </si>
  <si>
    <t>Bari</t>
  </si>
  <si>
    <t>Puglia</t>
  </si>
  <si>
    <t>3451.</t>
  </si>
  <si>
    <t>M2 MODA S.R.L.</t>
  </si>
  <si>
    <t>02540410970</t>
  </si>
  <si>
    <t>IT02540410970</t>
  </si>
  <si>
    <t>3452.</t>
  </si>
  <si>
    <t>MARTINI S.R.L.</t>
  </si>
  <si>
    <t>01383420559</t>
  </si>
  <si>
    <t>IT01383420559</t>
  </si>
  <si>
    <t>Terni</t>
  </si>
  <si>
    <t>Umbria</t>
  </si>
  <si>
    <t>3453.</t>
  </si>
  <si>
    <t>CONCERIA SOLARIS S.R.L.</t>
  </si>
  <si>
    <t>04755670488</t>
  </si>
  <si>
    <t>IT04755670488</t>
  </si>
  <si>
    <t>152020</t>
  </si>
  <si>
    <t>3454.</t>
  </si>
  <si>
    <t>CASA D'ARTE FIORE S.R.L.</t>
  </si>
  <si>
    <t>10753650158</t>
  </si>
  <si>
    <t>IT10753650158</t>
  </si>
  <si>
    <t>Milano</t>
  </si>
  <si>
    <t>3455.</t>
  </si>
  <si>
    <t>STEFANIA CARRERA IMMAGINE S.R.L.</t>
  </si>
  <si>
    <t>10000560150</t>
  </si>
  <si>
    <t>IT10000560150</t>
  </si>
  <si>
    <t>3456.</t>
  </si>
  <si>
    <t>ALOISIO BANZOLA S.R.L.</t>
  </si>
  <si>
    <t>00408620342</t>
  </si>
  <si>
    <t>IT00408620342</t>
  </si>
  <si>
    <t>152010</t>
  </si>
  <si>
    <t>Parma</t>
  </si>
  <si>
    <t>Emilia-Romagna</t>
  </si>
  <si>
    <t>3457.</t>
  </si>
  <si>
    <t>RECCHIA E C. SRL</t>
  </si>
  <si>
    <t>04522800236</t>
  </si>
  <si>
    <t>IT04522800236</t>
  </si>
  <si>
    <t>141100</t>
  </si>
  <si>
    <t>Verona</t>
  </si>
  <si>
    <t>Veneto</t>
  </si>
  <si>
    <t>3458.</t>
  </si>
  <si>
    <t>SIKELIA CONFEZIONI S.R.L.</t>
  </si>
  <si>
    <t>03606970832</t>
  </si>
  <si>
    <t>IT03606970832</t>
  </si>
  <si>
    <t>141310</t>
  </si>
  <si>
    <t>Messina</t>
  </si>
  <si>
    <t>Sicilia</t>
  </si>
  <si>
    <t>3459.</t>
  </si>
  <si>
    <t>GISTT FASHION S.R.L.</t>
  </si>
  <si>
    <t>05185681219</t>
  </si>
  <si>
    <t>IT05185681219</t>
  </si>
  <si>
    <t>141000</t>
  </si>
  <si>
    <t>Napoli</t>
  </si>
  <si>
    <t>Campania</t>
  </si>
  <si>
    <t>n.d.</t>
  </si>
  <si>
    <t>3460.</t>
  </si>
  <si>
    <t>CAMICERIA SCABO DI BOLZONELLA S.R.L.</t>
  </si>
  <si>
    <t>03201140286</t>
  </si>
  <si>
    <t>IT03201140286</t>
  </si>
  <si>
    <t>141400</t>
  </si>
  <si>
    <t>Padova</t>
  </si>
  <si>
    <t>3461.</t>
  </si>
  <si>
    <t>KARIN SAFETY FOOTWEAR S.R.L.</t>
  </si>
  <si>
    <t>00738130673</t>
  </si>
  <si>
    <t>IT00738130673</t>
  </si>
  <si>
    <t>Milano</t>
  </si>
  <si>
    <t>Lombardia</t>
  </si>
  <si>
    <t>3462.</t>
  </si>
  <si>
    <t>CASANOVA 80 S.R.L.</t>
  </si>
  <si>
    <t>04392261212</t>
  </si>
  <si>
    <t>IT04392261212</t>
  </si>
  <si>
    <t>141910</t>
  </si>
  <si>
    <t>3463.</t>
  </si>
  <si>
    <t>GUARDOLIFICIO ALEX - S.R.L.</t>
  </si>
  <si>
    <t>03972050482</t>
  </si>
  <si>
    <t>IT03972050482</t>
  </si>
  <si>
    <t>152020</t>
  </si>
  <si>
    <t>Firenze</t>
  </si>
  <si>
    <t>Toscana</t>
  </si>
  <si>
    <t>3464.</t>
  </si>
  <si>
    <t>LAGOA WORLD SRL</t>
  </si>
  <si>
    <t>02436630442</t>
  </si>
  <si>
    <t>IT02436630442</t>
  </si>
  <si>
    <t>Fermo</t>
  </si>
  <si>
    <t>Marche</t>
  </si>
  <si>
    <t>3465.</t>
  </si>
  <si>
    <t>PRINTSQUAD S.R.L.</t>
  </si>
  <si>
    <t>09384841210</t>
  </si>
  <si>
    <t>IT09384841210</t>
  </si>
  <si>
    <t>3466.</t>
  </si>
  <si>
    <t>OVERALLS ITALIA S.R.L.</t>
  </si>
  <si>
    <t>02651430031</t>
  </si>
  <si>
    <t>IT02651430031</t>
  </si>
  <si>
    <t>141200</t>
  </si>
  <si>
    <t>Novara</t>
  </si>
  <si>
    <t>Piemonte</t>
  </si>
  <si>
    <t>3467.</t>
  </si>
  <si>
    <t>SOLEA S.R.L.</t>
  </si>
  <si>
    <t>01315770550</t>
  </si>
  <si>
    <t>IT01315770550</t>
  </si>
  <si>
    <t>151209</t>
  </si>
  <si>
    <t>Macerata</t>
  </si>
  <si>
    <t>3468.</t>
  </si>
  <si>
    <t>BEST DREL S.R.L.</t>
  </si>
  <si>
    <t>01095160477</t>
  </si>
  <si>
    <t>IT01095160477</t>
  </si>
  <si>
    <t>Pistoia</t>
  </si>
  <si>
    <t>3469.</t>
  </si>
  <si>
    <t>MIDEX S.R.L.</t>
  </si>
  <si>
    <t>04934170269</t>
  </si>
  <si>
    <t>IT04934170269</t>
  </si>
  <si>
    <t>Treviso</t>
  </si>
  <si>
    <t>3470.</t>
  </si>
  <si>
    <t>RE.GA. SPORT S.R.L.</t>
  </si>
  <si>
    <t>06405040152</t>
  </si>
  <si>
    <t>IT06405040152</t>
  </si>
  <si>
    <t>141929</t>
  </si>
  <si>
    <t>Lodi</t>
  </si>
  <si>
    <t>3471.</t>
  </si>
  <si>
    <t>KAMAR S.R.L.</t>
  </si>
  <si>
    <t>00997340716</t>
  </si>
  <si>
    <t>IT00997340716</t>
  </si>
  <si>
    <t>Foggia</t>
  </si>
  <si>
    <t>Puglia</t>
  </si>
  <si>
    <t>3472.</t>
  </si>
  <si>
    <t>CONFEZIONE MAGLIERIA CRICKET S.R.L.</t>
  </si>
  <si>
    <t>01692230970</t>
  </si>
  <si>
    <t>IT01692230970</t>
  </si>
  <si>
    <t>143900</t>
  </si>
  <si>
    <t>Prato</t>
  </si>
  <si>
    <t>3473.</t>
  </si>
  <si>
    <t>CALZATURIFICIO LORENZO SOCIETA' A RESPONSABILITA' LIMITATA</t>
  </si>
  <si>
    <t>02390140446</t>
  </si>
  <si>
    <t>IT02390140446</t>
  </si>
  <si>
    <t>3474.</t>
  </si>
  <si>
    <t>SINERGY FASHION GROUP S.R.L.</t>
  </si>
  <si>
    <t>04793260284</t>
  </si>
  <si>
    <t>IT04793260284</t>
  </si>
  <si>
    <t>3475.</t>
  </si>
  <si>
    <t>MAGLIFICIO CRISTIANA S.R.L.</t>
  </si>
  <si>
    <t>03580080285</t>
  </si>
  <si>
    <t>IT03580080285</t>
  </si>
  <si>
    <t>3476.</t>
  </si>
  <si>
    <t>SINBI S.R.L.</t>
  </si>
  <si>
    <t>08090130728</t>
  </si>
  <si>
    <t>IT08090130728</t>
  </si>
  <si>
    <t>Bari</t>
  </si>
  <si>
    <t>3477.</t>
  </si>
  <si>
    <t>REVENGE S.R.L.</t>
  </si>
  <si>
    <t>02378410985</t>
  </si>
  <si>
    <t>IT02378410985</t>
  </si>
  <si>
    <t>Brescia</t>
  </si>
  <si>
    <t>3478.</t>
  </si>
  <si>
    <t>FABIANIDUE S.R.L.</t>
  </si>
  <si>
    <t>02192270516</t>
  </si>
  <si>
    <t>IT02192270516</t>
  </si>
  <si>
    <t>Arezzo</t>
  </si>
  <si>
    <t>3479.</t>
  </si>
  <si>
    <t>ITALIAN HEELS SRL</t>
  </si>
  <si>
    <t>02209250444</t>
  </si>
  <si>
    <t>IT02209250444</t>
  </si>
  <si>
    <t>3480.</t>
  </si>
  <si>
    <t>BABY CROSS S.R.L.</t>
  </si>
  <si>
    <t>01283210241</t>
  </si>
  <si>
    <t>IT01283210241</t>
  </si>
  <si>
    <t>Vicenza</t>
  </si>
  <si>
    <t>3481.</t>
  </si>
  <si>
    <t>YANGA S.R.L.</t>
  </si>
  <si>
    <t>00258450022</t>
  </si>
  <si>
    <t>IT00258450022</t>
  </si>
  <si>
    <t>143000</t>
  </si>
  <si>
    <t>Biella</t>
  </si>
  <si>
    <t>3482.</t>
  </si>
  <si>
    <t>TIFFI S.R.L.</t>
  </si>
  <si>
    <t>05502871212</t>
  </si>
  <si>
    <t>IT05502871212</t>
  </si>
  <si>
    <t>3483.</t>
  </si>
  <si>
    <t>MARCELLO PAMPALONI S.R.L.</t>
  </si>
  <si>
    <t>03626230480</t>
  </si>
  <si>
    <t>IT03626230480</t>
  </si>
  <si>
    <t>3484.</t>
  </si>
  <si>
    <t>SPENDOLINI SRL</t>
  </si>
  <si>
    <t>02195210410</t>
  </si>
  <si>
    <t>IT02195210410</t>
  </si>
  <si>
    <t>Pesaro e Urbino</t>
  </si>
  <si>
    <t>3485.</t>
  </si>
  <si>
    <t>M.C.C. S.R.L.</t>
  </si>
  <si>
    <t>03550530541</t>
  </si>
  <si>
    <t>IT03550530541</t>
  </si>
  <si>
    <t>Perugia</t>
  </si>
  <si>
    <t>Umbria</t>
  </si>
  <si>
    <t>3486.</t>
  </si>
  <si>
    <t>LUIGI E PRIMO CASTELLANI S.R.L.</t>
  </si>
  <si>
    <t>00420430480</t>
  </si>
  <si>
    <t>IT00420430480</t>
  </si>
  <si>
    <t>142000</t>
  </si>
  <si>
    <t>3487.</t>
  </si>
  <si>
    <t>LES ETOILES S.R.L.</t>
  </si>
  <si>
    <t>06865941212</t>
  </si>
  <si>
    <t>IT06865941212</t>
  </si>
  <si>
    <t>3488.</t>
  </si>
  <si>
    <t>NUOVA P.R. S.R.L.</t>
  </si>
  <si>
    <t>02403260546</t>
  </si>
  <si>
    <t>IT02403260546</t>
  </si>
  <si>
    <t>152000</t>
  </si>
  <si>
    <t>Perugia</t>
  </si>
  <si>
    <t>Umbria</t>
  </si>
  <si>
    <t>n.d.</t>
  </si>
  <si>
    <t>3489.</t>
  </si>
  <si>
    <t>MAGIA - S.R.L.</t>
  </si>
  <si>
    <t>02763180656</t>
  </si>
  <si>
    <t>IT02763180656</t>
  </si>
  <si>
    <t>141310</t>
  </si>
  <si>
    <t>Salerno</t>
  </si>
  <si>
    <t>Campania</t>
  </si>
  <si>
    <t>3490.</t>
  </si>
  <si>
    <t>OFFICINA BELTS SOCIETA' A RESPONSABILITA' LIMITATA</t>
  </si>
  <si>
    <t>07244511213</t>
  </si>
  <si>
    <t>IT07244511213</t>
  </si>
  <si>
    <t>151209</t>
  </si>
  <si>
    <t>Napoli</t>
  </si>
  <si>
    <t>3491.</t>
  </si>
  <si>
    <t>RUN PLAST S.R.L.</t>
  </si>
  <si>
    <t>01981990433</t>
  </si>
  <si>
    <t>IT01981990433</t>
  </si>
  <si>
    <t>152020</t>
  </si>
  <si>
    <t>Macerata</t>
  </si>
  <si>
    <t>Marche</t>
  </si>
  <si>
    <t>3492.</t>
  </si>
  <si>
    <t>CONFEZIONI ORAZIO SRL</t>
  </si>
  <si>
    <t>01850730282</t>
  </si>
  <si>
    <t>IT01850730282</t>
  </si>
  <si>
    <t>141320</t>
  </si>
  <si>
    <t>Padova</t>
  </si>
  <si>
    <t>Veneto</t>
  </si>
  <si>
    <t>3493.</t>
  </si>
  <si>
    <t>CORREALEGLOVES S.R.L.</t>
  </si>
  <si>
    <t>06062791212</t>
  </si>
  <si>
    <t>IT06062791212</t>
  </si>
  <si>
    <t>141000</t>
  </si>
  <si>
    <t>3494.</t>
  </si>
  <si>
    <t>B.G. SRL</t>
  </si>
  <si>
    <t>02149930444</t>
  </si>
  <si>
    <t>IT02149930444</t>
  </si>
  <si>
    <t>152010</t>
  </si>
  <si>
    <t>Fermo</t>
  </si>
  <si>
    <t>3495.</t>
  </si>
  <si>
    <t>MAGLIERIA M.M S.R.L.</t>
  </si>
  <si>
    <t>09468430963</t>
  </si>
  <si>
    <t>IT09468430963</t>
  </si>
  <si>
    <t>141910</t>
  </si>
  <si>
    <t>Milano</t>
  </si>
  <si>
    <t>Lombardia</t>
  </si>
  <si>
    <t>3496.</t>
  </si>
  <si>
    <t>IL GRECO S.R.L.</t>
  </si>
  <si>
    <t>01370640441</t>
  </si>
  <si>
    <t>IT01370640441</t>
  </si>
  <si>
    <t>3497.</t>
  </si>
  <si>
    <t>GHIBLI S.R.L.</t>
  </si>
  <si>
    <t>01345750507</t>
  </si>
  <si>
    <t>IT01345750507</t>
  </si>
  <si>
    <t>151200</t>
  </si>
  <si>
    <t>Firenze</t>
  </si>
  <si>
    <t>Toscana</t>
  </si>
  <si>
    <t>3498.</t>
  </si>
  <si>
    <t>VU-ES SRL</t>
  </si>
  <si>
    <t>06336830481</t>
  </si>
  <si>
    <t>IT06336830481</t>
  </si>
  <si>
    <t>141400</t>
  </si>
  <si>
    <t>3499.</t>
  </si>
  <si>
    <t>TRICOT HARDEN - S.R.L.</t>
  </si>
  <si>
    <t>01257760064</t>
  </si>
  <si>
    <t>IT01257760064</t>
  </si>
  <si>
    <t>143000</t>
  </si>
  <si>
    <t>Alessandria</t>
  </si>
  <si>
    <t>Piemonte</t>
  </si>
  <si>
    <t>3500.</t>
  </si>
  <si>
    <t>GROSSI S.R.L.</t>
  </si>
  <si>
    <t>01331410470</t>
  </si>
  <si>
    <t>IT01331410470</t>
  </si>
  <si>
    <t>Pistoia</t>
  </si>
  <si>
    <t>3501.</t>
  </si>
  <si>
    <t>ILMA-PLAST S.R.L.</t>
  </si>
  <si>
    <t>00976890475</t>
  </si>
  <si>
    <t>IT00976890475</t>
  </si>
  <si>
    <t>141921</t>
  </si>
  <si>
    <t>3502.</t>
  </si>
  <si>
    <t>MAGLIFICIO TOSCANO S.R.L.</t>
  </si>
  <si>
    <t>03862261207</t>
  </si>
  <si>
    <t>IT03862261207</t>
  </si>
  <si>
    <t>143900</t>
  </si>
  <si>
    <t>Prato</t>
  </si>
  <si>
    <t>3503.</t>
  </si>
  <si>
    <t>TEOREMA S.R.L.</t>
  </si>
  <si>
    <t>02490070972</t>
  </si>
  <si>
    <t>IT02490070972</t>
  </si>
  <si>
    <t>3504.</t>
  </si>
  <si>
    <t>M FASHION SRL</t>
  </si>
  <si>
    <t>02021800384</t>
  </si>
  <si>
    <t>IT02021800384</t>
  </si>
  <si>
    <t>Ferrara</t>
  </si>
  <si>
    <t>Emilia-Romagna</t>
  </si>
  <si>
    <t>3505.</t>
  </si>
  <si>
    <t>MARGARITA SRL</t>
  </si>
  <si>
    <t>01353630294</t>
  </si>
  <si>
    <t>IT01353630294</t>
  </si>
  <si>
    <t>Rovigo</t>
  </si>
  <si>
    <t>3506.</t>
  </si>
  <si>
    <t>CLARY S.R.L.</t>
  </si>
  <si>
    <t>02795370424</t>
  </si>
  <si>
    <t>IT02795370424</t>
  </si>
  <si>
    <t>Ancona</t>
  </si>
  <si>
    <t>3507.</t>
  </si>
  <si>
    <t>GLI ANGELI TRICOT S.R.L.</t>
  </si>
  <si>
    <t>02178890360</t>
  </si>
  <si>
    <t>IT02178890360</t>
  </si>
  <si>
    <t>Modena</t>
  </si>
  <si>
    <t>3508.</t>
  </si>
  <si>
    <t>CASAROTTI CONFEZIONI S.R.L.</t>
  </si>
  <si>
    <t>01802600237</t>
  </si>
  <si>
    <t>IT01802600237</t>
  </si>
  <si>
    <t>Verona</t>
  </si>
  <si>
    <t>3509.</t>
  </si>
  <si>
    <t>COMPAGNIA TESSILE LA FENICE - SOCIETA' COOPERATIVA A R.L.</t>
  </si>
  <si>
    <t>02634930693</t>
  </si>
  <si>
    <t>IT02634930693</t>
  </si>
  <si>
    <t>Chieti</t>
  </si>
  <si>
    <t>Abruzzo</t>
  </si>
  <si>
    <t>3510.</t>
  </si>
  <si>
    <t>DELTA SUOLE S.R.L.</t>
  </si>
  <si>
    <t>02756910275</t>
  </si>
  <si>
    <t>IT02756910275</t>
  </si>
  <si>
    <t>Venezia</t>
  </si>
  <si>
    <t>3511.</t>
  </si>
  <si>
    <t>MAESTRELLI S.R.L.</t>
  </si>
  <si>
    <t>04319250488</t>
  </si>
  <si>
    <t>IT04319250488</t>
  </si>
  <si>
    <t>141100</t>
  </si>
  <si>
    <t>3512.</t>
  </si>
  <si>
    <t>GEEGO S.R.L.</t>
  </si>
  <si>
    <t>02506190038</t>
  </si>
  <si>
    <t>IT02506190038</t>
  </si>
  <si>
    <t>141929</t>
  </si>
  <si>
    <t>Novara</t>
  </si>
  <si>
    <t>3513.</t>
  </si>
  <si>
    <t>R79 SRL</t>
  </si>
  <si>
    <t>00512630443</t>
  </si>
  <si>
    <t>IT00512630443</t>
  </si>
  <si>
    <t>3514.</t>
  </si>
  <si>
    <t>NON SOLO SETA S.R.L.</t>
  </si>
  <si>
    <t>03221240132</t>
  </si>
  <si>
    <t>IT03221240132</t>
  </si>
  <si>
    <t>Como</t>
  </si>
  <si>
    <t>3515.</t>
  </si>
  <si>
    <t>RANDI CREAZIONI SRL</t>
  </si>
  <si>
    <t>02190270393</t>
  </si>
  <si>
    <t>IT02190270393</t>
  </si>
  <si>
    <t>Ravenna</t>
  </si>
  <si>
    <t>3516.</t>
  </si>
  <si>
    <t>ITALTREND S.R.L.S.</t>
  </si>
  <si>
    <t>02404530442</t>
  </si>
  <si>
    <t>IT02404530442</t>
  </si>
  <si>
    <t>151100</t>
  </si>
  <si>
    <t>3517.</t>
  </si>
  <si>
    <t>B &amp; G PROJECTS S.R.L.</t>
  </si>
  <si>
    <t>03888110230</t>
  </si>
  <si>
    <t>IT03888110230</t>
  </si>
  <si>
    <t>3518.</t>
  </si>
  <si>
    <t>MOODIS SRL</t>
  </si>
  <si>
    <t>02330340445</t>
  </si>
  <si>
    <t>IT02330340445</t>
  </si>
  <si>
    <t>3519.</t>
  </si>
  <si>
    <t>NANNI SRL</t>
  </si>
  <si>
    <t>05014590151</t>
  </si>
  <si>
    <t>IT05014590151</t>
  </si>
  <si>
    <t>3520.</t>
  </si>
  <si>
    <t>CAI PELLETTERIA S.R.L.</t>
  </si>
  <si>
    <t>06938300487</t>
  </si>
  <si>
    <t>IT06938300487</t>
  </si>
  <si>
    <t>151209</t>
  </si>
  <si>
    <t>Firenze</t>
  </si>
  <si>
    <t>Toscana</t>
  </si>
  <si>
    <t>3521.</t>
  </si>
  <si>
    <t>S.G.L. S.R.L.</t>
  </si>
  <si>
    <t>03156070249</t>
  </si>
  <si>
    <t>IT03156070249</t>
  </si>
  <si>
    <t>151100</t>
  </si>
  <si>
    <t>Vicenza</t>
  </si>
  <si>
    <t>Veneto</t>
  </si>
  <si>
    <t>3522.</t>
  </si>
  <si>
    <t>M.C.E. S.R.L.</t>
  </si>
  <si>
    <t>03676840121</t>
  </si>
  <si>
    <t>IT03676840121</t>
  </si>
  <si>
    <t>141910</t>
  </si>
  <si>
    <t>Varese</t>
  </si>
  <si>
    <t>Lombardia</t>
  </si>
  <si>
    <t>n.d.</t>
  </si>
  <si>
    <t>3523.</t>
  </si>
  <si>
    <t>SOBEK S.R.L.</t>
  </si>
  <si>
    <t>13397260152</t>
  </si>
  <si>
    <t>IT13397260152</t>
  </si>
  <si>
    <t>Monza e della Brianza</t>
  </si>
  <si>
    <t>3524.</t>
  </si>
  <si>
    <t>CIFANI GRUPPO TESSILE S.R.L.</t>
  </si>
  <si>
    <t>03032741211</t>
  </si>
  <si>
    <t>IT03032741211</t>
  </si>
  <si>
    <t>141200</t>
  </si>
  <si>
    <t>Caserta</t>
  </si>
  <si>
    <t>Campania</t>
  </si>
  <si>
    <t>3525.</t>
  </si>
  <si>
    <t>NATURAL SARDINIA S.R.L.</t>
  </si>
  <si>
    <t>02602280907</t>
  </si>
  <si>
    <t>IT02602280907</t>
  </si>
  <si>
    <t>Sassari</t>
  </si>
  <si>
    <t>Sardegna</t>
  </si>
  <si>
    <t>3526.</t>
  </si>
  <si>
    <t>LA NUOVA CRIMAR SRL</t>
  </si>
  <si>
    <t>09311681218</t>
  </si>
  <si>
    <t>IT09311681218</t>
  </si>
  <si>
    <t>Napoli</t>
  </si>
  <si>
    <t>3527.</t>
  </si>
  <si>
    <t>ALMI S.R.L.</t>
  </si>
  <si>
    <t>06436380726</t>
  </si>
  <si>
    <t>IT06436380726</t>
  </si>
  <si>
    <t>141310</t>
  </si>
  <si>
    <t>Barletta-Andria-Trani</t>
  </si>
  <si>
    <t>Puglia</t>
  </si>
  <si>
    <t>3528.</t>
  </si>
  <si>
    <t>DE'SIRE'E RETAIL S.R.L.</t>
  </si>
  <si>
    <t>04977781212</t>
  </si>
  <si>
    <t>IT04977781212</t>
  </si>
  <si>
    <t>3529.</t>
  </si>
  <si>
    <t>DORAMA CAMICIE S.R.L.</t>
  </si>
  <si>
    <t>11404161009</t>
  </si>
  <si>
    <t>IT11404161009</t>
  </si>
  <si>
    <t>141400</t>
  </si>
  <si>
    <t>Roma</t>
  </si>
  <si>
    <t>Lazio</t>
  </si>
  <si>
    <t>3530.</t>
  </si>
  <si>
    <t>F.G. CREAZIONI S.R.L.</t>
  </si>
  <si>
    <t>01585440850</t>
  </si>
  <si>
    <t>IT01585440850</t>
  </si>
  <si>
    <t>Caltanissetta</t>
  </si>
  <si>
    <t>Sicilia</t>
  </si>
  <si>
    <t>3531.</t>
  </si>
  <si>
    <t>ARTIGIANI MODERNI SOCIETA' A RESPONSABILITA' LIMITATA SEMPLIFICAT A</t>
  </si>
  <si>
    <t>04890610282</t>
  </si>
  <si>
    <t>IT04890610282</t>
  </si>
  <si>
    <t>141000</t>
  </si>
  <si>
    <t>Padova</t>
  </si>
  <si>
    <t>3532.</t>
  </si>
  <si>
    <t>SARM HIPPIQUE SRL</t>
  </si>
  <si>
    <t>00946470192</t>
  </si>
  <si>
    <t>IT00946470192</t>
  </si>
  <si>
    <t>Cremona</t>
  </si>
  <si>
    <t>3533.</t>
  </si>
  <si>
    <t>STEMAR - SOCIETA' A RESPONSABILITA' LIMITATA</t>
  </si>
  <si>
    <t>07558290727</t>
  </si>
  <si>
    <t>IT07558290727</t>
  </si>
  <si>
    <t>Bari</t>
  </si>
  <si>
    <t>3534.</t>
  </si>
  <si>
    <t>SUOLIFICIO MONTOLMO S.R.L.</t>
  </si>
  <si>
    <t>00365570431</t>
  </si>
  <si>
    <t>IT00365570431</t>
  </si>
  <si>
    <t>152020</t>
  </si>
  <si>
    <t>Macerata</t>
  </si>
  <si>
    <t>Marche</t>
  </si>
  <si>
    <t>3535.</t>
  </si>
  <si>
    <t>CONCERIA NETTUNO - S.R.L.</t>
  </si>
  <si>
    <t>00505590505</t>
  </si>
  <si>
    <t>IT00505590505</t>
  </si>
  <si>
    <t>Pisa</t>
  </si>
  <si>
    <t>3536.</t>
  </si>
  <si>
    <t>G. &amp; F. CONFEZIONI S.R.L.</t>
  </si>
  <si>
    <t>04457790659</t>
  </si>
  <si>
    <t>IT04457790659</t>
  </si>
  <si>
    <t>Salerno</t>
  </si>
  <si>
    <t>3537.</t>
  </si>
  <si>
    <t>MAGLIFICIO GIORI S.R.L.</t>
  </si>
  <si>
    <t>01498330024</t>
  </si>
  <si>
    <t>IT01498330024</t>
  </si>
  <si>
    <t>143000</t>
  </si>
  <si>
    <t>Biella</t>
  </si>
  <si>
    <t>Piemonte</t>
  </si>
  <si>
    <t>3538.</t>
  </si>
  <si>
    <t>AKUNA SOCIETA' A RESPONSABILITA' LIMITATA</t>
  </si>
  <si>
    <t>01524200449</t>
  </si>
  <si>
    <t>IT01524200449</t>
  </si>
  <si>
    <t>141929</t>
  </si>
  <si>
    <t>Ascoli Piceno</t>
  </si>
  <si>
    <t>3539.</t>
  </si>
  <si>
    <t>TACCHIFICIO IL QUADRIFOGLIO S.R.L.</t>
  </si>
  <si>
    <t>03281910277</t>
  </si>
  <si>
    <t>IT03281910277</t>
  </si>
  <si>
    <t>Venezia</t>
  </si>
  <si>
    <t>3540.</t>
  </si>
  <si>
    <t>CERRETELLI SRL</t>
  </si>
  <si>
    <t>06445010488</t>
  </si>
  <si>
    <t>IT06445010488</t>
  </si>
  <si>
    <t>Prato</t>
  </si>
  <si>
    <t>3541.</t>
  </si>
  <si>
    <t>CALZE NIKY S.R.L.</t>
  </si>
  <si>
    <t>00901010330</t>
  </si>
  <si>
    <t>IT00901010330</t>
  </si>
  <si>
    <t>143100</t>
  </si>
  <si>
    <t>Piacenza</t>
  </si>
  <si>
    <t>Emilia-Romagna</t>
  </si>
  <si>
    <t>3542.</t>
  </si>
  <si>
    <t>CATERINA S.R.L.</t>
  </si>
  <si>
    <t>02896660277</t>
  </si>
  <si>
    <t>IT02896660277</t>
  </si>
  <si>
    <t>3543.</t>
  </si>
  <si>
    <t>ARTE PELLE S.R.L.</t>
  </si>
  <si>
    <t>02033700515</t>
  </si>
  <si>
    <t>IT02033700515</t>
  </si>
  <si>
    <t>Arezzo</t>
  </si>
  <si>
    <t>3544.</t>
  </si>
  <si>
    <t>PIAZZA DI SPAGNA S.R.L. DI DE LUCA GRAZIA</t>
  </si>
  <si>
    <t>02467110785</t>
  </si>
  <si>
    <t>IT02467110785</t>
  </si>
  <si>
    <t>141320</t>
  </si>
  <si>
    <t>Cosenza</t>
  </si>
  <si>
    <t>Calabria</t>
  </si>
  <si>
    <t>3545.</t>
  </si>
  <si>
    <t>NINALEUCA SOCIETA' A RESPONSABILITA' LIMITATA SEMPLIFICATA</t>
  </si>
  <si>
    <t>04938500750</t>
  </si>
  <si>
    <t>IT04938500750</t>
  </si>
  <si>
    <t>Lecce</t>
  </si>
  <si>
    <t>3546.</t>
  </si>
  <si>
    <t>ILFLOOR SRL</t>
  </si>
  <si>
    <t>02315150033</t>
  </si>
  <si>
    <t>IT02315150033</t>
  </si>
  <si>
    <t>Novara</t>
  </si>
  <si>
    <t>3547.</t>
  </si>
  <si>
    <t>AMETLAB SRL</t>
  </si>
  <si>
    <t>02993160734</t>
  </si>
  <si>
    <t>IT02993160734</t>
  </si>
  <si>
    <t>Taranto</t>
  </si>
  <si>
    <t>3548.</t>
  </si>
  <si>
    <t>BISOUS S.R.L.</t>
  </si>
  <si>
    <t>03522520364</t>
  </si>
  <si>
    <t>IT03522520364</t>
  </si>
  <si>
    <t>Modena</t>
  </si>
  <si>
    <t>3549.</t>
  </si>
  <si>
    <t>TRE D S.R.L.</t>
  </si>
  <si>
    <t>03303820363</t>
  </si>
  <si>
    <t>IT03303820363</t>
  </si>
  <si>
    <t>3550.</t>
  </si>
  <si>
    <t>OFFICINA ITALIANA SOCIETA' A RESPONSABILITA' LIMITATA SEMPLIFICATA</t>
  </si>
  <si>
    <t>03320161205</t>
  </si>
  <si>
    <t>IT03320161205</t>
  </si>
  <si>
    <t>Bologna</t>
  </si>
  <si>
    <t>3551.</t>
  </si>
  <si>
    <t>BIG DOLBY COMPANY S.R.L.</t>
  </si>
  <si>
    <t>01640830368</t>
  </si>
  <si>
    <t>IT01640830368</t>
  </si>
  <si>
    <t>143900</t>
  </si>
  <si>
    <t>3552.</t>
  </si>
  <si>
    <t>AGO.FIL S.R.L.</t>
  </si>
  <si>
    <t>04021420262</t>
  </si>
  <si>
    <t>IT04021420262</t>
  </si>
  <si>
    <t>141929</t>
  </si>
  <si>
    <t>Treviso</t>
  </si>
  <si>
    <t>Veneto</t>
  </si>
  <si>
    <t>3553.</t>
  </si>
  <si>
    <t>N.C.P. S.R.L.</t>
  </si>
  <si>
    <t>01488800432</t>
  </si>
  <si>
    <t>IT01488800432</t>
  </si>
  <si>
    <t>152020</t>
  </si>
  <si>
    <t>Macerata</t>
  </si>
  <si>
    <t>Marche</t>
  </si>
  <si>
    <t>n.d.</t>
  </si>
  <si>
    <t>3554.</t>
  </si>
  <si>
    <t>CALZATURIFICIO DINOS SRL</t>
  </si>
  <si>
    <t>01826660449</t>
  </si>
  <si>
    <t>IT01826660449</t>
  </si>
  <si>
    <t>152010</t>
  </si>
  <si>
    <t>Fermo</t>
  </si>
  <si>
    <t>3555.</t>
  </si>
  <si>
    <t>EUROTAC S.R.L.</t>
  </si>
  <si>
    <t>02543140277</t>
  </si>
  <si>
    <t>IT02543140277</t>
  </si>
  <si>
    <t>Venezia</t>
  </si>
  <si>
    <t>3556.</t>
  </si>
  <si>
    <t>S &amp; CO S.R.L.</t>
  </si>
  <si>
    <t>04645291214</t>
  </si>
  <si>
    <t>IT04645291214</t>
  </si>
  <si>
    <t>Napoli</t>
  </si>
  <si>
    <t>Campania</t>
  </si>
  <si>
    <t>3557.</t>
  </si>
  <si>
    <t>OROPEL ITALIA SRL</t>
  </si>
  <si>
    <t>02478960186</t>
  </si>
  <si>
    <t>IT02478960186</t>
  </si>
  <si>
    <t>Pavia</t>
  </si>
  <si>
    <t>Lombardia</t>
  </si>
  <si>
    <t>3558.</t>
  </si>
  <si>
    <t>DMM S.R.L.</t>
  </si>
  <si>
    <t>08950661218</t>
  </si>
  <si>
    <t>IT08950661218</t>
  </si>
  <si>
    <t>141320</t>
  </si>
  <si>
    <t>3559.</t>
  </si>
  <si>
    <t>SARTORIALE S.R.L.</t>
  </si>
  <si>
    <t>01900000660</t>
  </si>
  <si>
    <t>IT01900000660</t>
  </si>
  <si>
    <t>141400</t>
  </si>
  <si>
    <t>L'Aquila</t>
  </si>
  <si>
    <t>Abruzzo</t>
  </si>
  <si>
    <t>3560.</t>
  </si>
  <si>
    <t>NATALI SPORTS WEAR S.R.L.</t>
  </si>
  <si>
    <t>01807640477</t>
  </si>
  <si>
    <t>IT01807640477</t>
  </si>
  <si>
    <t>Pistoia</t>
  </si>
  <si>
    <t>Toscana</t>
  </si>
  <si>
    <t>3561.</t>
  </si>
  <si>
    <t>EMERVOL S.R.L.</t>
  </si>
  <si>
    <t>01662740685</t>
  </si>
  <si>
    <t>IT01662740685</t>
  </si>
  <si>
    <t>141200</t>
  </si>
  <si>
    <t>Pescara</t>
  </si>
  <si>
    <t>3562.</t>
  </si>
  <si>
    <t>AMABILE S.R.L.</t>
  </si>
  <si>
    <t>02317880447</t>
  </si>
  <si>
    <t>IT02317880447</t>
  </si>
  <si>
    <t>141910</t>
  </si>
  <si>
    <t>3563.</t>
  </si>
  <si>
    <t>STYLDEA S.R.L.</t>
  </si>
  <si>
    <t>00792680266</t>
  </si>
  <si>
    <t>IT00792680266</t>
  </si>
  <si>
    <t>3564.</t>
  </si>
  <si>
    <t>AND.MA SRL</t>
  </si>
  <si>
    <t>02291350441</t>
  </si>
  <si>
    <t>IT02291350441</t>
  </si>
  <si>
    <t>3565.</t>
  </si>
  <si>
    <t>MUNDIAL DESIGN S.R.L.</t>
  </si>
  <si>
    <t>01812660437</t>
  </si>
  <si>
    <t>IT01812660437</t>
  </si>
  <si>
    <t>151209</t>
  </si>
  <si>
    <t>3566.</t>
  </si>
  <si>
    <t>LINEA ROSSI S.R.L.</t>
  </si>
  <si>
    <t>02726340546</t>
  </si>
  <si>
    <t>IT02726340546</t>
  </si>
  <si>
    <t>141000</t>
  </si>
  <si>
    <t>Perugia</t>
  </si>
  <si>
    <t>Umbria</t>
  </si>
  <si>
    <t>3567.</t>
  </si>
  <si>
    <t>CALZATURIFICIO MORLACCHI SRL</t>
  </si>
  <si>
    <t>04052370154</t>
  </si>
  <si>
    <t>IT04052370154</t>
  </si>
  <si>
    <t>Milano</t>
  </si>
  <si>
    <t>3568.</t>
  </si>
  <si>
    <t>L &amp; S S.R.L.</t>
  </si>
  <si>
    <t>01502810938</t>
  </si>
  <si>
    <t>IT01502810938</t>
  </si>
  <si>
    <t>Pordenone</t>
  </si>
  <si>
    <t>Friuli-Venezia Giulia</t>
  </si>
  <si>
    <t>3569.</t>
  </si>
  <si>
    <t>GI&amp;GI SOCIETA' A RESPONSABILITA' LIMITATA SEMPLIFICATA</t>
  </si>
  <si>
    <t>02621250204</t>
  </si>
  <si>
    <t>IT02621250204</t>
  </si>
  <si>
    <t>143100</t>
  </si>
  <si>
    <t>Mantova</t>
  </si>
  <si>
    <t>3570.</t>
  </si>
  <si>
    <t>AMITA S.R.L.</t>
  </si>
  <si>
    <t>05276330486</t>
  </si>
  <si>
    <t>IT05276330486</t>
  </si>
  <si>
    <t>143900</t>
  </si>
  <si>
    <t>Firenze</t>
  </si>
  <si>
    <t>3571.</t>
  </si>
  <si>
    <t>INCRA - S.R.L.</t>
  </si>
  <si>
    <t>07160270638</t>
  </si>
  <si>
    <t>IT07160270638</t>
  </si>
  <si>
    <t>3572.</t>
  </si>
  <si>
    <t>TWIN SISTERS MODA SRL SEMPLIFICATA</t>
  </si>
  <si>
    <t>02694300423</t>
  </si>
  <si>
    <t>IT02694300423</t>
  </si>
  <si>
    <t>Ancona</t>
  </si>
  <si>
    <t>3573.</t>
  </si>
  <si>
    <t>NOTTOLI S.R.L.</t>
  </si>
  <si>
    <t>01784550467</t>
  </si>
  <si>
    <t>IT01784550467</t>
  </si>
  <si>
    <t>Lucca</t>
  </si>
  <si>
    <t>3574.</t>
  </si>
  <si>
    <t>PIELLE - S.R.L.</t>
  </si>
  <si>
    <t>04011570480</t>
  </si>
  <si>
    <t>IT04011570480</t>
  </si>
  <si>
    <t>151200</t>
  </si>
  <si>
    <t>3575.</t>
  </si>
  <si>
    <t>AUTHIER SRL</t>
  </si>
  <si>
    <t>04069660241</t>
  </si>
  <si>
    <t>IT04069660241</t>
  </si>
  <si>
    <t>Vicenza</t>
  </si>
  <si>
    <t>3576.</t>
  </si>
  <si>
    <t>ANNY CONFEZIONI S.R.L.</t>
  </si>
  <si>
    <t>01389730035</t>
  </si>
  <si>
    <t>IT01389730035</t>
  </si>
  <si>
    <t>141310</t>
  </si>
  <si>
    <t>Novara</t>
  </si>
  <si>
    <t>Piemonte</t>
  </si>
  <si>
    <t>3577.</t>
  </si>
  <si>
    <t>LIVING S.R.L.</t>
  </si>
  <si>
    <t>02226580021</t>
  </si>
  <si>
    <t>IT02226580021</t>
  </si>
  <si>
    <t>Varese</t>
  </si>
  <si>
    <t>3578.</t>
  </si>
  <si>
    <t>TECNOSPORT ITALIA S.R.L.</t>
  </si>
  <si>
    <t>03540680547</t>
  </si>
  <si>
    <t>IT03540680547</t>
  </si>
  <si>
    <t>3579.</t>
  </si>
  <si>
    <t>NOVANTANOVE S.R.L.</t>
  </si>
  <si>
    <t>01115960294</t>
  </si>
  <si>
    <t>IT01115960294</t>
  </si>
  <si>
    <t>Ferrara</t>
  </si>
  <si>
    <t>Emilia-Romagna</t>
  </si>
  <si>
    <t>3580.</t>
  </si>
  <si>
    <t>GIOVANNI CRUPI S.R.L.</t>
  </si>
  <si>
    <t>03072120839</t>
  </si>
  <si>
    <t>IT03072120839</t>
  </si>
  <si>
    <t>141100</t>
  </si>
  <si>
    <t>Messina</t>
  </si>
  <si>
    <t>Sicilia</t>
  </si>
  <si>
    <t>3581.</t>
  </si>
  <si>
    <t>BSA PLISSE' S.R.L.</t>
  </si>
  <si>
    <t>00041740283</t>
  </si>
  <si>
    <t>IT00041740283</t>
  </si>
  <si>
    <t>Padova</t>
  </si>
  <si>
    <t>3582.</t>
  </si>
  <si>
    <t>DIELLE SRL</t>
  </si>
  <si>
    <t>07518451211</t>
  </si>
  <si>
    <t>IT07518451211</t>
  </si>
  <si>
    <t>3583.</t>
  </si>
  <si>
    <t>ARTELIER S.R.L.</t>
  </si>
  <si>
    <t>02326120447</t>
  </si>
  <si>
    <t>IT02326120447</t>
  </si>
  <si>
    <t>Ascoli Piceno</t>
  </si>
  <si>
    <t>3584.</t>
  </si>
  <si>
    <t>SICIERV S.R.L.</t>
  </si>
  <si>
    <t>03906020650</t>
  </si>
  <si>
    <t>IT03906020650</t>
  </si>
  <si>
    <t>141400</t>
  </si>
  <si>
    <t>Salerno</t>
  </si>
  <si>
    <t>Campania</t>
  </si>
  <si>
    <t>n.d.</t>
  </si>
  <si>
    <t>3585.</t>
  </si>
  <si>
    <t>TASSELLI CASHMERE S.R.L.</t>
  </si>
  <si>
    <t>03517340547</t>
  </si>
  <si>
    <t>IT03517340547</t>
  </si>
  <si>
    <t>141310</t>
  </si>
  <si>
    <t>Perugia</t>
  </si>
  <si>
    <t>Umbria</t>
  </si>
  <si>
    <t>3586.</t>
  </si>
  <si>
    <t>LA.PE. - S.R.L.</t>
  </si>
  <si>
    <t>01370570168</t>
  </si>
  <si>
    <t>IT01370570168</t>
  </si>
  <si>
    <t>151100</t>
  </si>
  <si>
    <t>Bergamo</t>
  </si>
  <si>
    <t>Lombardia</t>
  </si>
  <si>
    <t>3587.</t>
  </si>
  <si>
    <t>EMMEGI CUTTING S.R.L.</t>
  </si>
  <si>
    <t>00850990268</t>
  </si>
  <si>
    <t>IT00850990268</t>
  </si>
  <si>
    <t>141000</t>
  </si>
  <si>
    <t>Treviso</t>
  </si>
  <si>
    <t>Veneto</t>
  </si>
  <si>
    <t>3588.</t>
  </si>
  <si>
    <t>SUOLIFICIO SAN PAOLO S.R.L.</t>
  </si>
  <si>
    <t>00517790440</t>
  </si>
  <si>
    <t>IT00517790440</t>
  </si>
  <si>
    <t>152020</t>
  </si>
  <si>
    <t>Fermo</t>
  </si>
  <si>
    <t>Marche</t>
  </si>
  <si>
    <t>3589.</t>
  </si>
  <si>
    <t>LOVE LAB SOCIETA' A RESPONSABILITA' LIMITATA SEMPLIFICATA</t>
  </si>
  <si>
    <t>05889320650</t>
  </si>
  <si>
    <t>IT05889320650</t>
  </si>
  <si>
    <t>152010</t>
  </si>
  <si>
    <t>3590.</t>
  </si>
  <si>
    <t>ITALSTRASS SOCIETA' A RESPONSABILITA' LIMITATA SEMPLIFICATA</t>
  </si>
  <si>
    <t>04806800753</t>
  </si>
  <si>
    <t>IT04806800753</t>
  </si>
  <si>
    <t>141320</t>
  </si>
  <si>
    <t>Lecce</t>
  </si>
  <si>
    <t>Puglia</t>
  </si>
  <si>
    <t>3591.</t>
  </si>
  <si>
    <t>GABRY S.R.L.</t>
  </si>
  <si>
    <t>01842310672</t>
  </si>
  <si>
    <t>IT01842310672</t>
  </si>
  <si>
    <t>Teramo</t>
  </si>
  <si>
    <t>Abruzzo</t>
  </si>
  <si>
    <t>3592.</t>
  </si>
  <si>
    <t>OCEAN DRIVE S.R.L.</t>
  </si>
  <si>
    <t>02526010646</t>
  </si>
  <si>
    <t>IT02526010646</t>
  </si>
  <si>
    <t>Avellino</t>
  </si>
  <si>
    <t>3593.</t>
  </si>
  <si>
    <t>MANIFATTURE CARACCIOLO S.R.L.</t>
  </si>
  <si>
    <t>04013460615</t>
  </si>
  <si>
    <t>IT04013460615</t>
  </si>
  <si>
    <t>Caserta</t>
  </si>
  <si>
    <t>3594.</t>
  </si>
  <si>
    <t>SATURNO INTERACTIVE S.R.L.</t>
  </si>
  <si>
    <t>03830600106</t>
  </si>
  <si>
    <t>IT03830600106</t>
  </si>
  <si>
    <t>143900</t>
  </si>
  <si>
    <t>Genova</t>
  </si>
  <si>
    <t>Liguria</t>
  </si>
  <si>
    <t>3595.</t>
  </si>
  <si>
    <t>FASMA GROUP S.R.L.</t>
  </si>
  <si>
    <t>03735550125</t>
  </si>
  <si>
    <t>IT03735550125</t>
  </si>
  <si>
    <t>141200</t>
  </si>
  <si>
    <t>Lucca</t>
  </si>
  <si>
    <t>Toscana</t>
  </si>
  <si>
    <t>3596.</t>
  </si>
  <si>
    <t>DALSPORT 74 S.R.L.</t>
  </si>
  <si>
    <t>01194760680</t>
  </si>
  <si>
    <t>IT01194760680</t>
  </si>
  <si>
    <t>141929</t>
  </si>
  <si>
    <t>Pescara</t>
  </si>
  <si>
    <t>3597.</t>
  </si>
  <si>
    <t>RUNA S.R.L.</t>
  </si>
  <si>
    <t>10272210963</t>
  </si>
  <si>
    <t>IT10272210963</t>
  </si>
  <si>
    <t>141910</t>
  </si>
  <si>
    <t>Monza e della Brianza</t>
  </si>
  <si>
    <t>3598.</t>
  </si>
  <si>
    <t>FIRENZE &amp; MODA S.R.L.</t>
  </si>
  <si>
    <t>05415570489</t>
  </si>
  <si>
    <t>IT05415570489</t>
  </si>
  <si>
    <t>151209</t>
  </si>
  <si>
    <t>Firenze</t>
  </si>
  <si>
    <t>3599.</t>
  </si>
  <si>
    <t>LFP S.R.L.</t>
  </si>
  <si>
    <t>03530950546</t>
  </si>
  <si>
    <t>IT03530950546</t>
  </si>
  <si>
    <t>3600.</t>
  </si>
  <si>
    <t>LAVS S.R.L.</t>
  </si>
  <si>
    <t>04295500401</t>
  </si>
  <si>
    <t>IT04295500401</t>
  </si>
  <si>
    <t>Rimini</t>
  </si>
  <si>
    <t>Emilia-Romagna</t>
  </si>
  <si>
    <t>3601.</t>
  </si>
  <si>
    <t>CALZATURIFICIO ZAGO ALBERTO S.R.L.</t>
  </si>
  <si>
    <t>00170310189</t>
  </si>
  <si>
    <t>IT00170310189</t>
  </si>
  <si>
    <t>Pavia</t>
  </si>
  <si>
    <t>3602.</t>
  </si>
  <si>
    <t>M.P. GROUP S.R.L.</t>
  </si>
  <si>
    <t>03150750739</t>
  </si>
  <si>
    <t>IT03150750739</t>
  </si>
  <si>
    <t>Taranto</t>
  </si>
  <si>
    <t>3603.</t>
  </si>
  <si>
    <t>GAMPLAST S.R.L.</t>
  </si>
  <si>
    <t>01567010440</t>
  </si>
  <si>
    <t>IT01567010440</t>
  </si>
  <si>
    <t>3604.</t>
  </si>
  <si>
    <t>COLTOM S.R.L.</t>
  </si>
  <si>
    <t>04696490756</t>
  </si>
  <si>
    <t>IT04696490756</t>
  </si>
  <si>
    <t>3605.</t>
  </si>
  <si>
    <t>ZACRI S.R.L.</t>
  </si>
  <si>
    <t>08527130721</t>
  </si>
  <si>
    <t>IT08527130721</t>
  </si>
  <si>
    <t>Barletta-Andria-Trani</t>
  </si>
  <si>
    <t>3606.</t>
  </si>
  <si>
    <t>RACAL S.R.L.</t>
  </si>
  <si>
    <t>02852951215</t>
  </si>
  <si>
    <t>IT02852951215</t>
  </si>
  <si>
    <t>Napoli</t>
  </si>
  <si>
    <t>3607.</t>
  </si>
  <si>
    <t>CALZIFICIO SILLAN S.R.L.</t>
  </si>
  <si>
    <t>01544400201</t>
  </si>
  <si>
    <t>IT01544400201</t>
  </si>
  <si>
    <t>143100</t>
  </si>
  <si>
    <t>Mantova</t>
  </si>
  <si>
    <t>3608.</t>
  </si>
  <si>
    <t>CASTING S.R.L.</t>
  </si>
  <si>
    <t>04387650486</t>
  </si>
  <si>
    <t>IT04387650486</t>
  </si>
  <si>
    <t>3609.</t>
  </si>
  <si>
    <t>BRAND IN ITALY SRL</t>
  </si>
  <si>
    <t>09016750961</t>
  </si>
  <si>
    <t>IT09016750961</t>
  </si>
  <si>
    <t>Milano</t>
  </si>
  <si>
    <t>3610.</t>
  </si>
  <si>
    <t>CU-TEST S.R.L.</t>
  </si>
  <si>
    <t>07257561212</t>
  </si>
  <si>
    <t>IT07257561212</t>
  </si>
  <si>
    <t>3611.</t>
  </si>
  <si>
    <t>SAIV S.R.L.</t>
  </si>
  <si>
    <t>04003410273</t>
  </si>
  <si>
    <t>IT04003410273</t>
  </si>
  <si>
    <t>Venezia</t>
  </si>
  <si>
    <t>3612.</t>
  </si>
  <si>
    <t>SPORTECH S.R.L.</t>
  </si>
  <si>
    <t>02329950139</t>
  </si>
  <si>
    <t>01162200339</t>
  </si>
  <si>
    <t>IT01162200339</t>
  </si>
  <si>
    <t>Como</t>
  </si>
  <si>
    <t>3613.</t>
  </si>
  <si>
    <t>SARTORIA RAGUSA S.R.L.</t>
  </si>
  <si>
    <t>02933560837</t>
  </si>
  <si>
    <t>IT02933560837</t>
  </si>
  <si>
    <t>Messina</t>
  </si>
  <si>
    <t>Sicilia</t>
  </si>
  <si>
    <t>3614.</t>
  </si>
  <si>
    <t>ESSENOVE SRL</t>
  </si>
  <si>
    <t>02506400429</t>
  </si>
  <si>
    <t>IT02506400429</t>
  </si>
  <si>
    <t>142000</t>
  </si>
  <si>
    <t>Ancona</t>
  </si>
  <si>
    <t>3615.</t>
  </si>
  <si>
    <t>NO MERCY SOCIETA' A RESPONSABILITA' LIMITATA SEMPLIFICATA</t>
  </si>
  <si>
    <t>03766450120</t>
  </si>
  <si>
    <t>IT03766450120</t>
  </si>
  <si>
    <t>Varese</t>
  </si>
  <si>
    <t>3616.</t>
  </si>
  <si>
    <t>LLOFF SRL</t>
  </si>
  <si>
    <t>01928960432</t>
  </si>
  <si>
    <t>IT01928960432</t>
  </si>
  <si>
    <t>152010</t>
  </si>
  <si>
    <t>Macerata</t>
  </si>
  <si>
    <t>Marche</t>
  </si>
  <si>
    <t>n.d.</t>
  </si>
  <si>
    <t>3617.</t>
  </si>
  <si>
    <t>FIORANGELO SRL</t>
  </si>
  <si>
    <t>01873080442</t>
  </si>
  <si>
    <t>IT01873080442</t>
  </si>
  <si>
    <t>Fermo</t>
  </si>
  <si>
    <t>3618.</t>
  </si>
  <si>
    <t>BRANDO S.R.L.</t>
  </si>
  <si>
    <t>02098700244</t>
  </si>
  <si>
    <t>IT02098700244</t>
  </si>
  <si>
    <t>141000</t>
  </si>
  <si>
    <t>Vicenza</t>
  </si>
  <si>
    <t>Veneto</t>
  </si>
  <si>
    <t>3619.</t>
  </si>
  <si>
    <t>MERISIO S.R.L.</t>
  </si>
  <si>
    <t>08854640961</t>
  </si>
  <si>
    <t>IT08854640961</t>
  </si>
  <si>
    <t>151209</t>
  </si>
  <si>
    <t>Milano</t>
  </si>
  <si>
    <t>Lombardia</t>
  </si>
  <si>
    <t>3620.</t>
  </si>
  <si>
    <t>SF SRL</t>
  </si>
  <si>
    <t>03757120047</t>
  </si>
  <si>
    <t>IT03757120047</t>
  </si>
  <si>
    <t>141929</t>
  </si>
  <si>
    <t>Cuneo</t>
  </si>
  <si>
    <t>Piemonte</t>
  </si>
  <si>
    <t>3621.</t>
  </si>
  <si>
    <t>INTER-SERVICE S.R.L.</t>
  </si>
  <si>
    <t>00812570679</t>
  </si>
  <si>
    <t>IT00812570679</t>
  </si>
  <si>
    <t>141200</t>
  </si>
  <si>
    <t>Teramo</t>
  </si>
  <si>
    <t>Abruzzo</t>
  </si>
  <si>
    <t>3622.</t>
  </si>
  <si>
    <t>CALZATURIFICIO GRELIS S.R.L.</t>
  </si>
  <si>
    <t>08133731219</t>
  </si>
  <si>
    <t>IT08133731219</t>
  </si>
  <si>
    <t>Avellino</t>
  </si>
  <si>
    <t>Campania</t>
  </si>
  <si>
    <t>3623.</t>
  </si>
  <si>
    <t>ROBERTO PANCANI S.R.L.</t>
  </si>
  <si>
    <t>05653740489</t>
  </si>
  <si>
    <t>IT05653740489</t>
  </si>
  <si>
    <t>Firenze</t>
  </si>
  <si>
    <t>Toscana</t>
  </si>
  <si>
    <t>3624.</t>
  </si>
  <si>
    <t>SOLETTIFICIO MASSETTI S.R.L.</t>
  </si>
  <si>
    <t>02333160444</t>
  </si>
  <si>
    <t>IT02333160444</t>
  </si>
  <si>
    <t>152020</t>
  </si>
  <si>
    <t>3625.</t>
  </si>
  <si>
    <t>GARMENT S.R.L.</t>
  </si>
  <si>
    <t>02270710565</t>
  </si>
  <si>
    <t>IT02270710565</t>
  </si>
  <si>
    <t>Viterbo</t>
  </si>
  <si>
    <t>Lazio</t>
  </si>
  <si>
    <t>3626.</t>
  </si>
  <si>
    <t>NEXT OBJECTIVE S.R.L.</t>
  </si>
  <si>
    <t>01235000534</t>
  </si>
  <si>
    <t>IT01235000534</t>
  </si>
  <si>
    <t>141310</t>
  </si>
  <si>
    <t>Grosseto</t>
  </si>
  <si>
    <t>3627.</t>
  </si>
  <si>
    <t>MARCO POLO S.R.L.</t>
  </si>
  <si>
    <t>03698980244</t>
  </si>
  <si>
    <t>IT03698980244</t>
  </si>
  <si>
    <t>3628.</t>
  </si>
  <si>
    <t>CALZATURIFICIO SNASH SRL</t>
  </si>
  <si>
    <t>05946620720</t>
  </si>
  <si>
    <t>IT05946620720</t>
  </si>
  <si>
    <t>Barletta-Andria-Trani</t>
  </si>
  <si>
    <t>Puglia</t>
  </si>
  <si>
    <t>3629.</t>
  </si>
  <si>
    <t>CARIDEI GLOVE FACTORY S.R.L.</t>
  </si>
  <si>
    <t>04492921210</t>
  </si>
  <si>
    <t>IT04492921210</t>
  </si>
  <si>
    <t>141910</t>
  </si>
  <si>
    <t>Napoli</t>
  </si>
  <si>
    <t>3630.</t>
  </si>
  <si>
    <t>COLIBRI' S.R.L.</t>
  </si>
  <si>
    <t>01657930507</t>
  </si>
  <si>
    <t>IT01657930507</t>
  </si>
  <si>
    <t>151100</t>
  </si>
  <si>
    <t>Pisa</t>
  </si>
  <si>
    <t>3631.</t>
  </si>
  <si>
    <t>SG CONFEZIONI SRL</t>
  </si>
  <si>
    <t>03691190403</t>
  </si>
  <si>
    <t>IT03691190403</t>
  </si>
  <si>
    <t>Forlì-Cesena</t>
  </si>
  <si>
    <t>Emilia-Romagna</t>
  </si>
  <si>
    <t>3632.</t>
  </si>
  <si>
    <t>PISANO S.R.L.</t>
  </si>
  <si>
    <t>09120931218</t>
  </si>
  <si>
    <t>IT09120931218</t>
  </si>
  <si>
    <t>141400</t>
  </si>
  <si>
    <t>3633.</t>
  </si>
  <si>
    <t>TRANCERIA F.M. SRL</t>
  </si>
  <si>
    <t>02601210392</t>
  </si>
  <si>
    <t>IT02601210392</t>
  </si>
  <si>
    <t>Ravenna</t>
  </si>
  <si>
    <t>3634.</t>
  </si>
  <si>
    <t>CONCERIA MADERA S.R.L.</t>
  </si>
  <si>
    <t>01336310501</t>
  </si>
  <si>
    <t>IT01336310501</t>
  </si>
  <si>
    <t>3635.</t>
  </si>
  <si>
    <t>ATHLETES S.R.L.</t>
  </si>
  <si>
    <t>01683620593</t>
  </si>
  <si>
    <t>IT01683620593</t>
  </si>
  <si>
    <t>Latina</t>
  </si>
  <si>
    <t>3636.</t>
  </si>
  <si>
    <t>MILLIMETRI S.R.L.</t>
  </si>
  <si>
    <t>04174680407</t>
  </si>
  <si>
    <t>IT04174680407</t>
  </si>
  <si>
    <t>3637.</t>
  </si>
  <si>
    <t>DAVIN SOCIETA' A RESPONSABILITA' LIMITATA</t>
  </si>
  <si>
    <t>02223940442</t>
  </si>
  <si>
    <t>IT02223940442</t>
  </si>
  <si>
    <t>3638.</t>
  </si>
  <si>
    <t>PREURI S.R.L.</t>
  </si>
  <si>
    <t>01563380037</t>
  </si>
  <si>
    <t>IT01563380037</t>
  </si>
  <si>
    <t>Novara</t>
  </si>
  <si>
    <t>3639.</t>
  </si>
  <si>
    <t>OTTODUE.LAB SRL</t>
  </si>
  <si>
    <t>02982100345</t>
  </si>
  <si>
    <t>IT02982100345</t>
  </si>
  <si>
    <t>Parma</t>
  </si>
  <si>
    <t>3640.</t>
  </si>
  <si>
    <t>SARTORIA FILIPPO PANZERA S.R.L.</t>
  </si>
  <si>
    <t>02592470617</t>
  </si>
  <si>
    <t>IT02592470617</t>
  </si>
  <si>
    <t>141320</t>
  </si>
  <si>
    <t>Caserta</t>
  </si>
  <si>
    <t>3641.</t>
  </si>
  <si>
    <t>FIORITA S.R.L.</t>
  </si>
  <si>
    <t>01063850448</t>
  </si>
  <si>
    <t>IT01063850448</t>
  </si>
  <si>
    <t>3642.</t>
  </si>
  <si>
    <t>CONFEZIONE EUROPA S.R.L.</t>
  </si>
  <si>
    <t>01588080489</t>
  </si>
  <si>
    <t>IT01588080489</t>
  </si>
  <si>
    <t>3643.</t>
  </si>
  <si>
    <t>PROGETTO DUE S.R.L.</t>
  </si>
  <si>
    <t>02709410738</t>
  </si>
  <si>
    <t>IT02709410738</t>
  </si>
  <si>
    <t>Taranto</t>
  </si>
  <si>
    <t>3644.</t>
  </si>
  <si>
    <t>GAMMA S.R.L.</t>
  </si>
  <si>
    <t>01410990467</t>
  </si>
  <si>
    <t>05860160158</t>
  </si>
  <si>
    <t>IT05860160158</t>
  </si>
  <si>
    <t>Lucca</t>
  </si>
  <si>
    <t>3645.</t>
  </si>
  <si>
    <t>LASER TORRESI SRL</t>
  </si>
  <si>
    <t>01859490433</t>
  </si>
  <si>
    <t>IT01859490433</t>
  </si>
  <si>
    <t>3646.</t>
  </si>
  <si>
    <t>DEMA S.R.L.</t>
  </si>
  <si>
    <t>01602270504</t>
  </si>
  <si>
    <t>IT01602270504</t>
  </si>
  <si>
    <t>3647.</t>
  </si>
  <si>
    <t>BERNARDINI FASHION SRL</t>
  </si>
  <si>
    <t>02236440513</t>
  </si>
  <si>
    <t>IT02236440513</t>
  </si>
  <si>
    <t>143900</t>
  </si>
  <si>
    <t>Arezzo</t>
  </si>
  <si>
    <t>3648.</t>
  </si>
  <si>
    <t>MAGLIFICIO ALGIMA S.R.L.</t>
  </si>
  <si>
    <t>00295390975</t>
  </si>
  <si>
    <t>03282030489</t>
  </si>
  <si>
    <t>IT03282030489</t>
  </si>
  <si>
    <t>143900</t>
  </si>
  <si>
    <t>Prato</t>
  </si>
  <si>
    <t>Toscana</t>
  </si>
  <si>
    <t>3649.</t>
  </si>
  <si>
    <t>VALIGERIA MASCETTI S.R.L.</t>
  </si>
  <si>
    <t>01268660121</t>
  </si>
  <si>
    <t>IT01268660121</t>
  </si>
  <si>
    <t>151200</t>
  </si>
  <si>
    <t>Varese</t>
  </si>
  <si>
    <t>Lombardia</t>
  </si>
  <si>
    <t>3650.</t>
  </si>
  <si>
    <t>ELIZA DI VENEZIA S.R.L.</t>
  </si>
  <si>
    <t>01816160442</t>
  </si>
  <si>
    <t>IT01816160442</t>
  </si>
  <si>
    <t>152010</t>
  </si>
  <si>
    <t>Fermo</t>
  </si>
  <si>
    <t>Marche</t>
  </si>
  <si>
    <t>3651.</t>
  </si>
  <si>
    <t>SUOLIFICIO GFG S.R.L.</t>
  </si>
  <si>
    <t>01576710436</t>
  </si>
  <si>
    <t>IT01576710436</t>
  </si>
  <si>
    <t>152020</t>
  </si>
  <si>
    <t>Macerata</t>
  </si>
  <si>
    <t>n.d.</t>
  </si>
  <si>
    <t>3652.</t>
  </si>
  <si>
    <t>MTOS S.R.L.</t>
  </si>
  <si>
    <t>06739490487</t>
  </si>
  <si>
    <t>IT06739490487</t>
  </si>
  <si>
    <t>151209</t>
  </si>
  <si>
    <t>Firenze</t>
  </si>
  <si>
    <t>3653.</t>
  </si>
  <si>
    <t>FUN HOLDING S.R.L.</t>
  </si>
  <si>
    <t>02137380545</t>
  </si>
  <si>
    <t>IT02137380545</t>
  </si>
  <si>
    <t>141320</t>
  </si>
  <si>
    <t>Perugia</t>
  </si>
  <si>
    <t>Umbria</t>
  </si>
  <si>
    <t>3654.</t>
  </si>
  <si>
    <t>FRANCETICH S.R.L.</t>
  </si>
  <si>
    <t>01255800243</t>
  </si>
  <si>
    <t>IT01255800243</t>
  </si>
  <si>
    <t>142000</t>
  </si>
  <si>
    <t>Vicenza</t>
  </si>
  <si>
    <t>Veneto</t>
  </si>
  <si>
    <t>3655.</t>
  </si>
  <si>
    <t>GRUPPO VELA S.R.L.</t>
  </si>
  <si>
    <t>07873860725</t>
  </si>
  <si>
    <t>IT07873860725</t>
  </si>
  <si>
    <t>141310</t>
  </si>
  <si>
    <t>Bari</t>
  </si>
  <si>
    <t>Puglia</t>
  </si>
  <si>
    <t>3656.</t>
  </si>
  <si>
    <t>TEXTILROSS S.R.L.</t>
  </si>
  <si>
    <t>01710720127</t>
  </si>
  <si>
    <t>IT01710720127</t>
  </si>
  <si>
    <t>3657.</t>
  </si>
  <si>
    <t>ARCIGRAPHIC S.R.L.</t>
  </si>
  <si>
    <t>05184270659</t>
  </si>
  <si>
    <t>IT05184270659</t>
  </si>
  <si>
    <t>141929</t>
  </si>
  <si>
    <t>Salerno</t>
  </si>
  <si>
    <t>Campania</t>
  </si>
  <si>
    <t>3658.</t>
  </si>
  <si>
    <t>STUDIOESTILE TUSCANY S.R.L.</t>
  </si>
  <si>
    <t>02298360971</t>
  </si>
  <si>
    <t>IT02298360971</t>
  </si>
  <si>
    <t>141910</t>
  </si>
  <si>
    <t>3659.</t>
  </si>
  <si>
    <t>WHITE FASHION S.R.L. SEMPLIFICATA</t>
  </si>
  <si>
    <t>02023230895</t>
  </si>
  <si>
    <t>IT02023230895</t>
  </si>
  <si>
    <t>Siracusa</t>
  </si>
  <si>
    <t>Sicilia</t>
  </si>
  <si>
    <t>3660.</t>
  </si>
  <si>
    <t>STEFANARDI S.R.L.</t>
  </si>
  <si>
    <t>03808500726</t>
  </si>
  <si>
    <t>IT03808500726</t>
  </si>
  <si>
    <t>3661.</t>
  </si>
  <si>
    <t>COMPLAST S.R.L. DI SALVATORE CORREDDU</t>
  </si>
  <si>
    <t>01208080901</t>
  </si>
  <si>
    <t>IT01208080901</t>
  </si>
  <si>
    <t>Sassari</t>
  </si>
  <si>
    <t>Sardegna</t>
  </si>
  <si>
    <t>3662.</t>
  </si>
  <si>
    <t>ME.GI. S.R.L. - UNIPERSONALE</t>
  </si>
  <si>
    <t>02231960242</t>
  </si>
  <si>
    <t>IT02231960242</t>
  </si>
  <si>
    <t>151100</t>
  </si>
  <si>
    <t>3663.</t>
  </si>
  <si>
    <t>MAESTRI PELLETTIERI S.R.L.</t>
  </si>
  <si>
    <t>08123271218</t>
  </si>
  <si>
    <t>IT08123271218</t>
  </si>
  <si>
    <t>Napoli</t>
  </si>
  <si>
    <t>3664.</t>
  </si>
  <si>
    <t>DONNA ELISSA S.R.L.</t>
  </si>
  <si>
    <t>03358260960</t>
  </si>
  <si>
    <t>IT03358260960</t>
  </si>
  <si>
    <t>Milano</t>
  </si>
  <si>
    <t>3665.</t>
  </si>
  <si>
    <t>BIANCHI S.R.L.</t>
  </si>
  <si>
    <t>02932130160</t>
  </si>
  <si>
    <t>IT02932130160</t>
  </si>
  <si>
    <t>Bergamo</t>
  </si>
  <si>
    <t>3666.</t>
  </si>
  <si>
    <t>PARMEGGIANI S.R.L.</t>
  </si>
  <si>
    <t>02124790367</t>
  </si>
  <si>
    <t>IT02124790367</t>
  </si>
  <si>
    <t>Modena</t>
  </si>
  <si>
    <t>Emilia-Romagna</t>
  </si>
  <si>
    <t>3667.</t>
  </si>
  <si>
    <t>KATY - S.R.L.</t>
  </si>
  <si>
    <t>01223010461</t>
  </si>
  <si>
    <t>IT01223010461</t>
  </si>
  <si>
    <t>Lucca</t>
  </si>
  <si>
    <t>3668.</t>
  </si>
  <si>
    <t>PORT'O SRL</t>
  </si>
  <si>
    <t>01858670431</t>
  </si>
  <si>
    <t>IT01858670431</t>
  </si>
  <si>
    <t>Roma</t>
  </si>
  <si>
    <t>Lazio</t>
  </si>
  <si>
    <t>3669.</t>
  </si>
  <si>
    <t>SECCHIARI INTERNATIONAL S.R.L.</t>
  </si>
  <si>
    <t>02109360442</t>
  </si>
  <si>
    <t>IT02109360442</t>
  </si>
  <si>
    <t>3670.</t>
  </si>
  <si>
    <t>CONCERIA LA FORTEZZA S.R.L.</t>
  </si>
  <si>
    <t>01775620501</t>
  </si>
  <si>
    <t>IT01775620501</t>
  </si>
  <si>
    <t>Pisa</t>
  </si>
  <si>
    <t>3671.</t>
  </si>
  <si>
    <t>CALCEUS SRL</t>
  </si>
  <si>
    <t>03283360265</t>
  </si>
  <si>
    <t>IT03283360265</t>
  </si>
  <si>
    <t>Treviso</t>
  </si>
  <si>
    <t>3672.</t>
  </si>
  <si>
    <t>TOP ITALIA MODA SOCIETA' A RESPONSABILITA' LIMITATA - SOCIETA' UNIPERSONALE</t>
  </si>
  <si>
    <t>06654830725</t>
  </si>
  <si>
    <t>IT06654830725</t>
  </si>
  <si>
    <t>141400</t>
  </si>
  <si>
    <t>Barletta-Andria-Trani</t>
  </si>
  <si>
    <t>3673.</t>
  </si>
  <si>
    <t>SARTORIA TEATRALE ARRIGO S.R.L.</t>
  </si>
  <si>
    <t>01332140068</t>
  </si>
  <si>
    <t>IT01332140068</t>
  </si>
  <si>
    <t>3674.</t>
  </si>
  <si>
    <t>RESTELLI S.R.L.</t>
  </si>
  <si>
    <t>11851130960</t>
  </si>
  <si>
    <t>IT11851130960</t>
  </si>
  <si>
    <t>3675.</t>
  </si>
  <si>
    <t>EUGENIO PORSELLI - S.R.L.</t>
  </si>
  <si>
    <t>01932410150</t>
  </si>
  <si>
    <t>IT01932410150</t>
  </si>
  <si>
    <t>3676.</t>
  </si>
  <si>
    <t>EBI SRL</t>
  </si>
  <si>
    <t>07187200485</t>
  </si>
  <si>
    <t>IT07187200485</t>
  </si>
  <si>
    <t>3677.</t>
  </si>
  <si>
    <t>ESQUISITO S.R.L.</t>
  </si>
  <si>
    <t>02183191200</t>
  </si>
  <si>
    <t>IT02183191200</t>
  </si>
  <si>
    <t>Bologna</t>
  </si>
  <si>
    <t>3678.</t>
  </si>
  <si>
    <t>G.INGLESE S.R.L.S.</t>
  </si>
  <si>
    <t>03019800733</t>
  </si>
  <si>
    <t>IT03019800733</t>
  </si>
  <si>
    <t>Taranto</t>
  </si>
  <si>
    <t>3679.</t>
  </si>
  <si>
    <t>PRESTIGE - S.R.L.</t>
  </si>
  <si>
    <t>01171380411</t>
  </si>
  <si>
    <t>IT01171380411</t>
  </si>
  <si>
    <t>141300</t>
  </si>
  <si>
    <t>Pesaro e Urbino</t>
  </si>
  <si>
    <t>3680.</t>
  </si>
  <si>
    <t>SARTORIA FRANCO SAGRIPANTI - SOCIETA' A RESPONSABILITA' LIMITATA</t>
  </si>
  <si>
    <t>12547661004</t>
  </si>
  <si>
    <t>IT12547661004</t>
  </si>
  <si>
    <t>141320</t>
  </si>
  <si>
    <t>Roma</t>
  </si>
  <si>
    <t>Lazio</t>
  </si>
  <si>
    <t>3681.</t>
  </si>
  <si>
    <t>FONTANILI ALESSANDRO SRL</t>
  </si>
  <si>
    <t>02568390351</t>
  </si>
  <si>
    <t>IT02568390351</t>
  </si>
  <si>
    <t>151209</t>
  </si>
  <si>
    <t>Reggio nell'Emilia</t>
  </si>
  <si>
    <t>Emilia-Romagna</t>
  </si>
  <si>
    <t>n.d.</t>
  </si>
  <si>
    <t>3682.</t>
  </si>
  <si>
    <t>ETOILE DI BOSI ALESSANDRO S.R.L.</t>
  </si>
  <si>
    <t>02319770547</t>
  </si>
  <si>
    <t>IT02319770547</t>
  </si>
  <si>
    <t>141000</t>
  </si>
  <si>
    <t>Perugia</t>
  </si>
  <si>
    <t>Umbria</t>
  </si>
  <si>
    <t>3683.</t>
  </si>
  <si>
    <t>I.M. ILARIA MATTIOLI S.R.L.</t>
  </si>
  <si>
    <t>02498260419</t>
  </si>
  <si>
    <t>IT02498260419</t>
  </si>
  <si>
    <t>142000</t>
  </si>
  <si>
    <t>Pesaro e Urbino</t>
  </si>
  <si>
    <t>Marche</t>
  </si>
  <si>
    <t>3684.</t>
  </si>
  <si>
    <t>EMOZIONI SPOSA DI LUCILLA CAGGIULA SRL</t>
  </si>
  <si>
    <t>04877710758</t>
  </si>
  <si>
    <t>IT04877710758</t>
  </si>
  <si>
    <t>Lecce</t>
  </si>
  <si>
    <t>Puglia</t>
  </si>
  <si>
    <t>3685.</t>
  </si>
  <si>
    <t>ROLLING BRANDS &amp; PRODUCTS SRL UNIPERSONALE</t>
  </si>
  <si>
    <t>02553640992</t>
  </si>
  <si>
    <t>IT02553640992</t>
  </si>
  <si>
    <t>Genova</t>
  </si>
  <si>
    <t>Liguria</t>
  </si>
  <si>
    <t>3686.</t>
  </si>
  <si>
    <t>TAILOR DIFFUSION S.R.L.</t>
  </si>
  <si>
    <t>04524670751</t>
  </si>
  <si>
    <t>IT04524670751</t>
  </si>
  <si>
    <t>141310</t>
  </si>
  <si>
    <t>3687.</t>
  </si>
  <si>
    <t>M.B.F.SRL</t>
  </si>
  <si>
    <t>05053330154</t>
  </si>
  <si>
    <t>IT05053330154</t>
  </si>
  <si>
    <t>152020</t>
  </si>
  <si>
    <t>Milano</t>
  </si>
  <si>
    <t>Lombardia</t>
  </si>
  <si>
    <t>3688.</t>
  </si>
  <si>
    <t>PLANET ITALIA S.R.L.</t>
  </si>
  <si>
    <t>02299530739</t>
  </si>
  <si>
    <t>IT02299530739</t>
  </si>
  <si>
    <t>Taranto</t>
  </si>
  <si>
    <t>3689.</t>
  </si>
  <si>
    <t>DOPOGARA S.R.L.</t>
  </si>
  <si>
    <t>04192200261</t>
  </si>
  <si>
    <t>IT04192200261</t>
  </si>
  <si>
    <t>Treviso</t>
  </si>
  <si>
    <t>Veneto</t>
  </si>
  <si>
    <t>3690.</t>
  </si>
  <si>
    <t>BOTTEROSTUDIO S.R.L.</t>
  </si>
  <si>
    <t>03446730545</t>
  </si>
  <si>
    <t>IT03446730545</t>
  </si>
  <si>
    <t>141910</t>
  </si>
  <si>
    <t>3691.</t>
  </si>
  <si>
    <t>QUALITAGLIO S.R.L.</t>
  </si>
  <si>
    <t>02885740239</t>
  </si>
  <si>
    <t>IT02885740239</t>
  </si>
  <si>
    <t>Verona</t>
  </si>
  <si>
    <t>3692.</t>
  </si>
  <si>
    <t>NUOVA 3B S.R.L.</t>
  </si>
  <si>
    <t>02144460504</t>
  </si>
  <si>
    <t>IT02144460504</t>
  </si>
  <si>
    <t>Pisa</t>
  </si>
  <si>
    <t>Toscana</t>
  </si>
  <si>
    <t>3693.</t>
  </si>
  <si>
    <t>VALENTINA S.R.L.</t>
  </si>
  <si>
    <t>03903480287</t>
  </si>
  <si>
    <t>IT03903480287</t>
  </si>
  <si>
    <t>Padova</t>
  </si>
  <si>
    <t>3694.</t>
  </si>
  <si>
    <t>BOCACHE &amp; SALVUCCI S.R.L.</t>
  </si>
  <si>
    <t>06157351005</t>
  </si>
  <si>
    <t>IT06157351005</t>
  </si>
  <si>
    <t>152010</t>
  </si>
  <si>
    <t>3695.</t>
  </si>
  <si>
    <t>MANIFATTURA SAN BIAGIO S.R.L.</t>
  </si>
  <si>
    <t>03265820757</t>
  </si>
  <si>
    <t>IT03265820757</t>
  </si>
  <si>
    <t>143100</t>
  </si>
  <si>
    <t>3696.</t>
  </si>
  <si>
    <t>BODIES FURS FASHION S.R.L.</t>
  </si>
  <si>
    <t>06081760487</t>
  </si>
  <si>
    <t>IT06081760487</t>
  </si>
  <si>
    <t>Firenze</t>
  </si>
  <si>
    <t>3697.</t>
  </si>
  <si>
    <t>FACON SARTORIALE S.R.L.</t>
  </si>
  <si>
    <t>03120400738</t>
  </si>
  <si>
    <t>IT03120400738</t>
  </si>
  <si>
    <t>3698.</t>
  </si>
  <si>
    <t>GIEMME S.R.L.</t>
  </si>
  <si>
    <t>01771280441</t>
  </si>
  <si>
    <t>IT01771280441</t>
  </si>
  <si>
    <t>Ascoli Piceno</t>
  </si>
  <si>
    <t>3699.</t>
  </si>
  <si>
    <t>STY.LAB S.R.L.</t>
  </si>
  <si>
    <t>06364010485</t>
  </si>
  <si>
    <t>IT06364010485</t>
  </si>
  <si>
    <t>3700.</t>
  </si>
  <si>
    <t>RED BOX INDUSTRY S.R.L.</t>
  </si>
  <si>
    <t>03238170546</t>
  </si>
  <si>
    <t>IT03238170546</t>
  </si>
  <si>
    <t>3701.</t>
  </si>
  <si>
    <t>RM INTIMO GROUP S.R.L.</t>
  </si>
  <si>
    <t>01928400470</t>
  </si>
  <si>
    <t>IT01928400470</t>
  </si>
  <si>
    <t>141400</t>
  </si>
  <si>
    <t>Pistoia</t>
  </si>
  <si>
    <t>3702.</t>
  </si>
  <si>
    <t>F.LLI MAZZANTI S.R.L.</t>
  </si>
  <si>
    <t>05588500487</t>
  </si>
  <si>
    <t>IT05588500487</t>
  </si>
  <si>
    <t>3703.</t>
  </si>
  <si>
    <t>COLVET S.R.L.</t>
  </si>
  <si>
    <t>02429220268</t>
  </si>
  <si>
    <t>IT02429220268</t>
  </si>
  <si>
    <t>141929</t>
  </si>
  <si>
    <t>3704.</t>
  </si>
  <si>
    <t>G.M.C. GROUP S.R.L.</t>
  </si>
  <si>
    <t>06151521215</t>
  </si>
  <si>
    <t>IT06151521215</t>
  </si>
  <si>
    <t>Napoli</t>
  </si>
  <si>
    <t>Campania</t>
  </si>
  <si>
    <t>3705.</t>
  </si>
  <si>
    <t>HEIDI MARTUCCI - SOCIETA' A RESPONSABILITA' LIMITATA</t>
  </si>
  <si>
    <t>05504381004</t>
  </si>
  <si>
    <t>IT05504381004</t>
  </si>
  <si>
    <t>143900</t>
  </si>
  <si>
    <t>3706.</t>
  </si>
  <si>
    <t>CHRISS S.R.L.</t>
  </si>
  <si>
    <t>04023650262</t>
  </si>
  <si>
    <t>IT04023650262</t>
  </si>
  <si>
    <t>3707.</t>
  </si>
  <si>
    <t>MISS-D SOCIETA' A RESPONSABILITA' LIMITATA SEMPLIFICATA</t>
  </si>
  <si>
    <t>02683270025</t>
  </si>
  <si>
    <t>IT02683270025</t>
  </si>
  <si>
    <t>Biella</t>
  </si>
  <si>
    <t>Piemonte</t>
  </si>
  <si>
    <t>3708.</t>
  </si>
  <si>
    <t>RUCCI S.R.L.</t>
  </si>
  <si>
    <t>06810640729</t>
  </si>
  <si>
    <t>IT06810640729</t>
  </si>
  <si>
    <t>Bari</t>
  </si>
  <si>
    <t>3709.</t>
  </si>
  <si>
    <t>SARTORIA ISMARA S.R.L.</t>
  </si>
  <si>
    <t>04927260960</t>
  </si>
  <si>
    <t>IT04927260960</t>
  </si>
  <si>
    <t>3710.</t>
  </si>
  <si>
    <t>BINDA S.R.L.</t>
  </si>
  <si>
    <t>02202880262</t>
  </si>
  <si>
    <t>IT02202880262</t>
  </si>
  <si>
    <t>3711.</t>
  </si>
  <si>
    <t>MANIFARTEX S.R.L.</t>
  </si>
  <si>
    <t>03152580613</t>
  </si>
  <si>
    <t>IT03152580613</t>
  </si>
  <si>
    <t>Caserta</t>
  </si>
  <si>
    <t>3712.</t>
  </si>
  <si>
    <t>PAGLIANI &amp; BRASSEUR S.R.L.</t>
  </si>
  <si>
    <t>04350740231</t>
  </si>
  <si>
    <t>IT04350740231</t>
  </si>
  <si>
    <t>141910</t>
  </si>
  <si>
    <t>Verona</t>
  </si>
  <si>
    <t>Veneto</t>
  </si>
  <si>
    <t>3713.</t>
  </si>
  <si>
    <t>VITTORIA SOCIETA' A RESPONSABILITA' LIMITATA SEMPLIFICATA</t>
  </si>
  <si>
    <t>07896480725</t>
  </si>
  <si>
    <t>IT07896480725</t>
  </si>
  <si>
    <t>141310</t>
  </si>
  <si>
    <t>Bari</t>
  </si>
  <si>
    <t>Puglia</t>
  </si>
  <si>
    <t>n.d.</t>
  </si>
  <si>
    <t>3714.</t>
  </si>
  <si>
    <t>MAGLIFICIO IMAPIER S.R.L.</t>
  </si>
  <si>
    <t>06555430724</t>
  </si>
  <si>
    <t>IT06555430724</t>
  </si>
  <si>
    <t>143900</t>
  </si>
  <si>
    <t>Barletta-Andria-Trani</t>
  </si>
  <si>
    <t>3715.</t>
  </si>
  <si>
    <t>IPPOLITI QUINTO S.R.L.</t>
  </si>
  <si>
    <t>01652460674</t>
  </si>
  <si>
    <t>IT01652460674</t>
  </si>
  <si>
    <t>Teramo</t>
  </si>
  <si>
    <t>Abruzzo</t>
  </si>
  <si>
    <t>3716.</t>
  </si>
  <si>
    <t>CURVY S.R.L.</t>
  </si>
  <si>
    <t>03448871206</t>
  </si>
  <si>
    <t>IT03448871206</t>
  </si>
  <si>
    <t>Bologna</t>
  </si>
  <si>
    <t>Emilia-Romagna</t>
  </si>
  <si>
    <t>3717.</t>
  </si>
  <si>
    <t>P.S.C. GROUP S.R.L.</t>
  </si>
  <si>
    <t>04572450262</t>
  </si>
  <si>
    <t>IT04572450262</t>
  </si>
  <si>
    <t>141920</t>
  </si>
  <si>
    <t>Treviso</t>
  </si>
  <si>
    <t>3718.</t>
  </si>
  <si>
    <t>SPORT PROMOTION SRL</t>
  </si>
  <si>
    <t>01915980674</t>
  </si>
  <si>
    <t>IT01915980674</t>
  </si>
  <si>
    <t>141929</t>
  </si>
  <si>
    <t>3719.</t>
  </si>
  <si>
    <t>KIARA &amp; CO S.R.L.</t>
  </si>
  <si>
    <t>02332010640</t>
  </si>
  <si>
    <t>IT02332010640</t>
  </si>
  <si>
    <t>141100</t>
  </si>
  <si>
    <t>Avellino</t>
  </si>
  <si>
    <t>Campania</t>
  </si>
  <si>
    <t>3720.</t>
  </si>
  <si>
    <t>NUOVA PETRONIUS SRL</t>
  </si>
  <si>
    <t>10785270157</t>
  </si>
  <si>
    <t>IT10785270157</t>
  </si>
  <si>
    <t>Milano</t>
  </si>
  <si>
    <t>Lombardia</t>
  </si>
  <si>
    <t>3721.</t>
  </si>
  <si>
    <t>MOKA' SPORTSWEAR S.R.L.</t>
  </si>
  <si>
    <t>03823970367</t>
  </si>
  <si>
    <t>IT03823970367</t>
  </si>
  <si>
    <t>Modena</t>
  </si>
  <si>
    <t>3722.</t>
  </si>
  <si>
    <t>GABRIELE S.R.L.</t>
  </si>
  <si>
    <t>06983351211</t>
  </si>
  <si>
    <t>IT06983351211</t>
  </si>
  <si>
    <t>Benevento</t>
  </si>
  <si>
    <t>3723.</t>
  </si>
  <si>
    <t>AURORA S.R.L.</t>
  </si>
  <si>
    <t>01278180433</t>
  </si>
  <si>
    <t>IT01278180433</t>
  </si>
  <si>
    <t>141000</t>
  </si>
  <si>
    <t>Macerata</t>
  </si>
  <si>
    <t>Marche</t>
  </si>
  <si>
    <t>3724.</t>
  </si>
  <si>
    <t>CYCLICA SRL</t>
  </si>
  <si>
    <t>04660010275</t>
  </si>
  <si>
    <t>IT04660010275</t>
  </si>
  <si>
    <t>151100</t>
  </si>
  <si>
    <t>Venezia</t>
  </si>
  <si>
    <t>3725.</t>
  </si>
  <si>
    <t>IRPINIA PELLI S.R.L.</t>
  </si>
  <si>
    <t>01788970646</t>
  </si>
  <si>
    <t>IT01788970646</t>
  </si>
  <si>
    <t>3726.</t>
  </si>
  <si>
    <t>CALZATURIFICIO LUCA SRL</t>
  </si>
  <si>
    <t>01386190449</t>
  </si>
  <si>
    <t>IT01386190449</t>
  </si>
  <si>
    <t>152010</t>
  </si>
  <si>
    <t>Fermo</t>
  </si>
  <si>
    <t>3727.</t>
  </si>
  <si>
    <t>POSTURAL POINT S.R.L.</t>
  </si>
  <si>
    <t>04455900276</t>
  </si>
  <si>
    <t>IT04455900276</t>
  </si>
  <si>
    <t>152020</t>
  </si>
  <si>
    <t>3728.</t>
  </si>
  <si>
    <t>AIRILY AB S.R.L.</t>
  </si>
  <si>
    <t>01596390672</t>
  </si>
  <si>
    <t>IT01596390672</t>
  </si>
  <si>
    <t>3729.</t>
  </si>
  <si>
    <t>LAJOLE UNDERWEAR ITALY S.R.L.</t>
  </si>
  <si>
    <t>03489390546</t>
  </si>
  <si>
    <t>IT03489390546</t>
  </si>
  <si>
    <t>141400</t>
  </si>
  <si>
    <t>Perugia</t>
  </si>
  <si>
    <t>Umbria</t>
  </si>
  <si>
    <t>3730.</t>
  </si>
  <si>
    <t>GALIOTTO S.R.L.</t>
  </si>
  <si>
    <t>00680130242</t>
  </si>
  <si>
    <t>IT00680130242</t>
  </si>
  <si>
    <t>Vicenza</t>
  </si>
  <si>
    <t>3731.</t>
  </si>
  <si>
    <t>STEPHEN NEW LINE S.R.L.</t>
  </si>
  <si>
    <t>00652040437</t>
  </si>
  <si>
    <t>IT00652040437</t>
  </si>
  <si>
    <t>151209</t>
  </si>
  <si>
    <t>3732.</t>
  </si>
  <si>
    <t>DEVID S.R.L.</t>
  </si>
  <si>
    <t>01704150356</t>
  </si>
  <si>
    <t>IT01704150356</t>
  </si>
  <si>
    <t>Reggio nell'Emilia</t>
  </si>
  <si>
    <t>3733.</t>
  </si>
  <si>
    <t>SARA CREAZIONI S.R.L.</t>
  </si>
  <si>
    <t>03401330273</t>
  </si>
  <si>
    <t>IT03401330273</t>
  </si>
  <si>
    <t>141200</t>
  </si>
  <si>
    <t>3734.</t>
  </si>
  <si>
    <t>TACCHIFICIO CAPONI S.R.L.</t>
  </si>
  <si>
    <t>01381520509</t>
  </si>
  <si>
    <t>IT01381520509</t>
  </si>
  <si>
    <t>152000</t>
  </si>
  <si>
    <t>Pisa</t>
  </si>
  <si>
    <t>Toscana</t>
  </si>
  <si>
    <t>3735.</t>
  </si>
  <si>
    <t>SUOLIFICIO CENTROITALIA S.R.L.</t>
  </si>
  <si>
    <t>01424890430</t>
  </si>
  <si>
    <t>IT01424890430</t>
  </si>
  <si>
    <t>3736.</t>
  </si>
  <si>
    <t>MODACOM SOCIETA' A RESPONSABILITA' LIMITATA ABBREVIABILE IN MODACOM S.R.L.</t>
  </si>
  <si>
    <t>01606430369</t>
  </si>
  <si>
    <t>IT01606430369</t>
  </si>
  <si>
    <t>3737.</t>
  </si>
  <si>
    <t>JUMP S.R.L.</t>
  </si>
  <si>
    <t>02439240975</t>
  </si>
  <si>
    <t>IT02439240975</t>
  </si>
  <si>
    <t>Prato</t>
  </si>
  <si>
    <t>3738.</t>
  </si>
  <si>
    <t>FERRO FASHION S.R.L.</t>
  </si>
  <si>
    <t>05025000281</t>
  </si>
  <si>
    <t>IT05025000281</t>
  </si>
  <si>
    <t>142000</t>
  </si>
  <si>
    <t>Padova</t>
  </si>
  <si>
    <t>3739.</t>
  </si>
  <si>
    <t>EMANUELA CARUSO CAPRI S.R.L.</t>
  </si>
  <si>
    <t>11339051002</t>
  </si>
  <si>
    <t>IT11339051002</t>
  </si>
  <si>
    <t>Napoli</t>
  </si>
  <si>
    <t>3740.</t>
  </si>
  <si>
    <t>BRUNO'S SHOES S.R.L.</t>
  </si>
  <si>
    <t>03188510485</t>
  </si>
  <si>
    <t>IT03188510485</t>
  </si>
  <si>
    <t>Firenze</t>
  </si>
  <si>
    <t>3741.</t>
  </si>
  <si>
    <t>MAGISTRONI CONFEZIONI S.R.L.</t>
  </si>
  <si>
    <t>07515170152</t>
  </si>
  <si>
    <t>IT07515170152</t>
  </si>
  <si>
    <t>3742.</t>
  </si>
  <si>
    <t>SMEG S.R.L.</t>
  </si>
  <si>
    <t>01886900479</t>
  </si>
  <si>
    <t>IT01886900479</t>
  </si>
  <si>
    <t>Pistoia</t>
  </si>
  <si>
    <t>3743.</t>
  </si>
  <si>
    <t>CALZATURE TREBI S.R.L.</t>
  </si>
  <si>
    <t>01736840230</t>
  </si>
  <si>
    <t>IT01736840230</t>
  </si>
  <si>
    <t>3744.</t>
  </si>
  <si>
    <t>AEQUUS SRL</t>
  </si>
  <si>
    <t>05428790652</t>
  </si>
  <si>
    <t>IT05428790652</t>
  </si>
  <si>
    <t>141400</t>
  </si>
  <si>
    <t>Salerno</t>
  </si>
  <si>
    <t>Campania</t>
  </si>
  <si>
    <t>3745.</t>
  </si>
  <si>
    <t>BARBED S.R.L.</t>
  </si>
  <si>
    <t>06395620484</t>
  </si>
  <si>
    <t>IT06395620484</t>
  </si>
  <si>
    <t>141310</t>
  </si>
  <si>
    <t>Firenze</t>
  </si>
  <si>
    <t>Toscana</t>
  </si>
  <si>
    <t>n.d.</t>
  </si>
  <si>
    <t>3746.</t>
  </si>
  <si>
    <t>ARRON S.R.L.</t>
  </si>
  <si>
    <t>01412240515</t>
  </si>
  <si>
    <t>IT01412240515</t>
  </si>
  <si>
    <t>151209</t>
  </si>
  <si>
    <t>Arezzo</t>
  </si>
  <si>
    <t>3747.</t>
  </si>
  <si>
    <t>PANTA REI S.R.L.</t>
  </si>
  <si>
    <t>09974380967</t>
  </si>
  <si>
    <t>IT09974380967</t>
  </si>
  <si>
    <t>Milano</t>
  </si>
  <si>
    <t>Lombardia</t>
  </si>
  <si>
    <t>3748.</t>
  </si>
  <si>
    <t>STUDIOLGA S.R.L.</t>
  </si>
  <si>
    <t>03737241202</t>
  </si>
  <si>
    <t>IT03737241202</t>
  </si>
  <si>
    <t>141320</t>
  </si>
  <si>
    <t>Bologna</t>
  </si>
  <si>
    <t>Emilia-Romagna</t>
  </si>
  <si>
    <t>3749.</t>
  </si>
  <si>
    <t>NICONF DESIGN S.R.L.S.</t>
  </si>
  <si>
    <t>06587230480</t>
  </si>
  <si>
    <t>IT06587230480</t>
  </si>
  <si>
    <t>141200</t>
  </si>
  <si>
    <t>3750.</t>
  </si>
  <si>
    <t>FRESCO PELLI S.R.L.</t>
  </si>
  <si>
    <t>00828910158</t>
  </si>
  <si>
    <t>IT00828910158</t>
  </si>
  <si>
    <t>151100</t>
  </si>
  <si>
    <t>3751.</t>
  </si>
  <si>
    <t>ES' S.R.L.</t>
  </si>
  <si>
    <t>03737890230</t>
  </si>
  <si>
    <t>IT03737890230</t>
  </si>
  <si>
    <t>141000</t>
  </si>
  <si>
    <t>3752.</t>
  </si>
  <si>
    <t>FABRICKA S.R.L.</t>
  </si>
  <si>
    <t>08055930724</t>
  </si>
  <si>
    <t>IT08055930724</t>
  </si>
  <si>
    <t>Bari</t>
  </si>
  <si>
    <t>Puglia</t>
  </si>
  <si>
    <t>3753.</t>
  </si>
  <si>
    <t>DEM ITALIANA SRL</t>
  </si>
  <si>
    <t>01561240126</t>
  </si>
  <si>
    <t>IT01561240126</t>
  </si>
  <si>
    <t>Varese</t>
  </si>
  <si>
    <t>3754.</t>
  </si>
  <si>
    <t>WALMODE S.R.L.</t>
  </si>
  <si>
    <t>01931710238</t>
  </si>
  <si>
    <t>IT01931710238</t>
  </si>
  <si>
    <t>Verona</t>
  </si>
  <si>
    <t>Veneto</t>
  </si>
  <si>
    <t>3755.</t>
  </si>
  <si>
    <t>CRISALIDE SOCIETA' A RESPONSABILITA' LIMITATA SEMPLIFICATA</t>
  </si>
  <si>
    <t>08019901217</t>
  </si>
  <si>
    <t>IT08019901217</t>
  </si>
  <si>
    <t>141910</t>
  </si>
  <si>
    <t>Napoli</t>
  </si>
  <si>
    <t>3756.</t>
  </si>
  <si>
    <t>CRIME S.R.L.</t>
  </si>
  <si>
    <t>06853020482</t>
  </si>
  <si>
    <t>IT06853020482</t>
  </si>
  <si>
    <t>143900</t>
  </si>
  <si>
    <t>3757.</t>
  </si>
  <si>
    <t>CHILD - S.R.L.</t>
  </si>
  <si>
    <t>00265770024</t>
  </si>
  <si>
    <t>IT00265770024</t>
  </si>
  <si>
    <t>Vercelli</t>
  </si>
  <si>
    <t>Piemonte</t>
  </si>
  <si>
    <t>3758.</t>
  </si>
  <si>
    <t>ARC MODA S.R.L.</t>
  </si>
  <si>
    <t>02751480423</t>
  </si>
  <si>
    <t>IT02751480423</t>
  </si>
  <si>
    <t>Ancona</t>
  </si>
  <si>
    <t>Marche</t>
  </si>
  <si>
    <t>3759.</t>
  </si>
  <si>
    <t>STEFANAZZI S.R.L.</t>
  </si>
  <si>
    <t>01219950126</t>
  </si>
  <si>
    <t>IT01219950126</t>
  </si>
  <si>
    <t>3760.</t>
  </si>
  <si>
    <t>LEMAR S.R.L.</t>
  </si>
  <si>
    <t>02100160684</t>
  </si>
  <si>
    <t>IT02100160684</t>
  </si>
  <si>
    <t>141929</t>
  </si>
  <si>
    <t>Pescara</t>
  </si>
  <si>
    <t>Abruzzo</t>
  </si>
  <si>
    <t>3761.</t>
  </si>
  <si>
    <t>HERMES S.R.L.</t>
  </si>
  <si>
    <t>00948880505</t>
  </si>
  <si>
    <t>IT00948880505</t>
  </si>
  <si>
    <t>152020</t>
  </si>
  <si>
    <t>Pisa</t>
  </si>
  <si>
    <t>3762.</t>
  </si>
  <si>
    <t>MAX SRL</t>
  </si>
  <si>
    <t>01212840894</t>
  </si>
  <si>
    <t>IT01212840894</t>
  </si>
  <si>
    <t>Siracusa</t>
  </si>
  <si>
    <t>Sicilia</t>
  </si>
  <si>
    <t>3763.</t>
  </si>
  <si>
    <t>OFFICINA CREATIVA - SOC. COOP. SOCIALE</t>
  </si>
  <si>
    <t>03992810758</t>
  </si>
  <si>
    <t>IT03992810758</t>
  </si>
  <si>
    <t>Lecce</t>
  </si>
  <si>
    <t>3764.</t>
  </si>
  <si>
    <t>NEWLAB S.R.L.</t>
  </si>
  <si>
    <t>03767220241</t>
  </si>
  <si>
    <t>IT03767220241</t>
  </si>
  <si>
    <t>Parma</t>
  </si>
  <si>
    <t>3765.</t>
  </si>
  <si>
    <t>AMBRA SOCIETA' A RESPONSABILITA' LIMITATA SEMPLIFICATA</t>
  </si>
  <si>
    <t>04938730753</t>
  </si>
  <si>
    <t>IT04938730753</t>
  </si>
  <si>
    <t>3766.</t>
  </si>
  <si>
    <t>LABEL MARK S.R.L.</t>
  </si>
  <si>
    <t>03897610238</t>
  </si>
  <si>
    <t>IT03897610238</t>
  </si>
  <si>
    <t>3767.</t>
  </si>
  <si>
    <t>DOMENICO FURS S.R.L.</t>
  </si>
  <si>
    <t>05589460483</t>
  </si>
  <si>
    <t>IT05589460483</t>
  </si>
  <si>
    <t>142000</t>
  </si>
  <si>
    <t>3768.</t>
  </si>
  <si>
    <t>IS FASHION S.R.L.</t>
  </si>
  <si>
    <t>08848721216</t>
  </si>
  <si>
    <t>IT08848721216</t>
  </si>
  <si>
    <t>3769.</t>
  </si>
  <si>
    <t>CONCERIA NEW ENTRY S.R.L.</t>
  </si>
  <si>
    <t>02008710507</t>
  </si>
  <si>
    <t>IT02008710507</t>
  </si>
  <si>
    <t>3770.</t>
  </si>
  <si>
    <t>TREMILA S.R.L.</t>
  </si>
  <si>
    <t>02397230232</t>
  </si>
  <si>
    <t>IT02397230232</t>
  </si>
  <si>
    <t>143000</t>
  </si>
  <si>
    <t>3771.</t>
  </si>
  <si>
    <t>VIS INTERNATIONAL S.R.L. SEMPLIFICATA</t>
  </si>
  <si>
    <t>12209520019</t>
  </si>
  <si>
    <t>IT12209520019</t>
  </si>
  <si>
    <t>Torino</t>
  </si>
  <si>
    <t>3772.</t>
  </si>
  <si>
    <t>ICOMAS - S.R.L.</t>
  </si>
  <si>
    <t>00113040414</t>
  </si>
  <si>
    <t>IT00113040414</t>
  </si>
  <si>
    <t>Pesaro e Urbino</t>
  </si>
  <si>
    <t>3773.</t>
  </si>
  <si>
    <t>SUOLIFICIO PRISMA S.R.L.</t>
  </si>
  <si>
    <t>04418430486</t>
  </si>
  <si>
    <t>IT04418430486</t>
  </si>
  <si>
    <t>3774.</t>
  </si>
  <si>
    <t>MADAPRINT ITALIANA SRL</t>
  </si>
  <si>
    <t>03528570165</t>
  </si>
  <si>
    <t>IT03528570165</t>
  </si>
  <si>
    <t>Bergamo</t>
  </si>
  <si>
    <t>3775.</t>
  </si>
  <si>
    <t>MARPELL S.R.L.</t>
  </si>
  <si>
    <t>02598820237</t>
  </si>
  <si>
    <t>IT02598820237</t>
  </si>
  <si>
    <t>3776.</t>
  </si>
  <si>
    <t>CATE S.R.L.</t>
  </si>
  <si>
    <t>02737740411</t>
  </si>
  <si>
    <t>IT02737740411</t>
  </si>
  <si>
    <t>141310</t>
  </si>
  <si>
    <t>Pesaro e Urbino</t>
  </si>
  <si>
    <t>Marche</t>
  </si>
  <si>
    <t>3777.</t>
  </si>
  <si>
    <t>CALZATURIFICIO AURORA S.R.L.</t>
  </si>
  <si>
    <t>01939320444</t>
  </si>
  <si>
    <t>IT01939320444</t>
  </si>
  <si>
    <t>152010</t>
  </si>
  <si>
    <t>Fermo</t>
  </si>
  <si>
    <t>n.d.</t>
  </si>
  <si>
    <t>3778.</t>
  </si>
  <si>
    <t>CRINTEX SRL</t>
  </si>
  <si>
    <t>01721070678</t>
  </si>
  <si>
    <t>IT01721070678</t>
  </si>
  <si>
    <t>151209</t>
  </si>
  <si>
    <t>Teramo</t>
  </si>
  <si>
    <t>Abruzzo</t>
  </si>
  <si>
    <t>3779.</t>
  </si>
  <si>
    <t>CERBERO S.R.L.</t>
  </si>
  <si>
    <t>06750291210</t>
  </si>
  <si>
    <t>IT06750291210</t>
  </si>
  <si>
    <t>Napoli</t>
  </si>
  <si>
    <t>Campania</t>
  </si>
  <si>
    <t>3780.</t>
  </si>
  <si>
    <t>MAGLIERIA MATI'S S.R.L.</t>
  </si>
  <si>
    <t>01261510455</t>
  </si>
  <si>
    <t>IT01261510455</t>
  </si>
  <si>
    <t>143900</t>
  </si>
  <si>
    <t>Massa-Carrara</t>
  </si>
  <si>
    <t>Toscana</t>
  </si>
  <si>
    <t>3781.</t>
  </si>
  <si>
    <t>CASHMEREVILLE S.R.L.</t>
  </si>
  <si>
    <t>02341010359</t>
  </si>
  <si>
    <t>IT02341010359</t>
  </si>
  <si>
    <t>141000</t>
  </si>
  <si>
    <t>Reggio nell'Emilia</t>
  </si>
  <si>
    <t>Emilia-Romagna</t>
  </si>
  <si>
    <t>3782.</t>
  </si>
  <si>
    <t>MARIO PORTOLANO S.R.L.</t>
  </si>
  <si>
    <t>06499010632</t>
  </si>
  <si>
    <t>IT06499010632</t>
  </si>
  <si>
    <t>141910</t>
  </si>
  <si>
    <t>3783.</t>
  </si>
  <si>
    <t>EVOLUTION BELT S.R.L.</t>
  </si>
  <si>
    <t>02703790812</t>
  </si>
  <si>
    <t>IT02703790812</t>
  </si>
  <si>
    <t>Trapani</t>
  </si>
  <si>
    <t>Sicilia</t>
  </si>
  <si>
    <t>3784.</t>
  </si>
  <si>
    <t>STUDIO B+ARS S.R.L.</t>
  </si>
  <si>
    <t>05234950284</t>
  </si>
  <si>
    <t>IT05234950284</t>
  </si>
  <si>
    <t>Padova</t>
  </si>
  <si>
    <t>Veneto</t>
  </si>
  <si>
    <t>3785.</t>
  </si>
  <si>
    <t>SARTORIA ANGELA S.R.L.</t>
  </si>
  <si>
    <t>05011460721</t>
  </si>
  <si>
    <t>IT05011460721</t>
  </si>
  <si>
    <t>141929</t>
  </si>
  <si>
    <t>Bari</t>
  </si>
  <si>
    <t>Puglia</t>
  </si>
  <si>
    <t>3786.</t>
  </si>
  <si>
    <t>GADIS S.R.L.</t>
  </si>
  <si>
    <t>01909720441</t>
  </si>
  <si>
    <t>IT01909720441</t>
  </si>
  <si>
    <t>3787.</t>
  </si>
  <si>
    <t>360 SRL</t>
  </si>
  <si>
    <t>04633110236</t>
  </si>
  <si>
    <t>IT04633110236</t>
  </si>
  <si>
    <t>Verona</t>
  </si>
  <si>
    <t>3788.</t>
  </si>
  <si>
    <t>MAGLIFICIO STEFANIA S.R.L.</t>
  </si>
  <si>
    <t>00365080514</t>
  </si>
  <si>
    <t>IT00365080514</t>
  </si>
  <si>
    <t>Arezzo</t>
  </si>
  <si>
    <t>3789.</t>
  </si>
  <si>
    <t>BARONTINI SOCIETA' A RESPONSABILITA' LIMITATA</t>
  </si>
  <si>
    <t>06548700480</t>
  </si>
  <si>
    <t>IT06548700480</t>
  </si>
  <si>
    <t>Firenze</t>
  </si>
  <si>
    <t>3790.</t>
  </si>
  <si>
    <t>AQUARAMA SPORTSWEAR SOCIETA' A RESPONSABILITA' LIMITATA SEMPLIFICATA</t>
  </si>
  <si>
    <t>03328040542</t>
  </si>
  <si>
    <t>IT03328040542</t>
  </si>
  <si>
    <t>Perugia</t>
  </si>
  <si>
    <t>Umbria</t>
  </si>
  <si>
    <t>3791.</t>
  </si>
  <si>
    <t>BE - PLAST - S.R.L.</t>
  </si>
  <si>
    <t>00689820157</t>
  </si>
  <si>
    <t>IT00689820157</t>
  </si>
  <si>
    <t>Milano</t>
  </si>
  <si>
    <t>Lombardia</t>
  </si>
  <si>
    <t>3792.</t>
  </si>
  <si>
    <t>ALESTRA S.R.L.</t>
  </si>
  <si>
    <t>02130460443</t>
  </si>
  <si>
    <t>IT02130460443</t>
  </si>
  <si>
    <t>3793.</t>
  </si>
  <si>
    <t>CALZATURIFICIO TRE CIME S.R.L.</t>
  </si>
  <si>
    <t>05326410262</t>
  </si>
  <si>
    <t>IT05326410262</t>
  </si>
  <si>
    <t>Treviso</t>
  </si>
  <si>
    <t>3794.</t>
  </si>
  <si>
    <t>JOLIDON ITALIA S.R.L.</t>
  </si>
  <si>
    <t>02609480138</t>
  </si>
  <si>
    <t>IT02609480138</t>
  </si>
  <si>
    <t>Lecco</t>
  </si>
  <si>
    <t>3795.</t>
  </si>
  <si>
    <t>BOTT. ONE S.R.L.</t>
  </si>
  <si>
    <t>01941640672</t>
  </si>
  <si>
    <t>IT01941640672</t>
  </si>
  <si>
    <t>3796.</t>
  </si>
  <si>
    <t>O.D.M. ORGANIZZAZIONE DIFFUSIONE MODA S.R.L.</t>
  </si>
  <si>
    <t>00716390166</t>
  </si>
  <si>
    <t>IT00716390166</t>
  </si>
  <si>
    <t>Bergamo</t>
  </si>
  <si>
    <t>3797.</t>
  </si>
  <si>
    <t>MODA &amp; SERVIZI SRL</t>
  </si>
  <si>
    <t>04065030266</t>
  </si>
  <si>
    <t>IT04065030266</t>
  </si>
  <si>
    <t>3798.</t>
  </si>
  <si>
    <t>MA. REA S.R.L.</t>
  </si>
  <si>
    <t>01435951007</t>
  </si>
  <si>
    <t>05710200584</t>
  </si>
  <si>
    <t>IT05710200584</t>
  </si>
  <si>
    <t>141320</t>
  </si>
  <si>
    <t>Roma</t>
  </si>
  <si>
    <t>Lazio</t>
  </si>
  <si>
    <t>3799.</t>
  </si>
  <si>
    <t>IL SANDALO S.R.L.</t>
  </si>
  <si>
    <t>08482401216</t>
  </si>
  <si>
    <t>IT08482401216</t>
  </si>
  <si>
    <t>3800.</t>
  </si>
  <si>
    <t>THEMA - S.R.L.</t>
  </si>
  <si>
    <t>01245660137</t>
  </si>
  <si>
    <t>IT01245660137</t>
  </si>
  <si>
    <t>Como</t>
  </si>
  <si>
    <t>3801.</t>
  </si>
  <si>
    <t>CALZIFICIO BAGNATO S.R.L.</t>
  </si>
  <si>
    <t>03591510759</t>
  </si>
  <si>
    <t>IT03591510759</t>
  </si>
  <si>
    <t>143100</t>
  </si>
  <si>
    <t>Lecce</t>
  </si>
  <si>
    <t>3802.</t>
  </si>
  <si>
    <t>M.A.C. ITALIA SOCIETA' COOPERATIVA A R.L.</t>
  </si>
  <si>
    <t>04476490612</t>
  </si>
  <si>
    <t>IT04476490612</t>
  </si>
  <si>
    <t>151100</t>
  </si>
  <si>
    <t>Caserta</t>
  </si>
  <si>
    <t>3803.</t>
  </si>
  <si>
    <t>C.V.Z. STYLISH INNOVATION S.R.L.</t>
  </si>
  <si>
    <t>03655370546</t>
  </si>
  <si>
    <t>IT03655370546</t>
  </si>
  <si>
    <t>3804.</t>
  </si>
  <si>
    <t>MANIFATTURA TESSILE SALENTINA SOCIETA' COOPERATIVA</t>
  </si>
  <si>
    <t>04594600753</t>
  </si>
  <si>
    <t>IT04594600753</t>
  </si>
  <si>
    <t>3805.</t>
  </si>
  <si>
    <t>BLU DAY FASHION LADY LINO DEFLORIO SOCIETA' A RESPONSABILITA' LIM ITATA IN SIGLA BLU DAY FASHION LADY LINO DEFLORIO S.R.L.</t>
  </si>
  <si>
    <t>08223750723</t>
  </si>
  <si>
    <t>IT08223750723</t>
  </si>
  <si>
    <t>3806.</t>
  </si>
  <si>
    <t>LAETITIA SRL</t>
  </si>
  <si>
    <t>01978990438</t>
  </si>
  <si>
    <t>IT01978990438</t>
  </si>
  <si>
    <t>Macerata</t>
  </si>
  <si>
    <t>3807.</t>
  </si>
  <si>
    <t>GI.PA S.R.L.</t>
  </si>
  <si>
    <t>06770130638</t>
  </si>
  <si>
    <t>IT06770130638</t>
  </si>
  <si>
    <t>3808.</t>
  </si>
  <si>
    <t>LO SPAVENTAPASSERI SRL</t>
  </si>
  <si>
    <t>03821090101</t>
  </si>
  <si>
    <t>IT03821090101</t>
  </si>
  <si>
    <t>141000</t>
  </si>
  <si>
    <t>Genova</t>
  </si>
  <si>
    <t>Liguria</t>
  </si>
  <si>
    <t>3809.</t>
  </si>
  <si>
    <t>LEAMO SRL</t>
  </si>
  <si>
    <t>01994920435</t>
  </si>
  <si>
    <t>IT01994920435</t>
  </si>
  <si>
    <t>152010</t>
  </si>
  <si>
    <t>Fermo</t>
  </si>
  <si>
    <t>Marche</t>
  </si>
  <si>
    <t>3810.</t>
  </si>
  <si>
    <t>PELLEROSSA S.R.L.</t>
  </si>
  <si>
    <t>03761850365</t>
  </si>
  <si>
    <t>IT03761850365</t>
  </si>
  <si>
    <t>152020</t>
  </si>
  <si>
    <t>Modena</t>
  </si>
  <si>
    <t>Emilia-Romagna</t>
  </si>
  <si>
    <t>n.d.</t>
  </si>
  <si>
    <t>3811.</t>
  </si>
  <si>
    <t>CREAZIONI ETHEL S.R.L.</t>
  </si>
  <si>
    <t>04123170245</t>
  </si>
  <si>
    <t>IT04123170245</t>
  </si>
  <si>
    <t>141400</t>
  </si>
  <si>
    <t>Vicenza</t>
  </si>
  <si>
    <t>Veneto</t>
  </si>
  <si>
    <t>3812.</t>
  </si>
  <si>
    <t>REAL GROUP S.R.L.</t>
  </si>
  <si>
    <t>08014260726</t>
  </si>
  <si>
    <t>IT08014260726</t>
  </si>
  <si>
    <t>141310</t>
  </si>
  <si>
    <t>Barletta-Andria-Trani</t>
  </si>
  <si>
    <t>Puglia</t>
  </si>
  <si>
    <t>3813.</t>
  </si>
  <si>
    <t>A. BESSI SOCIETA' A RESPONSABILITA' LIMITATA - SOCIETA' UNIPERSON ALE</t>
  </si>
  <si>
    <t>06877550480</t>
  </si>
  <si>
    <t>IT06877550480</t>
  </si>
  <si>
    <t>Firenze</t>
  </si>
  <si>
    <t>Toscana</t>
  </si>
  <si>
    <t>3814.</t>
  </si>
  <si>
    <t>SPALLINIFICIO S. ANSANO S.R.L.</t>
  </si>
  <si>
    <t>03986180481</t>
  </si>
  <si>
    <t>IT03986180481</t>
  </si>
  <si>
    <t>141910</t>
  </si>
  <si>
    <t>3815.</t>
  </si>
  <si>
    <t>C T B S.R.L.</t>
  </si>
  <si>
    <t>04715941219</t>
  </si>
  <si>
    <t>IT04715941219</t>
  </si>
  <si>
    <t>Napoli</t>
  </si>
  <si>
    <t>Campania</t>
  </si>
  <si>
    <t>3816.</t>
  </si>
  <si>
    <t>FLIPS S.R.L.</t>
  </si>
  <si>
    <t>03258691207</t>
  </si>
  <si>
    <t>IT03258691207</t>
  </si>
  <si>
    <t>141100</t>
  </si>
  <si>
    <t>Bologna</t>
  </si>
  <si>
    <t>3817.</t>
  </si>
  <si>
    <t>PRONTO SPORT S.R.L.</t>
  </si>
  <si>
    <t>07892970158</t>
  </si>
  <si>
    <t>IT07892970158</t>
  </si>
  <si>
    <t>151209</t>
  </si>
  <si>
    <t>Milano</t>
  </si>
  <si>
    <t>Lombardia</t>
  </si>
  <si>
    <t>3818.</t>
  </si>
  <si>
    <t>COCCIA &amp; CO S.R.L.</t>
  </si>
  <si>
    <t>01504650431</t>
  </si>
  <si>
    <t>IT01504650431</t>
  </si>
  <si>
    <t>Macerata</t>
  </si>
  <si>
    <t>3819.</t>
  </si>
  <si>
    <t>EUROSAB S.R.L.</t>
  </si>
  <si>
    <t>03578880282</t>
  </si>
  <si>
    <t>IT03578880282</t>
  </si>
  <si>
    <t>152000</t>
  </si>
  <si>
    <t>Padova</t>
  </si>
  <si>
    <t>3820.</t>
  </si>
  <si>
    <t>MANIFATTURA BATTAGLIA S.R.L.</t>
  </si>
  <si>
    <t>06489800729</t>
  </si>
  <si>
    <t>IT06489800729</t>
  </si>
  <si>
    <t>3821.</t>
  </si>
  <si>
    <t>SADI VESTIARIO SRL</t>
  </si>
  <si>
    <t>01914270036</t>
  </si>
  <si>
    <t>IT01914270036</t>
  </si>
  <si>
    <t>141200</t>
  </si>
  <si>
    <t>Novara</t>
  </si>
  <si>
    <t>Piemonte</t>
  </si>
  <si>
    <t>3822.</t>
  </si>
  <si>
    <t>BRICKMAN S.R.L.</t>
  </si>
  <si>
    <t>05305610288</t>
  </si>
  <si>
    <t>IT05305610288</t>
  </si>
  <si>
    <t>3823.</t>
  </si>
  <si>
    <t>TERRAFERMA S.R.L.</t>
  </si>
  <si>
    <t>02950990248</t>
  </si>
  <si>
    <t>IT02950990248</t>
  </si>
  <si>
    <t>3824.</t>
  </si>
  <si>
    <t>BLUEFORM S.R.L.</t>
  </si>
  <si>
    <t>04223940166</t>
  </si>
  <si>
    <t>IT04223940166</t>
  </si>
  <si>
    <t>Bergamo</t>
  </si>
  <si>
    <t>3825.</t>
  </si>
  <si>
    <t>MAGLIERIE EFFEGI SRL</t>
  </si>
  <si>
    <t>03989340132</t>
  </si>
  <si>
    <t>IT03989340132</t>
  </si>
  <si>
    <t>143900</t>
  </si>
  <si>
    <t>Lecco</t>
  </si>
  <si>
    <t>3826.</t>
  </si>
  <si>
    <t>CALZATURIFICIO S.G. SRL</t>
  </si>
  <si>
    <t>01181290444</t>
  </si>
  <si>
    <t>IT01181290444</t>
  </si>
  <si>
    <t>3827.</t>
  </si>
  <si>
    <t>SOLETTIFICIO EMME3 SRL</t>
  </si>
  <si>
    <t>01110160437</t>
  </si>
  <si>
    <t>IT01110160437</t>
  </si>
  <si>
    <t>3828.</t>
  </si>
  <si>
    <t>LINEA MARE BLU SRL</t>
  </si>
  <si>
    <t>02333920409</t>
  </si>
  <si>
    <t>IT02333920409</t>
  </si>
  <si>
    <t>141929</t>
  </si>
  <si>
    <t>Rimini</t>
  </si>
  <si>
    <t>3829.</t>
  </si>
  <si>
    <t>D'SOCKA SOCIETA' COOPERATIVA</t>
  </si>
  <si>
    <t>01027500071</t>
  </si>
  <si>
    <t>IT01027500071</t>
  </si>
  <si>
    <t>Valle d'Aosta/Vallée d'Aoste</t>
  </si>
  <si>
    <t>3830.</t>
  </si>
  <si>
    <t>ARSENALE 5 S.R.L.</t>
  </si>
  <si>
    <t>04270080262</t>
  </si>
  <si>
    <t>IT04270080262</t>
  </si>
  <si>
    <t>Treviso</t>
  </si>
  <si>
    <t>3831.</t>
  </si>
  <si>
    <t>QUARTA CAMICIE S.R.L.</t>
  </si>
  <si>
    <t>04743800759</t>
  </si>
  <si>
    <t>IT04743800759</t>
  </si>
  <si>
    <t>Lecce</t>
  </si>
  <si>
    <t>3832.</t>
  </si>
  <si>
    <t>B.F.B. S.R.L.</t>
  </si>
  <si>
    <t>00567190988</t>
  </si>
  <si>
    <t>00497820175</t>
  </si>
  <si>
    <t>IT00497820175</t>
  </si>
  <si>
    <t>Brescia</t>
  </si>
  <si>
    <t>3833.</t>
  </si>
  <si>
    <t>PASINI PIER MAURIZIO S.R.L.</t>
  </si>
  <si>
    <t>02223360062</t>
  </si>
  <si>
    <t>IT02223360062</t>
  </si>
  <si>
    <t>Alessandria</t>
  </si>
  <si>
    <t>3834.</t>
  </si>
  <si>
    <t>DE CARLI'S SRL</t>
  </si>
  <si>
    <t>14665991007</t>
  </si>
  <si>
    <t>IT14665991007</t>
  </si>
  <si>
    <t>142000</t>
  </si>
  <si>
    <t>Roma</t>
  </si>
  <si>
    <t>Lazio</t>
  </si>
  <si>
    <t>3835.</t>
  </si>
  <si>
    <t>INTIMATTI S.R.L.</t>
  </si>
  <si>
    <t>02715980138</t>
  </si>
  <si>
    <t>IT02715980138</t>
  </si>
  <si>
    <t>143100</t>
  </si>
  <si>
    <t>Como</t>
  </si>
  <si>
    <t>3836.</t>
  </si>
  <si>
    <t>DEA FASHION S.R.L.</t>
  </si>
  <si>
    <t>01925200683</t>
  </si>
  <si>
    <t>IT01925200683</t>
  </si>
  <si>
    <t>Pescara</t>
  </si>
  <si>
    <t>Abruzzo</t>
  </si>
  <si>
    <t>3837.</t>
  </si>
  <si>
    <t>PRESSO PELL SRL</t>
  </si>
  <si>
    <t>01752300242</t>
  </si>
  <si>
    <t>IT01752300242</t>
  </si>
  <si>
    <t>151100</t>
  </si>
  <si>
    <t>3838.</t>
  </si>
  <si>
    <t>SPOSA SERENA S.R.L.</t>
  </si>
  <si>
    <t>07315230727</t>
  </si>
  <si>
    <t>IT07315230727</t>
  </si>
  <si>
    <t>Bari</t>
  </si>
  <si>
    <t>3839.</t>
  </si>
  <si>
    <t>WRAD S.R.L. SOCIETA' BENEFIT</t>
  </si>
  <si>
    <t>04058400245</t>
  </si>
  <si>
    <t>IT04058400245</t>
  </si>
  <si>
    <t>3840.</t>
  </si>
  <si>
    <t>QUEEN FASHION SOCIETA' A RESPONSABILITA' LIMITATA SEMPLIFICATA</t>
  </si>
  <si>
    <t>03048590644</t>
  </si>
  <si>
    <t>IT03048590644</t>
  </si>
  <si>
    <t>141320</t>
  </si>
  <si>
    <t>Avellino</t>
  </si>
  <si>
    <t>Campania</t>
  </si>
  <si>
    <t>n.d.</t>
  </si>
  <si>
    <t>3841.</t>
  </si>
  <si>
    <t>SOLMODA S.R.L.</t>
  </si>
  <si>
    <t>01412230037</t>
  </si>
  <si>
    <t>IT01412230037</t>
  </si>
  <si>
    <t>152010</t>
  </si>
  <si>
    <t>Novara</t>
  </si>
  <si>
    <t>Piemonte</t>
  </si>
  <si>
    <t>3842.</t>
  </si>
  <si>
    <t>ALEX S.R.L.</t>
  </si>
  <si>
    <t>03496410485</t>
  </si>
  <si>
    <t>IT03496410485</t>
  </si>
  <si>
    <t>141910</t>
  </si>
  <si>
    <t>Firenze</t>
  </si>
  <si>
    <t>Toscana</t>
  </si>
  <si>
    <t>3843.</t>
  </si>
  <si>
    <t>DOLY'S CONFEZIONI SOCIETA' COOPERATIVA A R.L.</t>
  </si>
  <si>
    <t>01856620545</t>
  </si>
  <si>
    <t>IT01856620545</t>
  </si>
  <si>
    <t>141310</t>
  </si>
  <si>
    <t>Perugia</t>
  </si>
  <si>
    <t>Umbria</t>
  </si>
  <si>
    <t>3844.</t>
  </si>
  <si>
    <t>EGEMONIA S.R.L.</t>
  </si>
  <si>
    <t>02941020246</t>
  </si>
  <si>
    <t>IT02941020246</t>
  </si>
  <si>
    <t>Vicenza</t>
  </si>
  <si>
    <t>Veneto</t>
  </si>
  <si>
    <t>3845.</t>
  </si>
  <si>
    <t>TOSCA S.R.L.</t>
  </si>
  <si>
    <t>04299010373</t>
  </si>
  <si>
    <t>IT04299010373</t>
  </si>
  <si>
    <t>Bologna</t>
  </si>
  <si>
    <t>Emilia-Romagna</t>
  </si>
  <si>
    <t>3846.</t>
  </si>
  <si>
    <t>M.A.G.A. - S.R.L.</t>
  </si>
  <si>
    <t>02136540248</t>
  </si>
  <si>
    <t>IT02136540248</t>
  </si>
  <si>
    <t>151100</t>
  </si>
  <si>
    <t>3847.</t>
  </si>
  <si>
    <t>PROCALZ S.R.L.</t>
  </si>
  <si>
    <t>08113230729</t>
  </si>
  <si>
    <t>IT08113230729</t>
  </si>
  <si>
    <t>Barletta-Andria-Trani</t>
  </si>
  <si>
    <t>Puglia</t>
  </si>
  <si>
    <t>3848.</t>
  </si>
  <si>
    <t>LA ROSA IMOLA S.R.L.</t>
  </si>
  <si>
    <t>03401581206</t>
  </si>
  <si>
    <t>IT03401581206</t>
  </si>
  <si>
    <t>143900</t>
  </si>
  <si>
    <t>3849.</t>
  </si>
  <si>
    <t>CIVICO9 SOCIETA' BENEFIT A RESPONSABILITA' LIMITATA</t>
  </si>
  <si>
    <t>05059490283</t>
  </si>
  <si>
    <t>IT05059490283</t>
  </si>
  <si>
    <t>141400</t>
  </si>
  <si>
    <t>Padova</t>
  </si>
  <si>
    <t>3850.</t>
  </si>
  <si>
    <t>CITTIS S.R.L.</t>
  </si>
  <si>
    <t>02213260447</t>
  </si>
  <si>
    <t>IT02213260447</t>
  </si>
  <si>
    <t>152020</t>
  </si>
  <si>
    <t>Fermo</t>
  </si>
  <si>
    <t>Marche</t>
  </si>
  <si>
    <t>3851.</t>
  </si>
  <si>
    <t>DR MAGLIERIA S.R.L.</t>
  </si>
  <si>
    <t>03190450548</t>
  </si>
  <si>
    <t>IT03190450548</t>
  </si>
  <si>
    <t>3852.</t>
  </si>
  <si>
    <t>PELLETTERIE RAFFA S.R.L.</t>
  </si>
  <si>
    <t>02361450469</t>
  </si>
  <si>
    <t>IT02361450469</t>
  </si>
  <si>
    <t>151209</t>
  </si>
  <si>
    <t>Lucca</t>
  </si>
  <si>
    <t>3853.</t>
  </si>
  <si>
    <t>FYSHE ITALY S.R.L.</t>
  </si>
  <si>
    <t>04862370261</t>
  </si>
  <si>
    <t>IT04862370261</t>
  </si>
  <si>
    <t>141929</t>
  </si>
  <si>
    <t>Treviso</t>
  </si>
  <si>
    <t>3854.</t>
  </si>
  <si>
    <t>CALZATURIFICIO GIORGIO IACHINI S.R.L.S.</t>
  </si>
  <si>
    <t>02293200446</t>
  </si>
  <si>
    <t>IT02293200446</t>
  </si>
  <si>
    <t>3855.</t>
  </si>
  <si>
    <t>MARTINA B S.R.L.</t>
  </si>
  <si>
    <t>07788320724</t>
  </si>
  <si>
    <t>IT07788320724</t>
  </si>
  <si>
    <t>Bari</t>
  </si>
  <si>
    <t>3856.</t>
  </si>
  <si>
    <t>ARENA LAB SOCIETA' A RESPONSABILITA' LIMITATA</t>
  </si>
  <si>
    <t>02770050645</t>
  </si>
  <si>
    <t>IT02770050645</t>
  </si>
  <si>
    <t>3857.</t>
  </si>
  <si>
    <t>SARTORIA SPORTIVA S.R.L.</t>
  </si>
  <si>
    <t>04610170260</t>
  </si>
  <si>
    <t>IT04610170260</t>
  </si>
  <si>
    <t>3858.</t>
  </si>
  <si>
    <t>FASHION FOUR S.R.L. SEMPLIFICATA</t>
  </si>
  <si>
    <t>02352890970</t>
  </si>
  <si>
    <t>IT02352890970</t>
  </si>
  <si>
    <t>Prato</t>
  </si>
  <si>
    <t>3859.</t>
  </si>
  <si>
    <t>4MODY SOCIETA' A RESPONSABILITA' LIMITATA SEMPLIFICATA</t>
  </si>
  <si>
    <t>14264901001</t>
  </si>
  <si>
    <t>IT14264901001</t>
  </si>
  <si>
    <t>Roma</t>
  </si>
  <si>
    <t>Lazio</t>
  </si>
  <si>
    <t>3860.</t>
  </si>
  <si>
    <t>DETEXO S.R.L.</t>
  </si>
  <si>
    <t>03331230288</t>
  </si>
  <si>
    <t>IT03331230288</t>
  </si>
  <si>
    <t>3861.</t>
  </si>
  <si>
    <t>EMMEGI S.R.L.</t>
  </si>
  <si>
    <t>04897900280</t>
  </si>
  <si>
    <t>IT04897900280</t>
  </si>
  <si>
    <t>Milano</t>
  </si>
  <si>
    <t>Lombardia</t>
  </si>
  <si>
    <t>3862.</t>
  </si>
  <si>
    <t>GALLURIAN S.R.L.</t>
  </si>
  <si>
    <t>10168520962</t>
  </si>
  <si>
    <t>IT10168520962</t>
  </si>
  <si>
    <t>3863.</t>
  </si>
  <si>
    <t>BERRETTIFICIO LUCKY HAT S.R.L.</t>
  </si>
  <si>
    <t>09052191211</t>
  </si>
  <si>
    <t>IT09052191211</t>
  </si>
  <si>
    <t>Napoli</t>
  </si>
  <si>
    <t>3864.</t>
  </si>
  <si>
    <t>CLAS S.R.L.</t>
  </si>
  <si>
    <t>02973130541</t>
  </si>
  <si>
    <t>IT02973130541</t>
  </si>
  <si>
    <t>141000</t>
  </si>
  <si>
    <t>3865.</t>
  </si>
  <si>
    <t>MED FONDI S.R.L.</t>
  </si>
  <si>
    <t>02021080433</t>
  </si>
  <si>
    <t>IT02021080433</t>
  </si>
  <si>
    <t>Macerata</t>
  </si>
  <si>
    <t>3866.</t>
  </si>
  <si>
    <t>IL VALICO S.R.L.</t>
  </si>
  <si>
    <t>04056510482</t>
  </si>
  <si>
    <t>IT04056510482</t>
  </si>
  <si>
    <t>Pisa</t>
  </si>
  <si>
    <t>3867.</t>
  </si>
  <si>
    <t>MI.CA. LEATHER S.R.L.</t>
  </si>
  <si>
    <t>02673200644</t>
  </si>
  <si>
    <t>IT02673200644</t>
  </si>
  <si>
    <t>3868.</t>
  </si>
  <si>
    <t>NATALY SOCIETA' A RESPONSABILITA' LIMITATA SEMPLIFICATA</t>
  </si>
  <si>
    <t>04342900612</t>
  </si>
  <si>
    <t>IT04342900612</t>
  </si>
  <si>
    <t>Caserta</t>
  </si>
  <si>
    <t>3869.</t>
  </si>
  <si>
    <t>VALDAM S.R.L.</t>
  </si>
  <si>
    <t>02203690645</t>
  </si>
  <si>
    <t>IT02203690645</t>
  </si>
  <si>
    <t>3870.</t>
  </si>
  <si>
    <t>CREATIONS LARUSSE SRL</t>
  </si>
  <si>
    <t>01697810024</t>
  </si>
  <si>
    <t>IT01697810024</t>
  </si>
  <si>
    <t>Biella</t>
  </si>
  <si>
    <t>3871.</t>
  </si>
  <si>
    <t>CRAVATTIFICIO FIORELLO S.R.L.</t>
  </si>
  <si>
    <t>01109360865</t>
  </si>
  <si>
    <t>IT01109360865</t>
  </si>
  <si>
    <t>Enna</t>
  </si>
  <si>
    <t>Sicilia</t>
  </si>
  <si>
    <t>3872.</t>
  </si>
  <si>
    <t>3B S.R.L.</t>
  </si>
  <si>
    <t>02618410548</t>
  </si>
  <si>
    <t>IT02618410548</t>
  </si>
  <si>
    <t>151200</t>
  </si>
  <si>
    <t>Perugia</t>
  </si>
  <si>
    <t>Umbria</t>
  </si>
  <si>
    <t>3873.</t>
  </si>
  <si>
    <t>REINHARD PLANK S.R.L.</t>
  </si>
  <si>
    <t>02787140215</t>
  </si>
  <si>
    <t>IT02787140215</t>
  </si>
  <si>
    <t>141910</t>
  </si>
  <si>
    <t>Bolzano/Bozen</t>
  </si>
  <si>
    <t>Trentino-Alto Adige/Südtirol</t>
  </si>
  <si>
    <t>3874.</t>
  </si>
  <si>
    <t>WDC INTERNATIONAL S.R.L.</t>
  </si>
  <si>
    <t>04638520272</t>
  </si>
  <si>
    <t>IT04638520272</t>
  </si>
  <si>
    <t>141000</t>
  </si>
  <si>
    <t>Milano</t>
  </si>
  <si>
    <t>Lombardia</t>
  </si>
  <si>
    <t>n.d.</t>
  </si>
  <si>
    <t>3875.</t>
  </si>
  <si>
    <t>PROVOCATION S.R.L.</t>
  </si>
  <si>
    <t>06903610969</t>
  </si>
  <si>
    <t>IT06903610969</t>
  </si>
  <si>
    <t>3876.</t>
  </si>
  <si>
    <t>FUSION LAB S.R.L.</t>
  </si>
  <si>
    <t>03218571200</t>
  </si>
  <si>
    <t>IT03218571200</t>
  </si>
  <si>
    <t>Bologna</t>
  </si>
  <si>
    <t>Emilia-Romagna</t>
  </si>
  <si>
    <t>3877.</t>
  </si>
  <si>
    <t>PEPITO'S S.R.L.</t>
  </si>
  <si>
    <t>05441980652</t>
  </si>
  <si>
    <t>IT05441980652</t>
  </si>
  <si>
    <t>Salerno</t>
  </si>
  <si>
    <t>Campania</t>
  </si>
  <si>
    <t>3878.</t>
  </si>
  <si>
    <t>LAINO INDUSTRY S.R.L.</t>
  </si>
  <si>
    <t>05776621210</t>
  </si>
  <si>
    <t>IT05776621210</t>
  </si>
  <si>
    <t>151209</t>
  </si>
  <si>
    <t>Napoli</t>
  </si>
  <si>
    <t>3879.</t>
  </si>
  <si>
    <t>FAMAC - S.R.L.</t>
  </si>
  <si>
    <t>01958740241</t>
  </si>
  <si>
    <t>IT01958740241</t>
  </si>
  <si>
    <t>151100</t>
  </si>
  <si>
    <t>Vicenza</t>
  </si>
  <si>
    <t>Veneto</t>
  </si>
  <si>
    <t>3880.</t>
  </si>
  <si>
    <t>BRIDE S.R.L.</t>
  </si>
  <si>
    <t>06025400729</t>
  </si>
  <si>
    <t>IT06025400729</t>
  </si>
  <si>
    <t>141310</t>
  </si>
  <si>
    <t>Bari</t>
  </si>
  <si>
    <t>Puglia</t>
  </si>
  <si>
    <t>3881.</t>
  </si>
  <si>
    <t>DEMA S.R.L.</t>
  </si>
  <si>
    <t>09079380961</t>
  </si>
  <si>
    <t>IT09079380961</t>
  </si>
  <si>
    <t>141929</t>
  </si>
  <si>
    <t>Monza e della Brianza</t>
  </si>
  <si>
    <t>3882.</t>
  </si>
  <si>
    <t>XANTHIA S.R.L.</t>
  </si>
  <si>
    <t>00759340672</t>
  </si>
  <si>
    <t>IT00759340672</t>
  </si>
  <si>
    <t>Teramo</t>
  </si>
  <si>
    <t>Abruzzo</t>
  </si>
  <si>
    <t>3883.</t>
  </si>
  <si>
    <t>TRAME NATURALI SRL</t>
  </si>
  <si>
    <t>03777110986</t>
  </si>
  <si>
    <t>IT03777110986</t>
  </si>
  <si>
    <t>143100</t>
  </si>
  <si>
    <t>Brescia</t>
  </si>
  <si>
    <t>3884.</t>
  </si>
  <si>
    <t>RAGUSO FRANCO S.R.L.</t>
  </si>
  <si>
    <t>02423220736</t>
  </si>
  <si>
    <t>IT02423220736</t>
  </si>
  <si>
    <t>Taranto</t>
  </si>
  <si>
    <t>3885.</t>
  </si>
  <si>
    <t>CINZIA S.R.L.</t>
  </si>
  <si>
    <t>02209390448</t>
  </si>
  <si>
    <t>IT02209390448</t>
  </si>
  <si>
    <t>152020</t>
  </si>
  <si>
    <t>Fermo</t>
  </si>
  <si>
    <t>Marche</t>
  </si>
  <si>
    <t>3886.</t>
  </si>
  <si>
    <t>AUDAX SPORTSWEAR SRL</t>
  </si>
  <si>
    <t>04356510166</t>
  </si>
  <si>
    <t>IT04356510166</t>
  </si>
  <si>
    <t>Bergamo</t>
  </si>
  <si>
    <t>3887.</t>
  </si>
  <si>
    <t>ID SRLS</t>
  </si>
  <si>
    <t>07072680486</t>
  </si>
  <si>
    <t>IT07072680486</t>
  </si>
  <si>
    <t>Firenze</t>
  </si>
  <si>
    <t>Toscana</t>
  </si>
  <si>
    <t>3888.</t>
  </si>
  <si>
    <t>VIAN S.R.L.</t>
  </si>
  <si>
    <t>02193910367</t>
  </si>
  <si>
    <t>IT02193910367</t>
  </si>
  <si>
    <t>143900</t>
  </si>
  <si>
    <t>Modena</t>
  </si>
  <si>
    <t>3889.</t>
  </si>
  <si>
    <t>ELLE EFFE S.R.L.</t>
  </si>
  <si>
    <t>05315740489</t>
  </si>
  <si>
    <t>IT05315740489</t>
  </si>
  <si>
    <t>3890.</t>
  </si>
  <si>
    <t>PELLETTERIA APPALOOSA S.R.L.</t>
  </si>
  <si>
    <t>04866890488</t>
  </si>
  <si>
    <t>IT04866890488</t>
  </si>
  <si>
    <t>3891.</t>
  </si>
  <si>
    <t>F.P. FRATELLI PARENTI PELLETTERIE S.R.L.</t>
  </si>
  <si>
    <t>06107350487</t>
  </si>
  <si>
    <t>IT06107350487</t>
  </si>
  <si>
    <t>3892.</t>
  </si>
  <si>
    <t>FEDELIS S.R.L.</t>
  </si>
  <si>
    <t>01594990507</t>
  </si>
  <si>
    <t>IT01594990507</t>
  </si>
  <si>
    <t>152010</t>
  </si>
  <si>
    <t>Pisa</t>
  </si>
  <si>
    <t>3893.</t>
  </si>
  <si>
    <t>ZERO11 S.R.L.</t>
  </si>
  <si>
    <t>10629840017</t>
  </si>
  <si>
    <t>IT10629840017</t>
  </si>
  <si>
    <t>Biella</t>
  </si>
  <si>
    <t>Piemonte</t>
  </si>
  <si>
    <t>3894.</t>
  </si>
  <si>
    <t>PELLETTERIA VG S.R.L.</t>
  </si>
  <si>
    <t>03829800162</t>
  </si>
  <si>
    <t>IT03829800162</t>
  </si>
  <si>
    <t>3895.</t>
  </si>
  <si>
    <t>ATELIER ARENA S.R.L. UNIPERSONALE</t>
  </si>
  <si>
    <t>06594540822</t>
  </si>
  <si>
    <t>IT06594540822</t>
  </si>
  <si>
    <t>141320</t>
  </si>
  <si>
    <t>Palermo</t>
  </si>
  <si>
    <t>Sicilia</t>
  </si>
  <si>
    <t>3896.</t>
  </si>
  <si>
    <t>LA COUVERTURE 444 S.R.L.</t>
  </si>
  <si>
    <t>07024720489</t>
  </si>
  <si>
    <t>IT07024720489</t>
  </si>
  <si>
    <t>3897.</t>
  </si>
  <si>
    <t>CONCERIA OLIVIERI DANILO S.R.L.</t>
  </si>
  <si>
    <t>03879360240</t>
  </si>
  <si>
    <t>IT03879360240</t>
  </si>
  <si>
    <t>3898.</t>
  </si>
  <si>
    <t>GISA S.R.L.</t>
  </si>
  <si>
    <t>01754100434</t>
  </si>
  <si>
    <t>IT01754100434</t>
  </si>
  <si>
    <t>Macerata</t>
  </si>
  <si>
    <t>3899.</t>
  </si>
  <si>
    <t>KATIA SERAFINI S.R.L.</t>
  </si>
  <si>
    <t>01445670555</t>
  </si>
  <si>
    <t>IT01445670555</t>
  </si>
  <si>
    <t>Terni</t>
  </si>
  <si>
    <t>3900.</t>
  </si>
  <si>
    <t>PANAPROMO S.R.L.S.</t>
  </si>
  <si>
    <t>02281510509</t>
  </si>
  <si>
    <t>IT02281510509</t>
  </si>
  <si>
    <t>141200</t>
  </si>
  <si>
    <t>3901.</t>
  </si>
  <si>
    <t>T EMME 2 S.R.L.</t>
  </si>
  <si>
    <t>02963950270</t>
  </si>
  <si>
    <t>IT02963950270</t>
  </si>
  <si>
    <t>Venezia</t>
  </si>
  <si>
    <t>3902.</t>
  </si>
  <si>
    <t>DIEFFEPEL SOCIETA' A RESPONSABILITA' LIMITATA SEMPLIFICATA</t>
  </si>
  <si>
    <t>06838920483</t>
  </si>
  <si>
    <t>IT06838920483</t>
  </si>
  <si>
    <t>141100</t>
  </si>
  <si>
    <t>3903.</t>
  </si>
  <si>
    <t>PELLETTERIE MANNA S.R.L.S. UNIPERSONALE</t>
  </si>
  <si>
    <t>02882910645</t>
  </si>
  <si>
    <t>IT02882910645</t>
  </si>
  <si>
    <t>Avellino</t>
  </si>
  <si>
    <t>3904.</t>
  </si>
  <si>
    <t>LUANA SHOES S.R.L.</t>
  </si>
  <si>
    <t>02314340460</t>
  </si>
  <si>
    <t>IT02314340460</t>
  </si>
  <si>
    <t>152010</t>
  </si>
  <si>
    <t>Lucca</t>
  </si>
  <si>
    <t>Toscana</t>
  </si>
  <si>
    <t>n.d.</t>
  </si>
  <si>
    <t>3905.</t>
  </si>
  <si>
    <t>O.T.M. SRL</t>
  </si>
  <si>
    <t>05892130013</t>
  </si>
  <si>
    <t>IT05892130013</t>
  </si>
  <si>
    <t>151209</t>
  </si>
  <si>
    <t>Torino</t>
  </si>
  <si>
    <t>Piemonte</t>
  </si>
  <si>
    <t>3906.</t>
  </si>
  <si>
    <t>DELMAR 2000 SRL</t>
  </si>
  <si>
    <t>07644351004</t>
  </si>
  <si>
    <t>IT07644351004</t>
  </si>
  <si>
    <t>Roma</t>
  </si>
  <si>
    <t>Lazio</t>
  </si>
  <si>
    <t>3907.</t>
  </si>
  <si>
    <t>ORDITO S.R.L.</t>
  </si>
  <si>
    <t>08108161210</t>
  </si>
  <si>
    <t>IT08108161210</t>
  </si>
  <si>
    <t>141400</t>
  </si>
  <si>
    <t>Napoli</t>
  </si>
  <si>
    <t>Campania</t>
  </si>
  <si>
    <t>3908.</t>
  </si>
  <si>
    <t>LADYSTILE S.R.L.</t>
  </si>
  <si>
    <t>00484500244</t>
  </si>
  <si>
    <t>IT00484500244</t>
  </si>
  <si>
    <t>143900</t>
  </si>
  <si>
    <t>Vicenza</t>
  </si>
  <si>
    <t>Veneto</t>
  </si>
  <si>
    <t>3909.</t>
  </si>
  <si>
    <t>COMPAGNIA ACCESSORI MODA S.R.L. SIGLABILE ANCHE C.A.M. S.R.L.</t>
  </si>
  <si>
    <t>05066240481</t>
  </si>
  <si>
    <t>IT05066240481</t>
  </si>
  <si>
    <t>141910</t>
  </si>
  <si>
    <t>Firenze</t>
  </si>
  <si>
    <t>3910.</t>
  </si>
  <si>
    <t>G.M.NEW LINE SARTORIA SRL UNINOMINALE</t>
  </si>
  <si>
    <t>01629930437</t>
  </si>
  <si>
    <t>IT01629930437</t>
  </si>
  <si>
    <t>141310</t>
  </si>
  <si>
    <t>Macerata</t>
  </si>
  <si>
    <t>Marche</t>
  </si>
  <si>
    <t>3911.</t>
  </si>
  <si>
    <t>LASER BMC S.R.L.</t>
  </si>
  <si>
    <t>01427240500</t>
  </si>
  <si>
    <t>IT01427240500</t>
  </si>
  <si>
    <t>151100</t>
  </si>
  <si>
    <t>Pisa</t>
  </si>
  <si>
    <t>3912.</t>
  </si>
  <si>
    <t>GASTONE SRLS</t>
  </si>
  <si>
    <t>04587850407</t>
  </si>
  <si>
    <t>IT04587850407</t>
  </si>
  <si>
    <t>Rimini</t>
  </si>
  <si>
    <t>Emilia-Romagna</t>
  </si>
  <si>
    <t>3913.</t>
  </si>
  <si>
    <t>EREDI COLOMBO S.R.L.</t>
  </si>
  <si>
    <t>04987470269</t>
  </si>
  <si>
    <t>IT04987470269</t>
  </si>
  <si>
    <t>Treviso</t>
  </si>
  <si>
    <t>3914.</t>
  </si>
  <si>
    <t>VIVE LA DIFFERENCE S.R.L.</t>
  </si>
  <si>
    <t>03092690167</t>
  </si>
  <si>
    <t>IT03092690167</t>
  </si>
  <si>
    <t>Bergamo</t>
  </si>
  <si>
    <t>Lombardia</t>
  </si>
  <si>
    <t>3915.</t>
  </si>
  <si>
    <t>CELLI SPOSE - SOCIETA A RESPONSABILITA LIMITATA</t>
  </si>
  <si>
    <t>03722971003</t>
  </si>
  <si>
    <t>IT03722971003</t>
  </si>
  <si>
    <t>141000</t>
  </si>
  <si>
    <t>3916.</t>
  </si>
  <si>
    <t>RAF SOLUZIONI S.R.L.</t>
  </si>
  <si>
    <t>01744100502</t>
  </si>
  <si>
    <t>IT01744100502</t>
  </si>
  <si>
    <t>3917.</t>
  </si>
  <si>
    <t>GALA S.R.L.</t>
  </si>
  <si>
    <t>01842900431</t>
  </si>
  <si>
    <t>IT01842900431</t>
  </si>
  <si>
    <t>3918.</t>
  </si>
  <si>
    <t>CRESPI - S.R.L.</t>
  </si>
  <si>
    <t>12042500152</t>
  </si>
  <si>
    <t>IT12042500152</t>
  </si>
  <si>
    <t>Milano</t>
  </si>
  <si>
    <t>3919.</t>
  </si>
  <si>
    <t>CALZATURIFICIO ZIVIANI S.R.L.</t>
  </si>
  <si>
    <t>00214050239</t>
  </si>
  <si>
    <t>IT00214050239</t>
  </si>
  <si>
    <t>Verona</t>
  </si>
  <si>
    <t>3920.</t>
  </si>
  <si>
    <t>CONFEZIONI ORSI S.R.L.</t>
  </si>
  <si>
    <t>02289740488</t>
  </si>
  <si>
    <t>IT02289740488</t>
  </si>
  <si>
    <t>3921.</t>
  </si>
  <si>
    <t>ALTA MODA SPOSA SRL</t>
  </si>
  <si>
    <t>01788390449</t>
  </si>
  <si>
    <t>IT01788390449</t>
  </si>
  <si>
    <t>141320</t>
  </si>
  <si>
    <t>Fermo</t>
  </si>
  <si>
    <t>3922.</t>
  </si>
  <si>
    <t>259 S.R.L.</t>
  </si>
  <si>
    <t>02010690762</t>
  </si>
  <si>
    <t>IT02010690762</t>
  </si>
  <si>
    <t>Potenza</t>
  </si>
  <si>
    <t>Basilicata</t>
  </si>
  <si>
    <t>3923.</t>
  </si>
  <si>
    <t>TRE ZETA ACCESSORI S.R.L.</t>
  </si>
  <si>
    <t>02253500249</t>
  </si>
  <si>
    <t>IT02253500249</t>
  </si>
  <si>
    <t>3924.</t>
  </si>
  <si>
    <t>ROSSETTINNOVA S.R.L.</t>
  </si>
  <si>
    <t>04076950981</t>
  </si>
  <si>
    <t>IT04076950981</t>
  </si>
  <si>
    <t>Brescia</t>
  </si>
  <si>
    <t>3925.</t>
  </si>
  <si>
    <t>D &amp; D S.R.L.</t>
  </si>
  <si>
    <t>01931380511</t>
  </si>
  <si>
    <t>IT01931380511</t>
  </si>
  <si>
    <t>141100</t>
  </si>
  <si>
    <t>Arezzo</t>
  </si>
  <si>
    <t>3926.</t>
  </si>
  <si>
    <t>SOALE S.R.L. SEMPLIFICATA UNIPERSONALE</t>
  </si>
  <si>
    <t>04663140756</t>
  </si>
  <si>
    <t>IT04663140756</t>
  </si>
  <si>
    <t>Lecce</t>
  </si>
  <si>
    <t>Puglia</t>
  </si>
  <si>
    <t>3927.</t>
  </si>
  <si>
    <t>SAMUEL - S.R.L.</t>
  </si>
  <si>
    <t>00334900446</t>
  </si>
  <si>
    <t>IT00334900446</t>
  </si>
  <si>
    <t>3928.</t>
  </si>
  <si>
    <t>TUSCIA S.R.L.</t>
  </si>
  <si>
    <t>02010350516</t>
  </si>
  <si>
    <t>IT02010350516</t>
  </si>
  <si>
    <t>3929.</t>
  </si>
  <si>
    <t>DO QUALITY S.R.L.</t>
  </si>
  <si>
    <t>02331930442</t>
  </si>
  <si>
    <t>IT02331930442</t>
  </si>
  <si>
    <t>Ascoli Piceno</t>
  </si>
  <si>
    <t>3930.</t>
  </si>
  <si>
    <t>M.A. CYCLING SPORT S.R.L.</t>
  </si>
  <si>
    <t>03863520262</t>
  </si>
  <si>
    <t>IT03863520262</t>
  </si>
  <si>
    <t>141929</t>
  </si>
  <si>
    <t>3931.</t>
  </si>
  <si>
    <t>IDEALE CANTINI'S TIES SOCIETA' A RESPONSABILITA' LIMITATA IN FORMA ABBREVIATA IDEALE CANTINI'S TIES S.R.L.</t>
  </si>
  <si>
    <t>03662730484</t>
  </si>
  <si>
    <t>IT03662730484</t>
  </si>
  <si>
    <t>3932.</t>
  </si>
  <si>
    <t>NVC NO VERBAL COMM SOCIETA' A RESPONSABILITA' LIMITATA</t>
  </si>
  <si>
    <t>01882150491</t>
  </si>
  <si>
    <t>IT01882150491</t>
  </si>
  <si>
    <t>Livorno</t>
  </si>
  <si>
    <t>3933.</t>
  </si>
  <si>
    <t>SIMAR SRL</t>
  </si>
  <si>
    <t>04617540655</t>
  </si>
  <si>
    <t>IT04617540655</t>
  </si>
  <si>
    <t>Salerno</t>
  </si>
  <si>
    <t>3934.</t>
  </si>
  <si>
    <t>ER HANDMADE S.R.L.</t>
  </si>
  <si>
    <t>08675391216</t>
  </si>
  <si>
    <t>IT08675391216</t>
  </si>
  <si>
    <t>152020</t>
  </si>
  <si>
    <t>3935.</t>
  </si>
  <si>
    <t>EFFEGI STYLE S.R.L.</t>
  </si>
  <si>
    <t>00559620232</t>
  </si>
  <si>
    <t>IT00559620232</t>
  </si>
  <si>
    <t>3936.</t>
  </si>
  <si>
    <t>IL PUNTO A MANO S.R.L.</t>
  </si>
  <si>
    <t>05903670726</t>
  </si>
  <si>
    <t>IT05903670726</t>
  </si>
  <si>
    <t>141320</t>
  </si>
  <si>
    <t>Bari</t>
  </si>
  <si>
    <t>Puglia</t>
  </si>
  <si>
    <t>3937.</t>
  </si>
  <si>
    <t>PML SOCIETA' A RESPONSABILITA' LIMITATA</t>
  </si>
  <si>
    <t>02774820423</t>
  </si>
  <si>
    <t>IT02774820423</t>
  </si>
  <si>
    <t>141310</t>
  </si>
  <si>
    <t>Pesaro e Urbino</t>
  </si>
  <si>
    <t>Marche</t>
  </si>
  <si>
    <t>n.d.</t>
  </si>
  <si>
    <t>3938.</t>
  </si>
  <si>
    <t>FERRACUTI &amp; CO S.R.L.</t>
  </si>
  <si>
    <t>01642330441</t>
  </si>
  <si>
    <t>IT01642330441</t>
  </si>
  <si>
    <t>152010</t>
  </si>
  <si>
    <t>Fermo</t>
  </si>
  <si>
    <t>3939.</t>
  </si>
  <si>
    <t>NUAN S.R.L.</t>
  </si>
  <si>
    <t>04004620987</t>
  </si>
  <si>
    <t>IT04004620987</t>
  </si>
  <si>
    <t>Brescia</t>
  </si>
  <si>
    <t>Lombardia</t>
  </si>
  <si>
    <t>3940.</t>
  </si>
  <si>
    <t>MPM SRL</t>
  </si>
  <si>
    <t>01141350437</t>
  </si>
  <si>
    <t>IT01141350437</t>
  </si>
  <si>
    <t>Macerata</t>
  </si>
  <si>
    <t>3941.</t>
  </si>
  <si>
    <t>LI BASSI FASHION GROUP S.R.L.</t>
  </si>
  <si>
    <t>01986320479</t>
  </si>
  <si>
    <t>IT01986320479</t>
  </si>
  <si>
    <t>Pistoia</t>
  </si>
  <si>
    <t>Toscana</t>
  </si>
  <si>
    <t>3942.</t>
  </si>
  <si>
    <t>M.C.T. SRL</t>
  </si>
  <si>
    <t>02628580421</t>
  </si>
  <si>
    <t>IT02628580421</t>
  </si>
  <si>
    <t>Ancona</t>
  </si>
  <si>
    <t>3943.</t>
  </si>
  <si>
    <t>VALCO GROUP S.R.L.</t>
  </si>
  <si>
    <t>07248160967</t>
  </si>
  <si>
    <t>IT07248160967</t>
  </si>
  <si>
    <t>Milano</t>
  </si>
  <si>
    <t>3944.</t>
  </si>
  <si>
    <t>ACCESSORIO DELLA CALZATURA S.R.L.</t>
  </si>
  <si>
    <t>06865830159</t>
  </si>
  <si>
    <t>IT06865830159</t>
  </si>
  <si>
    <t>3945.</t>
  </si>
  <si>
    <t>GIVEN'S - S.R.L.</t>
  </si>
  <si>
    <t>01078440151</t>
  </si>
  <si>
    <t>IT01078440151</t>
  </si>
  <si>
    <t>Monza e della Brianza</t>
  </si>
  <si>
    <t>3946.</t>
  </si>
  <si>
    <t>ESSEPI SRL</t>
  </si>
  <si>
    <t>01996440507</t>
  </si>
  <si>
    <t>IT01996440507</t>
  </si>
  <si>
    <t>151100</t>
  </si>
  <si>
    <t>Pisa</t>
  </si>
  <si>
    <t>3947.</t>
  </si>
  <si>
    <t>MARPEL S.R.L.</t>
  </si>
  <si>
    <t>08593631214</t>
  </si>
  <si>
    <t>IT08593631214</t>
  </si>
  <si>
    <t>151209</t>
  </si>
  <si>
    <t>Napoli</t>
  </si>
  <si>
    <t>Campania</t>
  </si>
  <si>
    <t>3948.</t>
  </si>
  <si>
    <t>CONFEZIONI VULCANO S.R.L.</t>
  </si>
  <si>
    <t>00059080671</t>
  </si>
  <si>
    <t>IT00059080671</t>
  </si>
  <si>
    <t>Teramo</t>
  </si>
  <si>
    <t>Abruzzo</t>
  </si>
  <si>
    <t>3949.</t>
  </si>
  <si>
    <t>CRAVATTIFICIO CONTI SRL</t>
  </si>
  <si>
    <t>00011310356</t>
  </si>
  <si>
    <t>IT00011310356</t>
  </si>
  <si>
    <t>141910</t>
  </si>
  <si>
    <t>Reggio nell'Emilia</t>
  </si>
  <si>
    <t>Emilia-Romagna</t>
  </si>
  <si>
    <t>3950.</t>
  </si>
  <si>
    <t>SORELLE BALDI S.R.L.</t>
  </si>
  <si>
    <t>01876690973</t>
  </si>
  <si>
    <t>IT01876690973</t>
  </si>
  <si>
    <t>141000</t>
  </si>
  <si>
    <t>Prato</t>
  </si>
  <si>
    <t>3951.</t>
  </si>
  <si>
    <t>CALZATURIFICIO T.A.G. S.R.L.</t>
  </si>
  <si>
    <t>01542950504</t>
  </si>
  <si>
    <t>IT01542950504</t>
  </si>
  <si>
    <t>3952.</t>
  </si>
  <si>
    <t>TRE-VI - S.R.L.</t>
  </si>
  <si>
    <t>00826870180</t>
  </si>
  <si>
    <t>IT00826870180</t>
  </si>
  <si>
    <t>152020</t>
  </si>
  <si>
    <t>Pavia</t>
  </si>
  <si>
    <t>3953.</t>
  </si>
  <si>
    <t>PIONEER S.R.L.</t>
  </si>
  <si>
    <t>04285920759</t>
  </si>
  <si>
    <t>IT04285920759</t>
  </si>
  <si>
    <t>Lecce</t>
  </si>
  <si>
    <t>3954.</t>
  </si>
  <si>
    <t>MODI' SRL</t>
  </si>
  <si>
    <t>01875630442</t>
  </si>
  <si>
    <t>IT01875630442</t>
  </si>
  <si>
    <t>3955.</t>
  </si>
  <si>
    <t>CHERIMAX S.R.L. UNIPERSONALE</t>
  </si>
  <si>
    <t>02609390360</t>
  </si>
  <si>
    <t>IT02609390360</t>
  </si>
  <si>
    <t>143900</t>
  </si>
  <si>
    <t>Modena</t>
  </si>
  <si>
    <t>3956.</t>
  </si>
  <si>
    <t>I AM DIGITAL S.R.L. SEMPLIFICATA</t>
  </si>
  <si>
    <t>03917820361</t>
  </si>
  <si>
    <t>IT03917820361</t>
  </si>
  <si>
    <t>3957.</t>
  </si>
  <si>
    <t>FRANCESCA S.R.L. SOCIET+ UNIPERSONALE</t>
  </si>
  <si>
    <t>03645810122</t>
  </si>
  <si>
    <t>IT03645810122</t>
  </si>
  <si>
    <t>Varese</t>
  </si>
  <si>
    <t>3958.</t>
  </si>
  <si>
    <t>NATURAL LEATHER S.R.L.</t>
  </si>
  <si>
    <t>03623950544</t>
  </si>
  <si>
    <t>IT03623950544</t>
  </si>
  <si>
    <t>Perugia</t>
  </si>
  <si>
    <t>Umbria</t>
  </si>
  <si>
    <t>3959.</t>
  </si>
  <si>
    <t>QUATTRO S.R.L.</t>
  </si>
  <si>
    <t>04012520963</t>
  </si>
  <si>
    <t>IT04012520963</t>
  </si>
  <si>
    <t>3960.</t>
  </si>
  <si>
    <t>TACCHIFICIO ANNA S.R.L.</t>
  </si>
  <si>
    <t>01466550504</t>
  </si>
  <si>
    <t>IT01466550504</t>
  </si>
  <si>
    <t>3961.</t>
  </si>
  <si>
    <t>GIOELE S.R.L.</t>
  </si>
  <si>
    <t>01807960230</t>
  </si>
  <si>
    <t>IT01807960230</t>
  </si>
  <si>
    <t>Verona</t>
  </si>
  <si>
    <t>Veneto</t>
  </si>
  <si>
    <t>3962.</t>
  </si>
  <si>
    <t>ANNA FERRILLO S.R.L.</t>
  </si>
  <si>
    <t>04048361218</t>
  </si>
  <si>
    <t>IT04048361218</t>
  </si>
  <si>
    <t>141300</t>
  </si>
  <si>
    <t>3963.</t>
  </si>
  <si>
    <t>MAGLIFICIO SABRINA S.R.L.</t>
  </si>
  <si>
    <t>03406000269</t>
  </si>
  <si>
    <t>IT03406000269</t>
  </si>
  <si>
    <t>Treviso</t>
  </si>
  <si>
    <t>3964.</t>
  </si>
  <si>
    <t>YORK SHOES &amp; BELTS SRL</t>
  </si>
  <si>
    <t>02184120448</t>
  </si>
  <si>
    <t>IT02184120448</t>
  </si>
  <si>
    <t>3965.</t>
  </si>
  <si>
    <t>SARTIGIANI S.R.L.</t>
  </si>
  <si>
    <t>01068550290</t>
  </si>
  <si>
    <t>IT01068550290</t>
  </si>
  <si>
    <t>Rovigo</t>
  </si>
  <si>
    <t>3966.</t>
  </si>
  <si>
    <t>CALZATURIFICIO CALTAVUTURESE SOCIETA' COOPERATIVA</t>
  </si>
  <si>
    <t>03365030828</t>
  </si>
  <si>
    <t>IT03365030828</t>
  </si>
  <si>
    <t>Palermo</t>
  </si>
  <si>
    <t>Sicilia</t>
  </si>
  <si>
    <t>3967.</t>
  </si>
  <si>
    <t>AMELIA CASABLANCA S.R.L.</t>
  </si>
  <si>
    <t>02951140835</t>
  </si>
  <si>
    <t>IT02951140835</t>
  </si>
  <si>
    <t>Messina</t>
  </si>
  <si>
    <t>3968.</t>
  </si>
  <si>
    <t>IACONF GROUP SOCIETA' A RESPONSABILITA' LIMITATA SEMPLIFICATA</t>
  </si>
  <si>
    <t>02063030676</t>
  </si>
  <si>
    <t>IT02063030676</t>
  </si>
  <si>
    <t>141310</t>
  </si>
  <si>
    <t>Teramo</t>
  </si>
  <si>
    <t>Abruzzo</t>
  </si>
  <si>
    <t>3969.</t>
  </si>
  <si>
    <t>ST SERVICE S.R.L.</t>
  </si>
  <si>
    <t>02952130645</t>
  </si>
  <si>
    <t>IT02952130645</t>
  </si>
  <si>
    <t>141320</t>
  </si>
  <si>
    <t>Avellino</t>
  </si>
  <si>
    <t>Campania</t>
  </si>
  <si>
    <t>n.d.</t>
  </si>
  <si>
    <t>3970.</t>
  </si>
  <si>
    <t>KO ITALIA S.R.L.</t>
  </si>
  <si>
    <t>08400840727</t>
  </si>
  <si>
    <t>IT08400840727</t>
  </si>
  <si>
    <t>141929</t>
  </si>
  <si>
    <t>Bari</t>
  </si>
  <si>
    <t>Puglia</t>
  </si>
  <si>
    <t>3971.</t>
  </si>
  <si>
    <t>COM.IDEA S.R.L.</t>
  </si>
  <si>
    <t>03471011209</t>
  </si>
  <si>
    <t>IT03471011209</t>
  </si>
  <si>
    <t>143900</t>
  </si>
  <si>
    <t>Modena</t>
  </si>
  <si>
    <t>Emilia-Romagna</t>
  </si>
  <si>
    <t>3972.</t>
  </si>
  <si>
    <t>MAGLIFICIO MOTTOLA SOCIETA' A RESPONSABILITA' LIMITATA SEMPLIFICA TA</t>
  </si>
  <si>
    <t>07378540723</t>
  </si>
  <si>
    <t>IT07378540723</t>
  </si>
  <si>
    <t>141000</t>
  </si>
  <si>
    <t>3973.</t>
  </si>
  <si>
    <t>WANDA'S DRESS S.R.L.</t>
  </si>
  <si>
    <t>01814890644</t>
  </si>
  <si>
    <t>IT01814890644</t>
  </si>
  <si>
    <t>3974.</t>
  </si>
  <si>
    <t>MARIA LAMPO - SOCIETA' A RESPONSABILITA' LIMITATA</t>
  </si>
  <si>
    <t>03876380654</t>
  </si>
  <si>
    <t>IT03876380654</t>
  </si>
  <si>
    <t>Salerno</t>
  </si>
  <si>
    <t>3975.</t>
  </si>
  <si>
    <t>PIZETA FASHION GROUP SOCIETA' A RESPONSABILITA' LIMITATA SEMPLIFI TA</t>
  </si>
  <si>
    <t>03088390590</t>
  </si>
  <si>
    <t>IT03088390590</t>
  </si>
  <si>
    <t>141400</t>
  </si>
  <si>
    <t>Latina</t>
  </si>
  <si>
    <t>Lazio</t>
  </si>
  <si>
    <t>3976.</t>
  </si>
  <si>
    <t>DE LUCA S.R.L.</t>
  </si>
  <si>
    <t>07184451214</t>
  </si>
  <si>
    <t>IT07184451214</t>
  </si>
  <si>
    <t>Roma</t>
  </si>
  <si>
    <t>3977.</t>
  </si>
  <si>
    <t>CONFEZIONI 3 TORRI S.R.L. .</t>
  </si>
  <si>
    <t>00213380538</t>
  </si>
  <si>
    <t>IT00213380538</t>
  </si>
  <si>
    <t>Grosseto</t>
  </si>
  <si>
    <t>Toscana</t>
  </si>
  <si>
    <t>3978.</t>
  </si>
  <si>
    <t>MIGOR S.P.A. IN LIQUIDAZIONE</t>
  </si>
  <si>
    <t>00170600365</t>
  </si>
  <si>
    <t>IT00170600365</t>
  </si>
  <si>
    <t>3979.</t>
  </si>
  <si>
    <t>VIGEVANO S.R.L.</t>
  </si>
  <si>
    <t>02735890184</t>
  </si>
  <si>
    <t>IT02735890184</t>
  </si>
  <si>
    <t>141200</t>
  </si>
  <si>
    <t>Pavia</t>
  </si>
  <si>
    <t>Lombardia</t>
  </si>
  <si>
    <t>3980.</t>
  </si>
  <si>
    <t>ANTICA SARTORIA D'ALBA S.R.L.</t>
  </si>
  <si>
    <t>08386550969</t>
  </si>
  <si>
    <t>IT08386550969</t>
  </si>
  <si>
    <t>Milano</t>
  </si>
  <si>
    <t>3981.</t>
  </si>
  <si>
    <t>P.R. FASHION S.R.L.</t>
  </si>
  <si>
    <t>07103420480</t>
  </si>
  <si>
    <t>IT07103420480</t>
  </si>
  <si>
    <t>141100</t>
  </si>
  <si>
    <t>Prato</t>
  </si>
  <si>
    <t>3982.</t>
  </si>
  <si>
    <t>ANTICA SARTORIA SCALELLA SOCIETA' A RESPONSABILITA' LIMITATA</t>
  </si>
  <si>
    <t>12780271008</t>
  </si>
  <si>
    <t>IT12780271008</t>
  </si>
  <si>
    <t>3983.</t>
  </si>
  <si>
    <t>PUNTO MAGLIA S.R.L.</t>
  </si>
  <si>
    <t>03066321203</t>
  </si>
  <si>
    <t>IT03066321203</t>
  </si>
  <si>
    <t>Bologna</t>
  </si>
  <si>
    <t>3984.</t>
  </si>
  <si>
    <t>BLITZ INCISIONI LASER S.R.L.</t>
  </si>
  <si>
    <t>01777150432</t>
  </si>
  <si>
    <t>IT01777150432</t>
  </si>
  <si>
    <t>152020</t>
  </si>
  <si>
    <t>Fermo</t>
  </si>
  <si>
    <t>Marche</t>
  </si>
  <si>
    <t>3985.</t>
  </si>
  <si>
    <t>APUNIS S.R.L.</t>
  </si>
  <si>
    <t>01751820448</t>
  </si>
  <si>
    <t>IT01751820448</t>
  </si>
  <si>
    <t>141910</t>
  </si>
  <si>
    <t>3986.</t>
  </si>
  <si>
    <t>DINO SOCIETA' A RESPONSABILITA' LIMITATA SEMPLIFICATA</t>
  </si>
  <si>
    <t>11325310966</t>
  </si>
  <si>
    <t>IT11325310966</t>
  </si>
  <si>
    <t>3987.</t>
  </si>
  <si>
    <t>MYSECRET SPOSA S.R.L.</t>
  </si>
  <si>
    <t>04319270726</t>
  </si>
  <si>
    <t>IT04319270726</t>
  </si>
  <si>
    <t>3988.</t>
  </si>
  <si>
    <t>MAGLIFICIO KNITLAB S.R.L.</t>
  </si>
  <si>
    <t>02574640690</t>
  </si>
  <si>
    <t>IT02574640690</t>
  </si>
  <si>
    <t>Chieti</t>
  </si>
  <si>
    <t>3989.</t>
  </si>
  <si>
    <t>HAGS ITALIA SRL</t>
  </si>
  <si>
    <t>03553410246</t>
  </si>
  <si>
    <t>IT03553410246</t>
  </si>
  <si>
    <t>151209</t>
  </si>
  <si>
    <t>Vicenza</t>
  </si>
  <si>
    <t>Veneto</t>
  </si>
  <si>
    <t>3990.</t>
  </si>
  <si>
    <t>LO SFIZIO S.R.L.</t>
  </si>
  <si>
    <t>01701340984</t>
  </si>
  <si>
    <t>IT01701340984</t>
  </si>
  <si>
    <t>Brescia</t>
  </si>
  <si>
    <t>3991.</t>
  </si>
  <si>
    <t>MANU S.R.L.</t>
  </si>
  <si>
    <t>02383230444</t>
  </si>
  <si>
    <t>IT02383230444</t>
  </si>
  <si>
    <t>3992.</t>
  </si>
  <si>
    <t>SENSERINI SU MISURA SRL</t>
  </si>
  <si>
    <t>02422340519</t>
  </si>
  <si>
    <t>IT02422340519</t>
  </si>
  <si>
    <t>Arezzo</t>
  </si>
  <si>
    <t>3993.</t>
  </si>
  <si>
    <t>VIDO S.R.L.</t>
  </si>
  <si>
    <t>05378030653</t>
  </si>
  <si>
    <t>IT05378030653</t>
  </si>
  <si>
    <t>3994.</t>
  </si>
  <si>
    <t>OMEGA S.R.L.</t>
  </si>
  <si>
    <t>06757520637</t>
  </si>
  <si>
    <t>IT06757520637</t>
  </si>
  <si>
    <t>Napoli</t>
  </si>
  <si>
    <t>3995.</t>
  </si>
  <si>
    <t>POTENZA SOCKS SOCIETA' COOPERATIVA</t>
  </si>
  <si>
    <t>05225140754</t>
  </si>
  <si>
    <t>IT05225140754</t>
  </si>
  <si>
    <t>143100</t>
  </si>
  <si>
    <t>Lecce</t>
  </si>
  <si>
    <t>3996.</t>
  </si>
  <si>
    <t>FROM88CUT SRL</t>
  </si>
  <si>
    <t>02207210283</t>
  </si>
  <si>
    <t>IT02207210283</t>
  </si>
  <si>
    <t>Padova</t>
  </si>
  <si>
    <t>3997.</t>
  </si>
  <si>
    <t>L.W.T. ITALIA S.R.L.</t>
  </si>
  <si>
    <t>01657910475</t>
  </si>
  <si>
    <t>IT01657910475</t>
  </si>
  <si>
    <t>152010</t>
  </si>
  <si>
    <t>Pistoia</t>
  </si>
  <si>
    <t>3998.</t>
  </si>
  <si>
    <t>ARTI MINORI PRODUCTION S.R.L.</t>
  </si>
  <si>
    <t>06112210486</t>
  </si>
  <si>
    <t>IT06112210486</t>
  </si>
  <si>
    <t>Firenze</t>
  </si>
  <si>
    <t>3999.</t>
  </si>
  <si>
    <t>NEWMA S.R.L.</t>
  </si>
  <si>
    <t>02974830545</t>
  </si>
  <si>
    <t>IT02974830545</t>
  </si>
  <si>
    <t>Perugia</t>
  </si>
  <si>
    <t>Umbria</t>
  </si>
  <si>
    <t>4000.</t>
  </si>
  <si>
    <t>SF ITALIA S.R.L.</t>
  </si>
  <si>
    <t>01534160187</t>
  </si>
  <si>
    <t>01437280066</t>
  </si>
  <si>
    <t>IT01437280066</t>
  </si>
  <si>
    <t>151209</t>
  </si>
  <si>
    <t>Pavia</t>
  </si>
  <si>
    <t>Lombardia</t>
  </si>
  <si>
    <t>4001.</t>
  </si>
  <si>
    <t>MGM BRAND S.R.L.</t>
  </si>
  <si>
    <t>02448110201</t>
  </si>
  <si>
    <t>IT02448110201</t>
  </si>
  <si>
    <t>141200</t>
  </si>
  <si>
    <t>Mantova</t>
  </si>
  <si>
    <t>4002.</t>
  </si>
  <si>
    <t>LINEA PELLE 4.99 S.R.L.</t>
  </si>
  <si>
    <t>03046870543</t>
  </si>
  <si>
    <t>IT03046870543</t>
  </si>
  <si>
    <t>141100</t>
  </si>
  <si>
    <t>Perugia</t>
  </si>
  <si>
    <t>Umbria</t>
  </si>
  <si>
    <t>n.d.</t>
  </si>
  <si>
    <t>4003.</t>
  </si>
  <si>
    <t>LOM FASHION SRL</t>
  </si>
  <si>
    <t>02114890441</t>
  </si>
  <si>
    <t>IT02114890441</t>
  </si>
  <si>
    <t>141310</t>
  </si>
  <si>
    <t>Ascoli Piceno</t>
  </si>
  <si>
    <t>Marche</t>
  </si>
  <si>
    <t>4004.</t>
  </si>
  <si>
    <t>FOLIGNI S.R.L.</t>
  </si>
  <si>
    <t>02360280131</t>
  </si>
  <si>
    <t>IT02360280131</t>
  </si>
  <si>
    <t>141000</t>
  </si>
  <si>
    <t>Como</t>
  </si>
  <si>
    <t>4005.</t>
  </si>
  <si>
    <t>B.P.M. ACCESSORI SRL SEMPLIFICATA</t>
  </si>
  <si>
    <t>03631170366</t>
  </si>
  <si>
    <t>IT03631170366</t>
  </si>
  <si>
    <t>Modena</t>
  </si>
  <si>
    <t>Emilia-Romagna</t>
  </si>
  <si>
    <t>4006.</t>
  </si>
  <si>
    <t>PAVIT SPORT S.R.L.</t>
  </si>
  <si>
    <t>03243871211</t>
  </si>
  <si>
    <t>IT03243871211</t>
  </si>
  <si>
    <t>Napoli</t>
  </si>
  <si>
    <t>Campania</t>
  </si>
  <si>
    <t>4007.</t>
  </si>
  <si>
    <t>MAGLIFICIO STIANCIA S.R.L.</t>
  </si>
  <si>
    <t>01542940547</t>
  </si>
  <si>
    <t>IT01542940547</t>
  </si>
  <si>
    <t>143000</t>
  </si>
  <si>
    <t>4008.</t>
  </si>
  <si>
    <t>JAKIE S.R.L.</t>
  </si>
  <si>
    <t>02586550036</t>
  </si>
  <si>
    <t>IT02586550036</t>
  </si>
  <si>
    <t>143900</t>
  </si>
  <si>
    <t>Novara</t>
  </si>
  <si>
    <t>Piemonte</t>
  </si>
  <si>
    <t>4009.</t>
  </si>
  <si>
    <t>TOMAIFICIO POKER S.R.L.</t>
  </si>
  <si>
    <t>02010160444</t>
  </si>
  <si>
    <t>IT02010160444</t>
  </si>
  <si>
    <t>152020</t>
  </si>
  <si>
    <t>Fermo</t>
  </si>
  <si>
    <t>4010.</t>
  </si>
  <si>
    <t>CONFEZIONI CALZE E COLLANT TEXFILDONNA S.R.L.</t>
  </si>
  <si>
    <t>01679200202</t>
  </si>
  <si>
    <t>01697550984</t>
  </si>
  <si>
    <t>IT01697550984</t>
  </si>
  <si>
    <t>143100</t>
  </si>
  <si>
    <t>4011.</t>
  </si>
  <si>
    <t>IL CAMICE S.R.L.</t>
  </si>
  <si>
    <t>08783231213</t>
  </si>
  <si>
    <t>IT08783231213</t>
  </si>
  <si>
    <t>4012.</t>
  </si>
  <si>
    <t>CINQUE POSITANO - S.R.L.</t>
  </si>
  <si>
    <t>00223460650</t>
  </si>
  <si>
    <t>IT00223460650</t>
  </si>
  <si>
    <t>Salerno</t>
  </si>
  <si>
    <t>4013.</t>
  </si>
  <si>
    <t>2 ELLE SRL</t>
  </si>
  <si>
    <t>04281890980</t>
  </si>
  <si>
    <t>IT04281890980</t>
  </si>
  <si>
    <t>Brescia</t>
  </si>
  <si>
    <t>4014.</t>
  </si>
  <si>
    <t>CARLI 1937 S.R.L.</t>
  </si>
  <si>
    <t>01977800471</t>
  </si>
  <si>
    <t>IT01977800471</t>
  </si>
  <si>
    <t>152010</t>
  </si>
  <si>
    <t>Pistoia</t>
  </si>
  <si>
    <t>Toscana</t>
  </si>
  <si>
    <t>4015.</t>
  </si>
  <si>
    <t>ERIKA S.R.L.</t>
  </si>
  <si>
    <t>00634480354</t>
  </si>
  <si>
    <t>IT00634480354</t>
  </si>
  <si>
    <t>Reggio nell'Emilia</t>
  </si>
  <si>
    <t>4016.</t>
  </si>
  <si>
    <t>LORAIN SRL</t>
  </si>
  <si>
    <t>00499020147</t>
  </si>
  <si>
    <t>IT00499020147</t>
  </si>
  <si>
    <t>141910</t>
  </si>
  <si>
    <t>Sondrio</t>
  </si>
  <si>
    <t>4017.</t>
  </si>
  <si>
    <t>ROMEO SRL</t>
  </si>
  <si>
    <t>01377160237</t>
  </si>
  <si>
    <t>IT01377160237</t>
  </si>
  <si>
    <t>141320</t>
  </si>
  <si>
    <t>Verona</t>
  </si>
  <si>
    <t>Veneto</t>
  </si>
  <si>
    <t>4018.</t>
  </si>
  <si>
    <t>GI.GI.'S S.R.L.</t>
  </si>
  <si>
    <t>11805230155</t>
  </si>
  <si>
    <t>IT11805230155</t>
  </si>
  <si>
    <t>Milano</t>
  </si>
  <si>
    <t>4019.</t>
  </si>
  <si>
    <t>HALLOP S.R.L.</t>
  </si>
  <si>
    <t>05865470651</t>
  </si>
  <si>
    <t>IT05865470651</t>
  </si>
  <si>
    <t>4020.</t>
  </si>
  <si>
    <t>PLASTIMAN S.R.L.</t>
  </si>
  <si>
    <t>01485960221</t>
  </si>
  <si>
    <t>IT01485960221</t>
  </si>
  <si>
    <t>152000</t>
  </si>
  <si>
    <t>Trento</t>
  </si>
  <si>
    <t>Trentino-Alto Adige/Südtirol</t>
  </si>
  <si>
    <t>4021.</t>
  </si>
  <si>
    <t>ORAZI S.R.L.</t>
  </si>
  <si>
    <t>02089980441</t>
  </si>
  <si>
    <t>IT02089980441</t>
  </si>
  <si>
    <t>4022.</t>
  </si>
  <si>
    <t>COLASS SOCIETA' A RESPONSABILITA' LIMITATA SEMPLIFICATA</t>
  </si>
  <si>
    <t>04858850755</t>
  </si>
  <si>
    <t>IT04858850755</t>
  </si>
  <si>
    <t>Lecce</t>
  </si>
  <si>
    <t>Puglia</t>
  </si>
  <si>
    <t>4023.</t>
  </si>
  <si>
    <t>FREGOLI S.R.L.</t>
  </si>
  <si>
    <t>02777280351</t>
  </si>
  <si>
    <t>IT02777280351</t>
  </si>
  <si>
    <t>4024.</t>
  </si>
  <si>
    <t>ORNELLA PROSPERI DI BESANA SRL</t>
  </si>
  <si>
    <t>10412330960</t>
  </si>
  <si>
    <t>IT10412330960</t>
  </si>
  <si>
    <t>141929</t>
  </si>
  <si>
    <t>4025.</t>
  </si>
  <si>
    <t>CASSANDRA S.R.L.</t>
  </si>
  <si>
    <t>03783831211</t>
  </si>
  <si>
    <t>IT03783831211</t>
  </si>
  <si>
    <t>4026.</t>
  </si>
  <si>
    <t>ELEVEN PLUS SRLS</t>
  </si>
  <si>
    <t>05079640263</t>
  </si>
  <si>
    <t>IT05079640263</t>
  </si>
  <si>
    <t>Treviso</t>
  </si>
  <si>
    <t>4027.</t>
  </si>
  <si>
    <t>TEC. BY TEX. SRL UNIPERSONALE</t>
  </si>
  <si>
    <t>04295760278</t>
  </si>
  <si>
    <t>IT04295760278</t>
  </si>
  <si>
    <t>Venezia</t>
  </si>
  <si>
    <t>4028.</t>
  </si>
  <si>
    <t>GIEMMETI S.R.L.</t>
  </si>
  <si>
    <t>08405550727</t>
  </si>
  <si>
    <t>IT08405550727</t>
  </si>
  <si>
    <t>141400</t>
  </si>
  <si>
    <t>Barletta-Andria-Trani</t>
  </si>
  <si>
    <t>4029.</t>
  </si>
  <si>
    <t>CADINI S.R.L. (SOCIETA' UNIPERSONALE)</t>
  </si>
  <si>
    <t>06759030486</t>
  </si>
  <si>
    <t>IT06759030486</t>
  </si>
  <si>
    <t>Firenze</t>
  </si>
  <si>
    <t>4030.</t>
  </si>
  <si>
    <t>MOOD SOCIETA' COOPERATIVA</t>
  </si>
  <si>
    <t>04613210758</t>
  </si>
  <si>
    <t>IT04613210758</t>
  </si>
  <si>
    <t>4031.</t>
  </si>
  <si>
    <t>DO.GE. PELLETTERIA S.R.L.</t>
  </si>
  <si>
    <t>08973291217</t>
  </si>
  <si>
    <t>IT08973291217</t>
  </si>
  <si>
    <t>4032.</t>
  </si>
  <si>
    <t>SCUOLA IN S.R.L.</t>
  </si>
  <si>
    <t>13532641001</t>
  </si>
  <si>
    <t>IT13532641001</t>
  </si>
  <si>
    <t>141929</t>
  </si>
  <si>
    <t>Roma</t>
  </si>
  <si>
    <t>Lazio</t>
  </si>
  <si>
    <t>n.d.</t>
  </si>
  <si>
    <t>4033.</t>
  </si>
  <si>
    <t>B &amp; S S.R.L.</t>
  </si>
  <si>
    <t>12290981005</t>
  </si>
  <si>
    <t>IT12290981005</t>
  </si>
  <si>
    <t>152010</t>
  </si>
  <si>
    <t>4034.</t>
  </si>
  <si>
    <t>P. &amp; P. S.R.L.</t>
  </si>
  <si>
    <t>05512381210</t>
  </si>
  <si>
    <t>IT05512381210</t>
  </si>
  <si>
    <t>141400</t>
  </si>
  <si>
    <t>Napoli</t>
  </si>
  <si>
    <t>Campania</t>
  </si>
  <si>
    <t>4035.</t>
  </si>
  <si>
    <t>DANDY S.R.L.</t>
  </si>
  <si>
    <t>11303630013</t>
  </si>
  <si>
    <t>IT11303630013</t>
  </si>
  <si>
    <t>141000</t>
  </si>
  <si>
    <t>Torino</t>
  </si>
  <si>
    <t>Piemonte</t>
  </si>
  <si>
    <t>4036.</t>
  </si>
  <si>
    <t>PRO PRESS S.R.L.</t>
  </si>
  <si>
    <t>03655520249</t>
  </si>
  <si>
    <t>IT03655520249</t>
  </si>
  <si>
    <t>151100</t>
  </si>
  <si>
    <t>Vicenza</t>
  </si>
  <si>
    <t>Veneto</t>
  </si>
  <si>
    <t>4037.</t>
  </si>
  <si>
    <t>GUARDOLIFICIO MICHETTI ADRIANO S.R.L.</t>
  </si>
  <si>
    <t>02368790446</t>
  </si>
  <si>
    <t>IT02368790446</t>
  </si>
  <si>
    <t>152020</t>
  </si>
  <si>
    <t>Fermo</t>
  </si>
  <si>
    <t>Marche</t>
  </si>
  <si>
    <t>4038.</t>
  </si>
  <si>
    <t>GAVELLI SOCIETA' A RESPONSABILITA' LIMITATA SEMPLIFICATA</t>
  </si>
  <si>
    <t>02218540512</t>
  </si>
  <si>
    <t>IT02218540512</t>
  </si>
  <si>
    <t>141100</t>
  </si>
  <si>
    <t>Arezzo</t>
  </si>
  <si>
    <t>Toscana</t>
  </si>
  <si>
    <t>4039.</t>
  </si>
  <si>
    <t>CALZIFICIO COLLEGE SOCIETA'COOPERATIVA</t>
  </si>
  <si>
    <t>05113750755</t>
  </si>
  <si>
    <t>IT05113750755</t>
  </si>
  <si>
    <t>143100</t>
  </si>
  <si>
    <t>Lecce</t>
  </si>
  <si>
    <t>Puglia</t>
  </si>
  <si>
    <t>4040.</t>
  </si>
  <si>
    <t>NECLEMI.IT S.R.L.</t>
  </si>
  <si>
    <t>07790870724</t>
  </si>
  <si>
    <t>IT07790870724</t>
  </si>
  <si>
    <t>Barletta-Andria-Trani</t>
  </si>
  <si>
    <t>4041.</t>
  </si>
  <si>
    <t>ASCIARI S.R.L.</t>
  </si>
  <si>
    <t>03288490836</t>
  </si>
  <si>
    <t>IT03288490836</t>
  </si>
  <si>
    <t>Messina</t>
  </si>
  <si>
    <t>Sicilia</t>
  </si>
  <si>
    <t>4042.</t>
  </si>
  <si>
    <t>SILVIA GRANDI S.R.L.</t>
  </si>
  <si>
    <t>01228240196</t>
  </si>
  <si>
    <t>01811320207</t>
  </si>
  <si>
    <t>IT01811320207</t>
  </si>
  <si>
    <t>Brescia</t>
  </si>
  <si>
    <t>Lombardia</t>
  </si>
  <si>
    <t>4043.</t>
  </si>
  <si>
    <t>ARTIGIANA SARTORIA VENETA 1968 - S.R.L.</t>
  </si>
  <si>
    <t>04185230275</t>
  </si>
  <si>
    <t>IT04185230275</t>
  </si>
  <si>
    <t>141310</t>
  </si>
  <si>
    <t>Venezia</t>
  </si>
  <si>
    <t>4044.</t>
  </si>
  <si>
    <t>CORE S.R.L.</t>
  </si>
  <si>
    <t>11414590015</t>
  </si>
  <si>
    <t>IT11414590015</t>
  </si>
  <si>
    <t>141200</t>
  </si>
  <si>
    <t>Asti</t>
  </si>
  <si>
    <t>4045.</t>
  </si>
  <si>
    <t>CAMICIE ITALIA SOCIETA' COOPERATIVA</t>
  </si>
  <si>
    <t>01190890861</t>
  </si>
  <si>
    <t>IT01190890861</t>
  </si>
  <si>
    <t>141910</t>
  </si>
  <si>
    <t>Enna</t>
  </si>
  <si>
    <t>4046.</t>
  </si>
  <si>
    <t>LA SPOSA DI MARIA PIA SOCIETA' A RESPONSABILITA' LIMITATA</t>
  </si>
  <si>
    <t>10578591009</t>
  </si>
  <si>
    <t>IT10578591009</t>
  </si>
  <si>
    <t>141320</t>
  </si>
  <si>
    <t>4047.</t>
  </si>
  <si>
    <t>2S TRICOT SOCIETA' COOPERATIVA</t>
  </si>
  <si>
    <t>03492330547</t>
  </si>
  <si>
    <t>IT03492330547</t>
  </si>
  <si>
    <t>143900</t>
  </si>
  <si>
    <t>Perugia</t>
  </si>
  <si>
    <t>Umbria</t>
  </si>
  <si>
    <t>4048.</t>
  </si>
  <si>
    <t>OKILUX S.R.L.</t>
  </si>
  <si>
    <t>02721640395</t>
  </si>
  <si>
    <t>IT02721640395</t>
  </si>
  <si>
    <t>Ravenna</t>
  </si>
  <si>
    <t>Emilia-Romagna</t>
  </si>
  <si>
    <t>4049.</t>
  </si>
  <si>
    <t>GAM S.R.L.</t>
  </si>
  <si>
    <t>01043820479</t>
  </si>
  <si>
    <t>IT01043820479</t>
  </si>
  <si>
    <t>Pistoia</t>
  </si>
  <si>
    <t>4050.</t>
  </si>
  <si>
    <t>VEZZO S.R.L.</t>
  </si>
  <si>
    <t>06778570728</t>
  </si>
  <si>
    <t>IT06778570728</t>
  </si>
  <si>
    <t>Bari</t>
  </si>
  <si>
    <t>4051.</t>
  </si>
  <si>
    <t>PULITO INTERNATIONAL GROUP S.R.L.</t>
  </si>
  <si>
    <t>06476750721</t>
  </si>
  <si>
    <t>IT06476750721</t>
  </si>
  <si>
    <t>4052.</t>
  </si>
  <si>
    <t>ENNE' S.R.L.</t>
  </si>
  <si>
    <t>04861370486</t>
  </si>
  <si>
    <t>IT04861370486</t>
  </si>
  <si>
    <t>Firenze</t>
  </si>
  <si>
    <t>4053.</t>
  </si>
  <si>
    <t>ISOSOLES S.R.L.</t>
  </si>
  <si>
    <t>01207030444</t>
  </si>
  <si>
    <t>IT01207030444</t>
  </si>
  <si>
    <t>4054.</t>
  </si>
  <si>
    <t>CALZATURIFICIO GIMAR - S.R.L.</t>
  </si>
  <si>
    <t>01562960508</t>
  </si>
  <si>
    <t>IT01562960508</t>
  </si>
  <si>
    <t>Pisa</t>
  </si>
  <si>
    <t>4055.</t>
  </si>
  <si>
    <t>NEW LEATHER TECNOLOGY SRL</t>
  </si>
  <si>
    <t>04096650249</t>
  </si>
  <si>
    <t>IT04096650249</t>
  </si>
  <si>
    <t>4056.</t>
  </si>
  <si>
    <t>CRISTINA ROCCA S.R.L.</t>
  </si>
  <si>
    <t>01131160390</t>
  </si>
  <si>
    <t>IT01131160390</t>
  </si>
  <si>
    <t>4057.</t>
  </si>
  <si>
    <t>GLAMOUR FASHION S.R.L.</t>
  </si>
  <si>
    <t>03185820366</t>
  </si>
  <si>
    <t>IT03185820366</t>
  </si>
  <si>
    <t>Modena</t>
  </si>
  <si>
    <t>4058.</t>
  </si>
  <si>
    <t>CIRCUITO LOGISTIC S.R.L.</t>
  </si>
  <si>
    <t>15447471002</t>
  </si>
  <si>
    <t>IT15447471002</t>
  </si>
  <si>
    <t>4059.</t>
  </si>
  <si>
    <t>DONATELLA CONFEZIONI S.R.L.S.</t>
  </si>
  <si>
    <t>01988790679</t>
  </si>
  <si>
    <t>IT01988790679</t>
  </si>
  <si>
    <t>Teramo</t>
  </si>
  <si>
    <t>Abruzzo</t>
  </si>
  <si>
    <t>4060.</t>
  </si>
  <si>
    <t>COSTANTINO SPORT S.R.L.</t>
  </si>
  <si>
    <t>03833240728</t>
  </si>
  <si>
    <t>IT03833240728</t>
  </si>
  <si>
    <t>4061.</t>
  </si>
  <si>
    <t>LAVORAZIONE ARTIGIANA DEL CUOIO S.R.L.</t>
  </si>
  <si>
    <t>08006220159</t>
  </si>
  <si>
    <t>IT08006220159</t>
  </si>
  <si>
    <t>151200</t>
  </si>
  <si>
    <t>Milano</t>
  </si>
  <si>
    <t>4062.</t>
  </si>
  <si>
    <t>HOPE SRL</t>
  </si>
  <si>
    <t>02332480447</t>
  </si>
  <si>
    <t>IT02332480447</t>
  </si>
  <si>
    <t>4063.</t>
  </si>
  <si>
    <t>ALIENINA SOCIETA' A RESPONSABILITA' LIMITATA SEMPLIFICATA</t>
  </si>
  <si>
    <t>03291230542</t>
  </si>
  <si>
    <t>IT03291230542</t>
  </si>
  <si>
    <t>151209</t>
  </si>
  <si>
    <t>4064.</t>
  </si>
  <si>
    <t>MONICA S.R.L.</t>
  </si>
  <si>
    <t>10023801219</t>
  </si>
  <si>
    <t>IT10023801219</t>
  </si>
  <si>
    <t>152010</t>
  </si>
  <si>
    <t>Napoli</t>
  </si>
  <si>
    <t>Campania</t>
  </si>
  <si>
    <t>n.d.</t>
  </si>
  <si>
    <t>4065.</t>
  </si>
  <si>
    <t>COMPARSE SRL</t>
  </si>
  <si>
    <t>03727600482</t>
  </si>
  <si>
    <t>IT03727600482</t>
  </si>
  <si>
    <t>141310</t>
  </si>
  <si>
    <t>Firenze</t>
  </si>
  <si>
    <t>Toscana</t>
  </si>
  <si>
    <t>4066.</t>
  </si>
  <si>
    <t>LAB 20.3 SOCIETA'COOPERATIVA</t>
  </si>
  <si>
    <t>09470181216</t>
  </si>
  <si>
    <t>IT09470181216</t>
  </si>
  <si>
    <t>151209</t>
  </si>
  <si>
    <t>4067.</t>
  </si>
  <si>
    <t>CATTIVELLI GROUP S.R.L.</t>
  </si>
  <si>
    <t>01552490193</t>
  </si>
  <si>
    <t>IT01552490193</t>
  </si>
  <si>
    <t>141200</t>
  </si>
  <si>
    <t>Cremona</t>
  </si>
  <si>
    <t>Lombardia</t>
  </si>
  <si>
    <t>4068.</t>
  </si>
  <si>
    <t>F.L.A. INTERNATIONAL S.R.L.</t>
  </si>
  <si>
    <t>11482921001</t>
  </si>
  <si>
    <t>IT11482921001</t>
  </si>
  <si>
    <t>Roma</t>
  </si>
  <si>
    <t>Lazio</t>
  </si>
  <si>
    <t>4069.</t>
  </si>
  <si>
    <t>ESSEDDI ALTA MODA SPOSA S.R.L.</t>
  </si>
  <si>
    <t>04013320728</t>
  </si>
  <si>
    <t>IT04013320728</t>
  </si>
  <si>
    <t>141929</t>
  </si>
  <si>
    <t>Barletta-Andria-Trani</t>
  </si>
  <si>
    <t>Puglia</t>
  </si>
  <si>
    <t>4070.</t>
  </si>
  <si>
    <t>CONFEZIONI LISA S.R.L.S.</t>
  </si>
  <si>
    <t>01506690294</t>
  </si>
  <si>
    <t>IT01506690294</t>
  </si>
  <si>
    <t>Rovigo</t>
  </si>
  <si>
    <t>Veneto</t>
  </si>
  <si>
    <t>4071.</t>
  </si>
  <si>
    <t>ARGOS TANNERY S.R.L.</t>
  </si>
  <si>
    <t>01799780505</t>
  </si>
  <si>
    <t>IT01799780505</t>
  </si>
  <si>
    <t>151100</t>
  </si>
  <si>
    <t>Pisa</t>
  </si>
  <si>
    <t>4072.</t>
  </si>
  <si>
    <t>MARCO SOTTOTACCHI SRL</t>
  </si>
  <si>
    <t>01957700436</t>
  </si>
  <si>
    <t>IT01957700436</t>
  </si>
  <si>
    <t>152020</t>
  </si>
  <si>
    <t>Macerata</t>
  </si>
  <si>
    <t>Marche</t>
  </si>
  <si>
    <t>4073.</t>
  </si>
  <si>
    <t>INNOVAZIONE ITALIANA SOCIETA' A RESPONSABILITA' LIMITATA SEMPLIFI CATA</t>
  </si>
  <si>
    <t>02835950649</t>
  </si>
  <si>
    <t>IT02835950649</t>
  </si>
  <si>
    <t>141910</t>
  </si>
  <si>
    <t>Avellino</t>
  </si>
  <si>
    <t>4074.</t>
  </si>
  <si>
    <t>DR S.R.L.</t>
  </si>
  <si>
    <t>05551130650</t>
  </si>
  <si>
    <t>IT05551130650</t>
  </si>
  <si>
    <t>141320</t>
  </si>
  <si>
    <t>Salerno</t>
  </si>
  <si>
    <t>4075.</t>
  </si>
  <si>
    <t>IL FORO S.R.L.</t>
  </si>
  <si>
    <t>01133740504</t>
  </si>
  <si>
    <t>IT01133740504</t>
  </si>
  <si>
    <t>4076.</t>
  </si>
  <si>
    <t>MIA UP S.R.L.</t>
  </si>
  <si>
    <t>11522740015</t>
  </si>
  <si>
    <t>IT11522740015</t>
  </si>
  <si>
    <t>Torino</t>
  </si>
  <si>
    <t>Piemonte</t>
  </si>
  <si>
    <t>4077.</t>
  </si>
  <si>
    <t>INCANTO S.R.L.</t>
  </si>
  <si>
    <t>03455830541</t>
  </si>
  <si>
    <t>IT03455830541</t>
  </si>
  <si>
    <t>143900</t>
  </si>
  <si>
    <t>Perugia</t>
  </si>
  <si>
    <t>Umbria</t>
  </si>
  <si>
    <t>4078.</t>
  </si>
  <si>
    <t>CAMICERIA PENDANT S.R.L.</t>
  </si>
  <si>
    <t>07877360722</t>
  </si>
  <si>
    <t>IT07877360722</t>
  </si>
  <si>
    <t>141400</t>
  </si>
  <si>
    <t>4079.</t>
  </si>
  <si>
    <t>GIULY AV SRL</t>
  </si>
  <si>
    <t>02629830460</t>
  </si>
  <si>
    <t>IT02629830460</t>
  </si>
  <si>
    <t>Lucca</t>
  </si>
  <si>
    <t>4080.</t>
  </si>
  <si>
    <t>CARINA S.R.L. SEMPLIFICATA</t>
  </si>
  <si>
    <t>02246850446</t>
  </si>
  <si>
    <t>IT02246850446</t>
  </si>
  <si>
    <t>Fermo</t>
  </si>
  <si>
    <t>4081.</t>
  </si>
  <si>
    <t>DOLCEPUNTA S.R.L.</t>
  </si>
  <si>
    <t>01654460680</t>
  </si>
  <si>
    <t>IT01654460680</t>
  </si>
  <si>
    <t>Pescara</t>
  </si>
  <si>
    <t>Abruzzo</t>
  </si>
  <si>
    <t>4082.</t>
  </si>
  <si>
    <t>CIPOLLETTI S.R.L.</t>
  </si>
  <si>
    <t>01685610444</t>
  </si>
  <si>
    <t>IT01685610444</t>
  </si>
  <si>
    <t>4083.</t>
  </si>
  <si>
    <t>C.R.B. - CALZATURIFICI RIUNITI BUSTESI - S.R.L.</t>
  </si>
  <si>
    <t>01235380126</t>
  </si>
  <si>
    <t>IT01235380126</t>
  </si>
  <si>
    <t>Varese</t>
  </si>
  <si>
    <t>4084.</t>
  </si>
  <si>
    <t>EXTREME S.R.L.</t>
  </si>
  <si>
    <t>02614060131</t>
  </si>
  <si>
    <t>IT02614060131</t>
  </si>
  <si>
    <t>Como</t>
  </si>
  <si>
    <t>4085.</t>
  </si>
  <si>
    <t>BLUE ART S.R.L. - SOCIETA' UNIPERSONALE</t>
  </si>
  <si>
    <t>03210630046</t>
  </si>
  <si>
    <t>IT03210630046</t>
  </si>
  <si>
    <t>Vicenza</t>
  </si>
  <si>
    <t>4086.</t>
  </si>
  <si>
    <t>MORATEX S.R.L.</t>
  </si>
  <si>
    <t>03260030980</t>
  </si>
  <si>
    <t>IT03260030980</t>
  </si>
  <si>
    <t>Brescia</t>
  </si>
  <si>
    <t>4087.</t>
  </si>
  <si>
    <t>EUROFLEX ITALIA S.R.L.S.</t>
  </si>
  <si>
    <t>01991010677</t>
  </si>
  <si>
    <t>IT01991010677</t>
  </si>
  <si>
    <t>Teramo</t>
  </si>
  <si>
    <t>4088.</t>
  </si>
  <si>
    <t>A-M SOCIETA' A RESPONSABILITA' LIMITATA SEMPLIFICATA</t>
  </si>
  <si>
    <t>03987080920</t>
  </si>
  <si>
    <t>IT03987080920</t>
  </si>
  <si>
    <t>Cagliari</t>
  </si>
  <si>
    <t>Sardegna</t>
  </si>
  <si>
    <t>4089.</t>
  </si>
  <si>
    <t>MANNI MAGLIERIA S.R.L.</t>
  </si>
  <si>
    <t>01365830551</t>
  </si>
  <si>
    <t>IT01365830551</t>
  </si>
  <si>
    <t>Terni</t>
  </si>
  <si>
    <t>4090.</t>
  </si>
  <si>
    <t>TRIUNFO DANCE ITALIA S.R.L.</t>
  </si>
  <si>
    <t>03652160619</t>
  </si>
  <si>
    <t>IT03652160619</t>
  </si>
  <si>
    <t>Caserta</t>
  </si>
  <si>
    <t>4091.</t>
  </si>
  <si>
    <t>SINCLAIR S.R.L.</t>
  </si>
  <si>
    <t>02289710242</t>
  </si>
  <si>
    <t>IT02289710242</t>
  </si>
  <si>
    <t>141100</t>
  </si>
  <si>
    <t>4092.</t>
  </si>
  <si>
    <t>SAP FIGHTING S.R.L.</t>
  </si>
  <si>
    <t>12046070012</t>
  </si>
  <si>
    <t>IT12046070012</t>
  </si>
  <si>
    <t>4093.</t>
  </si>
  <si>
    <t>TACCHIFICIO STELLA SRL</t>
  </si>
  <si>
    <t>01746300449</t>
  </si>
  <si>
    <t>IT01746300449</t>
  </si>
  <si>
    <t>4094.</t>
  </si>
  <si>
    <t>ATELIER ASCIOTI S.R.L. SOCIETA' UNIPERSONALE</t>
  </si>
  <si>
    <t>00277880803</t>
  </si>
  <si>
    <t>IT00277880803</t>
  </si>
  <si>
    <t>Reggio di Calabria</t>
  </si>
  <si>
    <t>Calabria</t>
  </si>
  <si>
    <t>4095.</t>
  </si>
  <si>
    <t>SARTORIA VERGALLO S.R.L.</t>
  </si>
  <si>
    <t>03802350128</t>
  </si>
  <si>
    <t>IT03802350128</t>
  </si>
  <si>
    <t>4096.</t>
  </si>
  <si>
    <t>MANIFATTURE TOSCANE S.R.L.</t>
  </si>
  <si>
    <t>01922570476</t>
  </si>
  <si>
    <t>IT01922570476</t>
  </si>
  <si>
    <t>141310</t>
  </si>
  <si>
    <t>Cremona</t>
  </si>
  <si>
    <t>Lombardia</t>
  </si>
  <si>
    <t>n.d.</t>
  </si>
  <si>
    <t>4097.</t>
  </si>
  <si>
    <t>MAGLIFICIO EVAL S.R.L.</t>
  </si>
  <si>
    <t>02127780167</t>
  </si>
  <si>
    <t>IT02127780167</t>
  </si>
  <si>
    <t>143900</t>
  </si>
  <si>
    <t>Bergamo</t>
  </si>
  <si>
    <t>4098.</t>
  </si>
  <si>
    <t>ESSEGI 2 S.R.L.</t>
  </si>
  <si>
    <t>02799980244</t>
  </si>
  <si>
    <t>IT02799980244</t>
  </si>
  <si>
    <t>141910</t>
  </si>
  <si>
    <t>Vicenza</t>
  </si>
  <si>
    <t>Veneto</t>
  </si>
  <si>
    <t>4099.</t>
  </si>
  <si>
    <t>SHITATE SOCIETA' A RESPONSABILITA' LIMITATA SEMPLIFICATA</t>
  </si>
  <si>
    <t>01875620674</t>
  </si>
  <si>
    <t>IT01875620674</t>
  </si>
  <si>
    <t>Teramo</t>
  </si>
  <si>
    <t>Abruzzo</t>
  </si>
  <si>
    <t>4100.</t>
  </si>
  <si>
    <t>ERENDIRA ITALIA SRL</t>
  </si>
  <si>
    <t>03944031206</t>
  </si>
  <si>
    <t>IT03944031206</t>
  </si>
  <si>
    <t>Bologna</t>
  </si>
  <si>
    <t>Emilia-Romagna</t>
  </si>
  <si>
    <t>4101.</t>
  </si>
  <si>
    <t>MAMO S.R.L.</t>
  </si>
  <si>
    <t>05116610485</t>
  </si>
  <si>
    <t>IT05116610485</t>
  </si>
  <si>
    <t>141100</t>
  </si>
  <si>
    <t>Firenze</t>
  </si>
  <si>
    <t>Toscana</t>
  </si>
  <si>
    <t>4102.</t>
  </si>
  <si>
    <t>SARTORIA VENEZIA 24 S.R.L.</t>
  </si>
  <si>
    <t>10576810963</t>
  </si>
  <si>
    <t>IT10576810963</t>
  </si>
  <si>
    <t>141320</t>
  </si>
  <si>
    <t>Milano</t>
  </si>
  <si>
    <t>4103.</t>
  </si>
  <si>
    <t>LADY MARY S.R.L.</t>
  </si>
  <si>
    <t>01990560441</t>
  </si>
  <si>
    <t>IT01990560441</t>
  </si>
  <si>
    <t>152010</t>
  </si>
  <si>
    <t>Fermo</t>
  </si>
  <si>
    <t>Marche</t>
  </si>
  <si>
    <t>4104.</t>
  </si>
  <si>
    <t>MARCO BUGGIANI S.R.L.</t>
  </si>
  <si>
    <t>04664100486</t>
  </si>
  <si>
    <t>IT04664100486</t>
  </si>
  <si>
    <t>151209</t>
  </si>
  <si>
    <t>4105.</t>
  </si>
  <si>
    <t>I.F. S.R.L.S.</t>
  </si>
  <si>
    <t>05311080658</t>
  </si>
  <si>
    <t>IT05311080658</t>
  </si>
  <si>
    <t>141000</t>
  </si>
  <si>
    <t>Salerno</t>
  </si>
  <si>
    <t>Campania</t>
  </si>
  <si>
    <t>4106.</t>
  </si>
  <si>
    <t>AIREDALE S.R.L.</t>
  </si>
  <si>
    <t>01612950343</t>
  </si>
  <si>
    <t>IT01612950343</t>
  </si>
  <si>
    <t>Parma</t>
  </si>
  <si>
    <t>4107.</t>
  </si>
  <si>
    <t>KAMANTA S.R.L.</t>
  </si>
  <si>
    <t>01746260155</t>
  </si>
  <si>
    <t>IT01746260155</t>
  </si>
  <si>
    <t>4108.</t>
  </si>
  <si>
    <t>PANGAIA MATERIALS SCIENCE ITALY S.R.L.</t>
  </si>
  <si>
    <t>07010050487</t>
  </si>
  <si>
    <t>IT07010050487</t>
  </si>
  <si>
    <t>4109.</t>
  </si>
  <si>
    <t>DIVINA S.R.L.</t>
  </si>
  <si>
    <t>01662670643</t>
  </si>
  <si>
    <t>IT01662670643</t>
  </si>
  <si>
    <t>151100</t>
  </si>
  <si>
    <t>Avellino</t>
  </si>
  <si>
    <t>4110.</t>
  </si>
  <si>
    <t>ROSEBLEU - S.R.L.</t>
  </si>
  <si>
    <t>02375290604</t>
  </si>
  <si>
    <t>IT02375290604</t>
  </si>
  <si>
    <t>141200</t>
  </si>
  <si>
    <t>Frosinone</t>
  </si>
  <si>
    <t>Lazio</t>
  </si>
  <si>
    <t>4111.</t>
  </si>
  <si>
    <t>MARINI S.R.L.</t>
  </si>
  <si>
    <t>02109170510</t>
  </si>
  <si>
    <t>IT02109170510</t>
  </si>
  <si>
    <t>Arezzo</t>
  </si>
  <si>
    <t>4112.</t>
  </si>
  <si>
    <t>MAGLIFICIO RITA S.R.L.</t>
  </si>
  <si>
    <t>01857430035</t>
  </si>
  <si>
    <t>IT01857430035</t>
  </si>
  <si>
    <t>143000</t>
  </si>
  <si>
    <t>Novara</t>
  </si>
  <si>
    <t>Piemonte</t>
  </si>
  <si>
    <t>4113.</t>
  </si>
  <si>
    <t>JCP SOCIETA' A RESPONSABILITA' LIMITATA SEMPLIFICATA</t>
  </si>
  <si>
    <t>06850040483</t>
  </si>
  <si>
    <t>IT06850040483</t>
  </si>
  <si>
    <t>4114.</t>
  </si>
  <si>
    <t>DIEFFE GROUP S.R.L.</t>
  </si>
  <si>
    <t>03055870137</t>
  </si>
  <si>
    <t>IT03055870137</t>
  </si>
  <si>
    <t>141400</t>
  </si>
  <si>
    <t>Como</t>
  </si>
  <si>
    <t>4115.</t>
  </si>
  <si>
    <t>ITALGUANTO S.R.L.</t>
  </si>
  <si>
    <t>04494231212</t>
  </si>
  <si>
    <t>IT04494231212</t>
  </si>
  <si>
    <t>Napoli</t>
  </si>
  <si>
    <t>4116.</t>
  </si>
  <si>
    <t>VIVA PELLE - SOCIETA' A RESPONSABILITA' LIMITATA</t>
  </si>
  <si>
    <t>01675570400</t>
  </si>
  <si>
    <t>IT01675570400</t>
  </si>
  <si>
    <t>151200</t>
  </si>
  <si>
    <t>Rimini</t>
  </si>
  <si>
    <t>4117.</t>
  </si>
  <si>
    <t>KINLOCH S.R.L.</t>
  </si>
  <si>
    <t>08053130962</t>
  </si>
  <si>
    <t>IT08053130962</t>
  </si>
  <si>
    <t>4118.</t>
  </si>
  <si>
    <t>JILLIAN S.R.L.</t>
  </si>
  <si>
    <t>02423410592</t>
  </si>
  <si>
    <t>IT02423410592</t>
  </si>
  <si>
    <t>Roma</t>
  </si>
  <si>
    <t>4119.</t>
  </si>
  <si>
    <t>MAGLIFICIO AZZURRA S.R.L.</t>
  </si>
  <si>
    <t>04498290271</t>
  </si>
  <si>
    <t>IT04498290271</t>
  </si>
  <si>
    <t>Venezia</t>
  </si>
  <si>
    <t>4120.</t>
  </si>
  <si>
    <t>TAILOR SPEC. S.R.L.</t>
  </si>
  <si>
    <t>04140940273</t>
  </si>
  <si>
    <t>IT04140940273</t>
  </si>
  <si>
    <t>4121.</t>
  </si>
  <si>
    <t>CHLOSED SRL</t>
  </si>
  <si>
    <t>12302420018</t>
  </si>
  <si>
    <t>IT12302420018</t>
  </si>
  <si>
    <t>141929</t>
  </si>
  <si>
    <t>Torino</t>
  </si>
  <si>
    <t>4122.</t>
  </si>
  <si>
    <t>ETIKOS S.R.L.</t>
  </si>
  <si>
    <t>03966000238</t>
  </si>
  <si>
    <t>IT03966000238</t>
  </si>
  <si>
    <t>4123.</t>
  </si>
  <si>
    <t>ANTICA MANIFATTURA CAPPELLI SRL</t>
  </si>
  <si>
    <t>07781861005</t>
  </si>
  <si>
    <t>IT07781861005</t>
  </si>
  <si>
    <t>4124.</t>
  </si>
  <si>
    <t>IDEEOGRAM S.R.L.</t>
  </si>
  <si>
    <t>03668500543</t>
  </si>
  <si>
    <t>IT03668500543</t>
  </si>
  <si>
    <t>Perugia</t>
  </si>
  <si>
    <t>Umbria</t>
  </si>
  <si>
    <t>4125.</t>
  </si>
  <si>
    <t>INDUSTRIES ITALIA SRLS</t>
  </si>
  <si>
    <t>05039330260</t>
  </si>
  <si>
    <t>IT05039330260</t>
  </si>
  <si>
    <t>Treviso</t>
  </si>
  <si>
    <t>4126.</t>
  </si>
  <si>
    <t>ALBERTO FASCIANI S.R.L.</t>
  </si>
  <si>
    <t>01974020446</t>
  </si>
  <si>
    <t>IT01974020446</t>
  </si>
  <si>
    <t>4127.</t>
  </si>
  <si>
    <t>CALZATURIFICIO AISSELA SOCIETA' A RESPONSABILITA' LIMITATA SEMPLIFICATA</t>
  </si>
  <si>
    <t>09129281219</t>
  </si>
  <si>
    <t>IT09129281219</t>
  </si>
  <si>
    <t>4128.</t>
  </si>
  <si>
    <t>MABER S.R.L</t>
  </si>
  <si>
    <t>02611020963</t>
  </si>
  <si>
    <t>IT02611020963</t>
  </si>
  <si>
    <t>141000</t>
  </si>
  <si>
    <t>Monza e della Brianza</t>
  </si>
  <si>
    <t>Lombardia</t>
  </si>
  <si>
    <t>4129.</t>
  </si>
  <si>
    <t>LINEA BLU ITALIA - S.R.L.</t>
  </si>
  <si>
    <t>01732280126</t>
  </si>
  <si>
    <t>IT01732280126</t>
  </si>
  <si>
    <t>141400</t>
  </si>
  <si>
    <t>Milano</t>
  </si>
  <si>
    <t>n.d.</t>
  </si>
  <si>
    <t>4130.</t>
  </si>
  <si>
    <t>ORCHIDEA BLU SOCIETA' COOPERATIVA ARTIGIANA DI PRODUZIONE E LAVORO</t>
  </si>
  <si>
    <t>00873980809</t>
  </si>
  <si>
    <t>IT00873980809</t>
  </si>
  <si>
    <t>141310</t>
  </si>
  <si>
    <t>Reggio di Calabria</t>
  </si>
  <si>
    <t>Calabria</t>
  </si>
  <si>
    <t>4131.</t>
  </si>
  <si>
    <t>LASTRAIOLI FASHION GROUP S.R.L.</t>
  </si>
  <si>
    <t>06391810485</t>
  </si>
  <si>
    <t>IT06391810485</t>
  </si>
  <si>
    <t>Firenze</t>
  </si>
  <si>
    <t>Toscana</t>
  </si>
  <si>
    <t>4132.</t>
  </si>
  <si>
    <t>INTROINIITALIA S.R.L. INSEGNA: DIVISIONE SPOSO 3 ELLE - DIVISIONE SPOSA LADY JUNIOR BY LIDIA</t>
  </si>
  <si>
    <t>02544700129</t>
  </si>
  <si>
    <t>IT02544700129</t>
  </si>
  <si>
    <t>141320</t>
  </si>
  <si>
    <t>Varese</t>
  </si>
  <si>
    <t>4133.</t>
  </si>
  <si>
    <t>LES AMARANTI S.R.L.</t>
  </si>
  <si>
    <t>01683650434</t>
  </si>
  <si>
    <t>IT01683650434</t>
  </si>
  <si>
    <t>152010</t>
  </si>
  <si>
    <t>Macerata</t>
  </si>
  <si>
    <t>Marche</t>
  </si>
  <si>
    <t>4134.</t>
  </si>
  <si>
    <t>MODASANA S.R.L.</t>
  </si>
  <si>
    <t>03422320139</t>
  </si>
  <si>
    <t>IT03422320139</t>
  </si>
  <si>
    <t>141929</t>
  </si>
  <si>
    <t>Como</t>
  </si>
  <si>
    <t>4135.</t>
  </si>
  <si>
    <t>ATELIER VANITAS S.R.L.</t>
  </si>
  <si>
    <t>05514691210</t>
  </si>
  <si>
    <t>IT05514691210</t>
  </si>
  <si>
    <t>Napoli</t>
  </si>
  <si>
    <t>Campania</t>
  </si>
  <si>
    <t>4136.</t>
  </si>
  <si>
    <t>CENTRO SERVIZI CONFEZIONI S.R.L. IN FORMA ABBREVIATA C.S.C. SRL</t>
  </si>
  <si>
    <t>01703580975</t>
  </si>
  <si>
    <t>IT01703580975</t>
  </si>
  <si>
    <t>Prato</t>
  </si>
  <si>
    <t>4137.</t>
  </si>
  <si>
    <t>FULL SKIN S.R.L.</t>
  </si>
  <si>
    <t>02291560643</t>
  </si>
  <si>
    <t>IT02291560643</t>
  </si>
  <si>
    <t>151100</t>
  </si>
  <si>
    <t>Avellino</t>
  </si>
  <si>
    <t>4138.</t>
  </si>
  <si>
    <t>PELLICCERIA OBERTI S.R.L.</t>
  </si>
  <si>
    <t>01885690162</t>
  </si>
  <si>
    <t>IT01885690162</t>
  </si>
  <si>
    <t>141100</t>
  </si>
  <si>
    <t>Bergamo</t>
  </si>
  <si>
    <t>4139.</t>
  </si>
  <si>
    <t>MADISON SRLS</t>
  </si>
  <si>
    <t>02914840646</t>
  </si>
  <si>
    <t>IT02914840646</t>
  </si>
  <si>
    <t>https:/dallastheoriginal.com</t>
  </si>
  <si>
    <t>4140.</t>
  </si>
  <si>
    <t>KARMAN S.R.L.</t>
  </si>
  <si>
    <t>02872940248</t>
  </si>
  <si>
    <t>IT02872940248</t>
  </si>
  <si>
    <t>Vicenza</t>
  </si>
  <si>
    <t>Veneto</t>
  </si>
  <si>
    <t>4141.</t>
  </si>
  <si>
    <t>LNG MAGLIERIA SRL</t>
  </si>
  <si>
    <t>01386690331</t>
  </si>
  <si>
    <t>IT01386690331</t>
  </si>
  <si>
    <t>143900</t>
  </si>
  <si>
    <t>Piacenza</t>
  </si>
  <si>
    <t>Emilia-Romagna</t>
  </si>
  <si>
    <t>4142.</t>
  </si>
  <si>
    <t>MG GROUP S.R.L.</t>
  </si>
  <si>
    <t>04184730267</t>
  </si>
  <si>
    <t>IT04184730267</t>
  </si>
  <si>
    <t>Treviso</t>
  </si>
  <si>
    <t>4143.</t>
  </si>
  <si>
    <t>GIOVANNI COLOMBO S.R.L.</t>
  </si>
  <si>
    <t>01556390134</t>
  </si>
  <si>
    <t>IT01556390134</t>
  </si>
  <si>
    <t>4144.</t>
  </si>
  <si>
    <t>CALZATURIFICIO KICCA TREND S.R.L.</t>
  </si>
  <si>
    <t>01710590504</t>
  </si>
  <si>
    <t>IT01710590504</t>
  </si>
  <si>
    <t>Pisa</t>
  </si>
  <si>
    <t>4145.</t>
  </si>
  <si>
    <t>COCOBA FASHION HOUSE S.R.L.</t>
  </si>
  <si>
    <t>03287730364</t>
  </si>
  <si>
    <t>IT03287730364</t>
  </si>
  <si>
    <t>Modena</t>
  </si>
  <si>
    <t>4146.</t>
  </si>
  <si>
    <t>WUDAWU SOCIETA' A RESPONSABILITA' LIMITATA</t>
  </si>
  <si>
    <t>08420600960</t>
  </si>
  <si>
    <t>IT08420600960</t>
  </si>
  <si>
    <t>141910</t>
  </si>
  <si>
    <t>Ascoli Piceno</t>
  </si>
  <si>
    <t>4147.</t>
  </si>
  <si>
    <t>PAOLA SERRA S.R.L.</t>
  </si>
  <si>
    <t>06012480965</t>
  </si>
  <si>
    <t>IT06012480965</t>
  </si>
  <si>
    <t>4148.</t>
  </si>
  <si>
    <t>MHS S.R.L.</t>
  </si>
  <si>
    <t>03366260242</t>
  </si>
  <si>
    <t>IT03366260242</t>
  </si>
  <si>
    <t>4149.</t>
  </si>
  <si>
    <t>RIZZOTTI &amp; FIGLI SRL</t>
  </si>
  <si>
    <t>10584910961</t>
  </si>
  <si>
    <t>IT10584910961</t>
  </si>
  <si>
    <t>4150.</t>
  </si>
  <si>
    <t>CONF. DAVIS S.R.L.</t>
  </si>
  <si>
    <t>06648590724</t>
  </si>
  <si>
    <t>IT06648590724</t>
  </si>
  <si>
    <t>Barletta-Andria-Trani</t>
  </si>
  <si>
    <t>Puglia</t>
  </si>
  <si>
    <t>4151.</t>
  </si>
  <si>
    <t>SARTORIA ROBU SOCIETA' A RESPONSABILITA' LIMITATA SEMPLIFICATA</t>
  </si>
  <si>
    <t>11280540011</t>
  </si>
  <si>
    <t>IT11280540011</t>
  </si>
  <si>
    <t>Torino</t>
  </si>
  <si>
    <t>Piemonte</t>
  </si>
  <si>
    <t>4152.</t>
  </si>
  <si>
    <t>GAETANO BONINO S.R.L.</t>
  </si>
  <si>
    <t>08742991212</t>
  </si>
  <si>
    <t>IT08742991212</t>
  </si>
  <si>
    <t>151209</t>
  </si>
  <si>
    <t>4153.</t>
  </si>
  <si>
    <t>OFFICINA DEL MARE SRL</t>
  </si>
  <si>
    <t>02529920205</t>
  </si>
  <si>
    <t>IT02529920205</t>
  </si>
  <si>
    <t>Rovigo</t>
  </si>
  <si>
    <t>4154.</t>
  </si>
  <si>
    <t>ATLANTIS LEATHERWORKS S.R.L.</t>
  </si>
  <si>
    <t>06908160481</t>
  </si>
  <si>
    <t>IT06908160481</t>
  </si>
  <si>
    <t>4155.</t>
  </si>
  <si>
    <t>GLESANT S.R.L</t>
  </si>
  <si>
    <t>02536940790</t>
  </si>
  <si>
    <t>IT02536940790</t>
  </si>
  <si>
    <t>Catanzaro</t>
  </si>
  <si>
    <t>4156.</t>
  </si>
  <si>
    <t>MATTICCHIO S.R.L.</t>
  </si>
  <si>
    <t>02463620126</t>
  </si>
  <si>
    <t>IT02463620126</t>
  </si>
  <si>
    <t>141900</t>
  </si>
  <si>
    <t>4157.</t>
  </si>
  <si>
    <t>MP SARTORIE - SOCIETA' A RESPONSABILITA' LIMITATA</t>
  </si>
  <si>
    <t>16186491003</t>
  </si>
  <si>
    <t>IT16186491003</t>
  </si>
  <si>
    <t>Roma</t>
  </si>
  <si>
    <t>Lazio</t>
  </si>
  <si>
    <t>4158.</t>
  </si>
  <si>
    <t>B B FABIO S.R.L.</t>
  </si>
  <si>
    <t>02057940369</t>
  </si>
  <si>
    <t>IT02057940369</t>
  </si>
  <si>
    <t>143000</t>
  </si>
  <si>
    <t>4159.</t>
  </si>
  <si>
    <t>KLAUS S.R.L.</t>
  </si>
  <si>
    <t>03752580278</t>
  </si>
  <si>
    <t>IT03752580278</t>
  </si>
  <si>
    <t>Venezia</t>
  </si>
  <si>
    <t>4160.</t>
  </si>
  <si>
    <t>NO.SA.R. PRODUCTION S.R.L.</t>
  </si>
  <si>
    <t>04986150656</t>
  </si>
  <si>
    <t>IT04986150656</t>
  </si>
  <si>
    <t>141929</t>
  </si>
  <si>
    <t>Salerno</t>
  </si>
  <si>
    <t>Campania</t>
  </si>
  <si>
    <t>4161.</t>
  </si>
  <si>
    <t>MMBC GROUP SRL</t>
  </si>
  <si>
    <t>05303380280</t>
  </si>
  <si>
    <t>IT05303380280</t>
  </si>
  <si>
    <t>141310</t>
  </si>
  <si>
    <t>Padova</t>
  </si>
  <si>
    <t>Veneto</t>
  </si>
  <si>
    <t>4162.</t>
  </si>
  <si>
    <t>PIA LOVE S.R.L.</t>
  </si>
  <si>
    <t>07920141210</t>
  </si>
  <si>
    <t>IT07920141210</t>
  </si>
  <si>
    <t>152010</t>
  </si>
  <si>
    <t>Napoli</t>
  </si>
  <si>
    <t>n.d.</t>
  </si>
  <si>
    <t>4163.</t>
  </si>
  <si>
    <t>FAUSTO SANTINI - S.R.L.</t>
  </si>
  <si>
    <t>01299331007</t>
  </si>
  <si>
    <t>04762960583</t>
  </si>
  <si>
    <t>IT04762960583</t>
  </si>
  <si>
    <t>Roma</t>
  </si>
  <si>
    <t>Lazio</t>
  </si>
  <si>
    <t>4164.</t>
  </si>
  <si>
    <t>GLOBAL LINE S.R.L.</t>
  </si>
  <si>
    <t>02338300540</t>
  </si>
  <si>
    <t>IT02338300540</t>
  </si>
  <si>
    <t>143900</t>
  </si>
  <si>
    <t>Perugia</t>
  </si>
  <si>
    <t>Umbria</t>
  </si>
  <si>
    <t>4165.</t>
  </si>
  <si>
    <t>MIXER S.R.L.</t>
  </si>
  <si>
    <t>03588180723</t>
  </si>
  <si>
    <t>IT03588180723</t>
  </si>
  <si>
    <t>Barletta-Andria-Trani</t>
  </si>
  <si>
    <t>Puglia</t>
  </si>
  <si>
    <t>4166.</t>
  </si>
  <si>
    <t>WINNER S.R.L.</t>
  </si>
  <si>
    <t>07557450728</t>
  </si>
  <si>
    <t>IT07557450728</t>
  </si>
  <si>
    <t>Bari</t>
  </si>
  <si>
    <t>4167.</t>
  </si>
  <si>
    <t>MAGLIFICIO FELIS S.R.L.</t>
  </si>
  <si>
    <t>00211570122</t>
  </si>
  <si>
    <t>IT00211570122</t>
  </si>
  <si>
    <t>143000</t>
  </si>
  <si>
    <t>Varese</t>
  </si>
  <si>
    <t>Lombardia</t>
  </si>
  <si>
    <t>4168.</t>
  </si>
  <si>
    <t>SALUBER SRL</t>
  </si>
  <si>
    <t>02867470243</t>
  </si>
  <si>
    <t>IT02867470243</t>
  </si>
  <si>
    <t>152020</t>
  </si>
  <si>
    <t>Vicenza</t>
  </si>
  <si>
    <t>4169.</t>
  </si>
  <si>
    <t>MANUEL PEZZINI S.R.L.</t>
  </si>
  <si>
    <t>02573290208</t>
  </si>
  <si>
    <t>IT02573290208</t>
  </si>
  <si>
    <t>143100</t>
  </si>
  <si>
    <t>Mantova</t>
  </si>
  <si>
    <t>4170.</t>
  </si>
  <si>
    <t>MK RESILIENT SRLS</t>
  </si>
  <si>
    <t>03931960367</t>
  </si>
  <si>
    <t>IT03931960367</t>
  </si>
  <si>
    <t>141910</t>
  </si>
  <si>
    <t>Modena</t>
  </si>
  <si>
    <t>Emilia-Romagna</t>
  </si>
  <si>
    <t>4171.</t>
  </si>
  <si>
    <t>PAFIMURI CALZATURE S.R.L.</t>
  </si>
  <si>
    <t>04340790759</t>
  </si>
  <si>
    <t>IT04340790759</t>
  </si>
  <si>
    <t>Lecce</t>
  </si>
  <si>
    <t>4172.</t>
  </si>
  <si>
    <t>EUPHORIA SRL</t>
  </si>
  <si>
    <t>03394340834</t>
  </si>
  <si>
    <t>IT03394340834</t>
  </si>
  <si>
    <t>151209</t>
  </si>
  <si>
    <t>Messina</t>
  </si>
  <si>
    <t>Sicilia</t>
  </si>
  <si>
    <t>4173.</t>
  </si>
  <si>
    <t>PUNTO TECH S.R.L. SEMPLIFICATA</t>
  </si>
  <si>
    <t>05317170875</t>
  </si>
  <si>
    <t>IT05317170875</t>
  </si>
  <si>
    <t>141200</t>
  </si>
  <si>
    <t>Catania</t>
  </si>
  <si>
    <t>4174.</t>
  </si>
  <si>
    <t>BAGOLO S.R.L. SEMPLIFICATA</t>
  </si>
  <si>
    <t>03627800133</t>
  </si>
  <si>
    <t>IT03627800133</t>
  </si>
  <si>
    <t>Como</t>
  </si>
  <si>
    <t>4175.</t>
  </si>
  <si>
    <t>JET - S.R.L.</t>
  </si>
  <si>
    <t>07026100631</t>
  </si>
  <si>
    <t>IT07026100631</t>
  </si>
  <si>
    <t>141000</t>
  </si>
  <si>
    <t>4176.</t>
  </si>
  <si>
    <t>CONFEZIONI R.G. S.R.L.</t>
  </si>
  <si>
    <t>02096980202</t>
  </si>
  <si>
    <t>IT02096980202</t>
  </si>
  <si>
    <t>141400</t>
  </si>
  <si>
    <t>4177.</t>
  </si>
  <si>
    <t>PIVERT S.R.L.</t>
  </si>
  <si>
    <t>13059841000</t>
  </si>
  <si>
    <t>IT13059841000</t>
  </si>
  <si>
    <t>4178.</t>
  </si>
  <si>
    <t>PARTYOF2 S.R.L.</t>
  </si>
  <si>
    <t>03964240406</t>
  </si>
  <si>
    <t>IT03964240406</t>
  </si>
  <si>
    <t>Ravenna</t>
  </si>
  <si>
    <t>4179.</t>
  </si>
  <si>
    <t>MAGLIA IN S.R.L.</t>
  </si>
  <si>
    <t>02477640235</t>
  </si>
  <si>
    <t>IT02477640235</t>
  </si>
  <si>
    <t>Verona</t>
  </si>
  <si>
    <t>4180.</t>
  </si>
  <si>
    <t>ARM S.R.L.</t>
  </si>
  <si>
    <t>03351280544</t>
  </si>
  <si>
    <t>IT03351280544</t>
  </si>
  <si>
    <t>4181.</t>
  </si>
  <si>
    <t>ORTHOPANT SRL</t>
  </si>
  <si>
    <t>02952000210</t>
  </si>
  <si>
    <t>IT02952000210</t>
  </si>
  <si>
    <t>Bolzano/Bozen</t>
  </si>
  <si>
    <t>Trentino-Alto Adige/Südtirol</t>
  </si>
  <si>
    <t>4182.</t>
  </si>
  <si>
    <t>SARTORIA PISANO SOCIETA' A RESPONSABILITA' LIMITATA SEMPLIFICATA</t>
  </si>
  <si>
    <t>09288951214</t>
  </si>
  <si>
    <t>IT09288951214</t>
  </si>
  <si>
    <t>141320</t>
  </si>
  <si>
    <t>4183.</t>
  </si>
  <si>
    <t>OFFICINE 904 SRL</t>
  </si>
  <si>
    <t>02024740512</t>
  </si>
  <si>
    <t>IT02024740512</t>
  </si>
  <si>
    <t>Arezzo</t>
  </si>
  <si>
    <t>Toscana</t>
  </si>
  <si>
    <t>4184.</t>
  </si>
  <si>
    <t>LE MIE BORSE S.R.L.</t>
  </si>
  <si>
    <t>08500691210</t>
  </si>
  <si>
    <t>IT08500691210</t>
  </si>
  <si>
    <t>4185.</t>
  </si>
  <si>
    <t>CICCONE S.R.L.</t>
  </si>
  <si>
    <t>10905460969</t>
  </si>
  <si>
    <t>IT10905460969</t>
  </si>
  <si>
    <t>Milano</t>
  </si>
  <si>
    <t>4186.</t>
  </si>
  <si>
    <t>NUOVA CERVINIO S.R.L.</t>
  </si>
  <si>
    <t>00904990439</t>
  </si>
  <si>
    <t>IT00904990439</t>
  </si>
  <si>
    <t>Macerata</t>
  </si>
  <si>
    <t>Marche</t>
  </si>
  <si>
    <t>4187.</t>
  </si>
  <si>
    <t>MA.NI. - S.R.L.</t>
  </si>
  <si>
    <t>01101870382</t>
  </si>
  <si>
    <t>IT01101870382</t>
  </si>
  <si>
    <t>Ferrara</t>
  </si>
  <si>
    <t>4188.</t>
  </si>
  <si>
    <t>ITALBRAND SOCIETA' A RESPONSABILITA' LIMITATA</t>
  </si>
  <si>
    <t>04650080262</t>
  </si>
  <si>
    <t>IT04650080262</t>
  </si>
  <si>
    <t>Treviso</t>
  </si>
  <si>
    <t>4189.</t>
  </si>
  <si>
    <t>VESTINDUSTRIA S.R.L.</t>
  </si>
  <si>
    <t>01650100504</t>
  </si>
  <si>
    <t>IT01650100504</t>
  </si>
  <si>
    <t>Pisa</t>
  </si>
  <si>
    <t>4190.</t>
  </si>
  <si>
    <t>PLISSE' S.R.L.</t>
  </si>
  <si>
    <t>03808951218</t>
  </si>
  <si>
    <t>IT03808951218</t>
  </si>
  <si>
    <t>4191.</t>
  </si>
  <si>
    <t>IO E LULU' S.R.L.</t>
  </si>
  <si>
    <t>03137181206</t>
  </si>
  <si>
    <t>IT03137181206</t>
  </si>
  <si>
    <t>Bologna</t>
  </si>
  <si>
    <t>4192.</t>
  </si>
  <si>
    <t>CALZIFICIO CHIARA S.R.L.</t>
  </si>
  <si>
    <t>05047050751</t>
  </si>
  <si>
    <t>IT05047050751</t>
  </si>
  <si>
    <t>143100</t>
  </si>
  <si>
    <t>Lecce</t>
  </si>
  <si>
    <t>Puglia</t>
  </si>
  <si>
    <t>4193.</t>
  </si>
  <si>
    <t>ESSE ELLE MODA S.R.L.</t>
  </si>
  <si>
    <t>09219611002</t>
  </si>
  <si>
    <t>IT09219611002</t>
  </si>
  <si>
    <t>141910</t>
  </si>
  <si>
    <t>Roma</t>
  </si>
  <si>
    <t>Lazio</t>
  </si>
  <si>
    <t>4194.</t>
  </si>
  <si>
    <t>LEATHER CROWN S.R.L.</t>
  </si>
  <si>
    <t>01628030197</t>
  </si>
  <si>
    <t>IT01628030197</t>
  </si>
  <si>
    <t>152010</t>
  </si>
  <si>
    <t>Venezia</t>
  </si>
  <si>
    <t>Veneto</t>
  </si>
  <si>
    <t>4195.</t>
  </si>
  <si>
    <t>ITALEDIL S.R.L.</t>
  </si>
  <si>
    <t>02285300238</t>
  </si>
  <si>
    <t>IT02285300238</t>
  </si>
  <si>
    <t>141310</t>
  </si>
  <si>
    <t>Verona</t>
  </si>
  <si>
    <t>4196.</t>
  </si>
  <si>
    <t>LEDART S.R.L.</t>
  </si>
  <si>
    <t>03107020244</t>
  </si>
  <si>
    <t>IT03107020244</t>
  </si>
  <si>
    <t>151100</t>
  </si>
  <si>
    <t>Vicenza</t>
  </si>
  <si>
    <t>4197.</t>
  </si>
  <si>
    <t>SARTORIA MASSACRI S.R.L.</t>
  </si>
  <si>
    <t>03327070730</t>
  </si>
  <si>
    <t>IT03327070730</t>
  </si>
  <si>
    <t>Taranto</t>
  </si>
  <si>
    <t>n.d.</t>
  </si>
  <si>
    <t>4198.</t>
  </si>
  <si>
    <t>MM COLLECTION SOCIETA' A RESPONSABILITA' LIMITATA SEMPLIFICATA</t>
  </si>
  <si>
    <t>09130321210</t>
  </si>
  <si>
    <t>IT09130321210</t>
  </si>
  <si>
    <t>Napoli</t>
  </si>
  <si>
    <t>Campania</t>
  </si>
  <si>
    <t>4199.</t>
  </si>
  <si>
    <t>JP. CARPINI S.R.L.</t>
  </si>
  <si>
    <t>01456200474</t>
  </si>
  <si>
    <t>IT01456200474</t>
  </si>
  <si>
    <t>143900</t>
  </si>
  <si>
    <t>Pistoia</t>
  </si>
  <si>
    <t>Toscana</t>
  </si>
  <si>
    <t>4200.</t>
  </si>
  <si>
    <t>L'ORD S.R.L.</t>
  </si>
  <si>
    <t>03190390751</t>
  </si>
  <si>
    <t>IT03190390751</t>
  </si>
  <si>
    <t>4201.</t>
  </si>
  <si>
    <t>KARAL S.R.L. - SOCIETA' A RESPONSABILITA' LIMITATA</t>
  </si>
  <si>
    <t>01696290624</t>
  </si>
  <si>
    <t>IT01696290624</t>
  </si>
  <si>
    <t>Benevento</t>
  </si>
  <si>
    <t>4202.</t>
  </si>
  <si>
    <t>PASOMAR S.R.L.</t>
  </si>
  <si>
    <t>01982910679</t>
  </si>
  <si>
    <t>IT01982910679</t>
  </si>
  <si>
    <t>151209</t>
  </si>
  <si>
    <t>Teramo</t>
  </si>
  <si>
    <t>Abruzzo</t>
  </si>
  <si>
    <t>4203.</t>
  </si>
  <si>
    <t>VB SERVICE S.R.L.</t>
  </si>
  <si>
    <t>04496470289</t>
  </si>
  <si>
    <t>IT04496470289</t>
  </si>
  <si>
    <t>Padova</t>
  </si>
  <si>
    <t>4204.</t>
  </si>
  <si>
    <t>ANTARTIDE S.R.L.</t>
  </si>
  <si>
    <t>01894500139</t>
  </si>
  <si>
    <t>IT01894500139</t>
  </si>
  <si>
    <t>Como</t>
  </si>
  <si>
    <t>Lombardia</t>
  </si>
  <si>
    <t>4205.</t>
  </si>
  <si>
    <t>CAPP - S.R.L.</t>
  </si>
  <si>
    <t>01674980170</t>
  </si>
  <si>
    <t>IT01674980170</t>
  </si>
  <si>
    <t>142000</t>
  </si>
  <si>
    <t>Brescia</t>
  </si>
  <si>
    <t>4206.</t>
  </si>
  <si>
    <t>UNDECIM S.R.L. - SOCIETA' CON UNICO SOCIO</t>
  </si>
  <si>
    <t>02288440353</t>
  </si>
  <si>
    <t>IT02288440353</t>
  </si>
  <si>
    <t>Reggio nell'Emilia</t>
  </si>
  <si>
    <t>Emilia-Romagna</t>
  </si>
  <si>
    <t>4207.</t>
  </si>
  <si>
    <t>MARY SPORT 1964 S.R.L.</t>
  </si>
  <si>
    <t>12125140017</t>
  </si>
  <si>
    <t>IT12125140017</t>
  </si>
  <si>
    <t>141929</t>
  </si>
  <si>
    <t>Torino</t>
  </si>
  <si>
    <t>Piemonte</t>
  </si>
  <si>
    <t>4208.</t>
  </si>
  <si>
    <t>ACG CALZATURE SOCIETA' A RESPONSABILITA' LIMITATA SEMPLIFICATA</t>
  </si>
  <si>
    <t>04825440755</t>
  </si>
  <si>
    <t>IT04825440755</t>
  </si>
  <si>
    <t>4209.</t>
  </si>
  <si>
    <t>ITALIAN FACTORY S.R.L.</t>
  </si>
  <si>
    <t>07345991215</t>
  </si>
  <si>
    <t>IT07345991215</t>
  </si>
  <si>
    <t>141000</t>
  </si>
  <si>
    <t>4210.</t>
  </si>
  <si>
    <t>FERLEA SOCIETA' A RESPONSABILITA' LIMITATA SEMPLIFICATA</t>
  </si>
  <si>
    <t>04314660616</t>
  </si>
  <si>
    <t>IT04314660616</t>
  </si>
  <si>
    <t>Caserta</t>
  </si>
  <si>
    <t>4211.</t>
  </si>
  <si>
    <t>CALZATURIFICIO 20.08 SOCIETA' COOPERATIVA A R.L.</t>
  </si>
  <si>
    <t>02342090418</t>
  </si>
  <si>
    <t>IT02342090418</t>
  </si>
  <si>
    <t>Pesaro e Urbino</t>
  </si>
  <si>
    <t>Marche</t>
  </si>
  <si>
    <t>4212.</t>
  </si>
  <si>
    <t>MONTI ABBIGLIAMENTO S.R.L.</t>
  </si>
  <si>
    <t>02746220926</t>
  </si>
  <si>
    <t>IT02746220926</t>
  </si>
  <si>
    <t>141200</t>
  </si>
  <si>
    <t>Sud Sardegna</t>
  </si>
  <si>
    <t>Sardegna</t>
  </si>
  <si>
    <t>4213.</t>
  </si>
  <si>
    <t>TULSI S.R.L.</t>
  </si>
  <si>
    <t>04253310405</t>
  </si>
  <si>
    <t>IT04253310405</t>
  </si>
  <si>
    <t>Rimini</t>
  </si>
  <si>
    <t>4214.</t>
  </si>
  <si>
    <t>SARTORIA DEL RE S.R.L.S.</t>
  </si>
  <si>
    <t>09288301212</t>
  </si>
  <si>
    <t>IT09288301212</t>
  </si>
  <si>
    <t>141320</t>
  </si>
  <si>
    <t>4215.</t>
  </si>
  <si>
    <t>BECCANI ITALIA SRL</t>
  </si>
  <si>
    <t>02405860970</t>
  </si>
  <si>
    <t>IT02405860970</t>
  </si>
  <si>
    <t>Prato</t>
  </si>
  <si>
    <t>4216.</t>
  </si>
  <si>
    <t>STARLIGHT S.R.L.</t>
  </si>
  <si>
    <t>02131320364</t>
  </si>
  <si>
    <t>IT02131320364</t>
  </si>
  <si>
    <t>Modena</t>
  </si>
  <si>
    <t>4217.</t>
  </si>
  <si>
    <t>I VERDE S.R.L.</t>
  </si>
  <si>
    <t>07853930639</t>
  </si>
  <si>
    <t>IT07853930639</t>
  </si>
  <si>
    <t>152020</t>
  </si>
  <si>
    <t>4218.</t>
  </si>
  <si>
    <t>EUREKA ACCESSORI SRL</t>
  </si>
  <si>
    <t>02228610446</t>
  </si>
  <si>
    <t>IT02228610446</t>
  </si>
  <si>
    <t>Fermo</t>
  </si>
  <si>
    <t>4219.</t>
  </si>
  <si>
    <t>L'ADORALISA S.R.L</t>
  </si>
  <si>
    <t>02985270731</t>
  </si>
  <si>
    <t>IT02985270731</t>
  </si>
  <si>
    <t>4220.</t>
  </si>
  <si>
    <t>UNIFORM SOCIETA' A RESPONSABILITA' LIMITATA</t>
  </si>
  <si>
    <t>01832290595</t>
  </si>
  <si>
    <t>IT01832290595</t>
  </si>
  <si>
    <t>Latina</t>
  </si>
  <si>
    <t>4221.</t>
  </si>
  <si>
    <t>ENJOY ITALIA - SOCIETA' A RESPONSABILITA' LIMITATA SEMPLIFICATA</t>
  </si>
  <si>
    <t>02846010649</t>
  </si>
  <si>
    <t>IT02846010649</t>
  </si>
  <si>
    <t>141100</t>
  </si>
  <si>
    <t>Avellino</t>
  </si>
  <si>
    <t>4222.</t>
  </si>
  <si>
    <t>APLOMB SOCIETA' A RESPONSABILITA' LIMITATA SEMPLIFICATA</t>
  </si>
  <si>
    <t>02356900221</t>
  </si>
  <si>
    <t>IT02356900221</t>
  </si>
  <si>
    <t>Trento</t>
  </si>
  <si>
    <t>Trentino-Alto Adige/Südtirol</t>
  </si>
  <si>
    <t>4223.</t>
  </si>
  <si>
    <t>IL MAGNIFICO S.R.L.</t>
  </si>
  <si>
    <t>04267570283</t>
  </si>
  <si>
    <t>IT04267570283</t>
  </si>
  <si>
    <t>4224.</t>
  </si>
  <si>
    <t>OPIEFFE S.R.L.</t>
  </si>
  <si>
    <t>08799620011</t>
  </si>
  <si>
    <t>IT08799620011</t>
  </si>
  <si>
    <t>141310</t>
  </si>
  <si>
    <t>Cuneo</t>
  </si>
  <si>
    <t>Piemonte</t>
  </si>
  <si>
    <t>n.d.</t>
  </si>
  <si>
    <t>4225.</t>
  </si>
  <si>
    <t>INPEL SRL</t>
  </si>
  <si>
    <t>01979690474</t>
  </si>
  <si>
    <t>IT01979690474</t>
  </si>
  <si>
    <t>141910</t>
  </si>
  <si>
    <t>Pistoia</t>
  </si>
  <si>
    <t>Toscana</t>
  </si>
  <si>
    <t>4226.</t>
  </si>
  <si>
    <t>SM PRODUCTION S.R.L. UNIPERSONALE</t>
  </si>
  <si>
    <t>04295130613</t>
  </si>
  <si>
    <t>IT04295130613</t>
  </si>
  <si>
    <t>152010</t>
  </si>
  <si>
    <t>Caserta</t>
  </si>
  <si>
    <t>Campania</t>
  </si>
  <si>
    <t>4227.</t>
  </si>
  <si>
    <t>CALZATURIFICIO PRIMITEMPI S.R.L.</t>
  </si>
  <si>
    <t>02455260444</t>
  </si>
  <si>
    <t>IT02455260444</t>
  </si>
  <si>
    <t>Fermo</t>
  </si>
  <si>
    <t>Marche</t>
  </si>
  <si>
    <t>4228.</t>
  </si>
  <si>
    <t>MAMPIERI GIORDANO SOCIETA' A RESPONSABILITA' LIMITATA SEMPLIFICATA</t>
  </si>
  <si>
    <t>12727411006</t>
  </si>
  <si>
    <t>IT12727411006</t>
  </si>
  <si>
    <t>Roma</t>
  </si>
  <si>
    <t>Lazio</t>
  </si>
  <si>
    <t>4229.</t>
  </si>
  <si>
    <t>TERRAZZURRA SRL</t>
  </si>
  <si>
    <t>04197590245</t>
  </si>
  <si>
    <t>IT04197590245</t>
  </si>
  <si>
    <t>Vicenza</t>
  </si>
  <si>
    <t>Veneto</t>
  </si>
  <si>
    <t>4230.</t>
  </si>
  <si>
    <t>C.E.A.M. PANZERA S.R.L.</t>
  </si>
  <si>
    <t>04195470614</t>
  </si>
  <si>
    <t>IT04195470614</t>
  </si>
  <si>
    <t>141320</t>
  </si>
  <si>
    <t>4231.</t>
  </si>
  <si>
    <t>CLUB MODA S.R.L.</t>
  </si>
  <si>
    <t>01810130672</t>
  </si>
  <si>
    <t>IT01810130672</t>
  </si>
  <si>
    <t>141400</t>
  </si>
  <si>
    <t>Teramo</t>
  </si>
  <si>
    <t>Abruzzo</t>
  </si>
  <si>
    <t>4232.</t>
  </si>
  <si>
    <t>VERDE C. SRL</t>
  </si>
  <si>
    <t>02334210602</t>
  </si>
  <si>
    <t>IT02334210602</t>
  </si>
  <si>
    <t>Napoli</t>
  </si>
  <si>
    <t>4233.</t>
  </si>
  <si>
    <t>F.A.M. SRLS UNIPERSONALE</t>
  </si>
  <si>
    <t>06912230486</t>
  </si>
  <si>
    <t>IT06912230486</t>
  </si>
  <si>
    <t>152020</t>
  </si>
  <si>
    <t>Firenze</t>
  </si>
  <si>
    <t>4234.</t>
  </si>
  <si>
    <t>QUERRE CONFEZIONI SRL</t>
  </si>
  <si>
    <t>05513630722</t>
  </si>
  <si>
    <t>IT05513630722</t>
  </si>
  <si>
    <t>141000</t>
  </si>
  <si>
    <t>Barletta-Andria-Trani</t>
  </si>
  <si>
    <t>Puglia</t>
  </si>
  <si>
    <t>4235.</t>
  </si>
  <si>
    <t>SCARF DESIGN S.R.L.</t>
  </si>
  <si>
    <t>06596270485</t>
  </si>
  <si>
    <t>IT06596270485</t>
  </si>
  <si>
    <t>4236.</t>
  </si>
  <si>
    <t>GABRIELLA ATELIER SPOSA SRL</t>
  </si>
  <si>
    <t>01574690432</t>
  </si>
  <si>
    <t>IT01574690432</t>
  </si>
  <si>
    <t>Macerata</t>
  </si>
  <si>
    <t>4237.</t>
  </si>
  <si>
    <t>BRAND S.R.L.</t>
  </si>
  <si>
    <t>02194230971</t>
  </si>
  <si>
    <t>IT02194230971</t>
  </si>
  <si>
    <t>143900</t>
  </si>
  <si>
    <t>Salerno</t>
  </si>
  <si>
    <t>4238.</t>
  </si>
  <si>
    <t>PROGETTI S.R.L.</t>
  </si>
  <si>
    <t>02757100421</t>
  </si>
  <si>
    <t>IT02757100421</t>
  </si>
  <si>
    <t>Ancona</t>
  </si>
  <si>
    <t>4239.</t>
  </si>
  <si>
    <t>MAGIA S.R.L.</t>
  </si>
  <si>
    <t>03315630164</t>
  </si>
  <si>
    <t>IT03315630164</t>
  </si>
  <si>
    <t>Bergamo</t>
  </si>
  <si>
    <t>Lombardia</t>
  </si>
  <si>
    <t>4240.</t>
  </si>
  <si>
    <t>IMPUT SHOES SOCIETA' A RESPONSABILITA' LIMITATA SEMPLIFICATA</t>
  </si>
  <si>
    <t>04800240261</t>
  </si>
  <si>
    <t>IT04800240261</t>
  </si>
  <si>
    <t>Treviso</t>
  </si>
  <si>
    <t>4241.</t>
  </si>
  <si>
    <t>PELLICCERIA OFELIA - S.R.L.</t>
  </si>
  <si>
    <t>01180100354</t>
  </si>
  <si>
    <t>IT01180100354</t>
  </si>
  <si>
    <t>142000</t>
  </si>
  <si>
    <t>Reggio nell'Emilia</t>
  </si>
  <si>
    <t>Emilia-Romagna</t>
  </si>
  <si>
    <t>4242.</t>
  </si>
  <si>
    <t>LENCO S.R.L.</t>
  </si>
  <si>
    <t>11161950966</t>
  </si>
  <si>
    <t>IT11161950966</t>
  </si>
  <si>
    <t>Milano</t>
  </si>
  <si>
    <t>4243.</t>
  </si>
  <si>
    <t>CALZIFICIO PRESTIGE S.R.L.</t>
  </si>
  <si>
    <t>03259090177</t>
  </si>
  <si>
    <t>IT03259090177</t>
  </si>
  <si>
    <t>143100</t>
  </si>
  <si>
    <t>Brescia</t>
  </si>
  <si>
    <t>4244.</t>
  </si>
  <si>
    <t>MIA MANIFATTURA ITALIANA ARTIGIANI SOCIETA' A RESPONSABILITA' LIMITATA SEMPLIFICATA</t>
  </si>
  <si>
    <t>02193200686</t>
  </si>
  <si>
    <t>IT02193200686</t>
  </si>
  <si>
    <t>Pescara</t>
  </si>
  <si>
    <t>4245.</t>
  </si>
  <si>
    <t>CORAME IMMOBILIARE S.R.L.</t>
  </si>
  <si>
    <t>02151630965</t>
  </si>
  <si>
    <t>IT02151630965</t>
  </si>
  <si>
    <t>151209</t>
  </si>
  <si>
    <t>Monza e della Brianza</t>
  </si>
  <si>
    <t>4246.</t>
  </si>
  <si>
    <t>DE THOMAS S.R.L.</t>
  </si>
  <si>
    <t>01200590683</t>
  </si>
  <si>
    <t>IT01200590683</t>
  </si>
  <si>
    <t>4247.</t>
  </si>
  <si>
    <t>S &amp; P - SAFETY &amp; PROTECTION SOCIETA' A RESPONSABILITA' LIMITATA</t>
  </si>
  <si>
    <t>01245810864</t>
  </si>
  <si>
    <t>IT01245810864</t>
  </si>
  <si>
    <t>141200</t>
  </si>
  <si>
    <t>Enna</t>
  </si>
  <si>
    <t>Sicilia</t>
  </si>
  <si>
    <t>4248.</t>
  </si>
  <si>
    <t>PICCOLA GIUGGIOLA S.R.L. SEMPLIFICATA</t>
  </si>
  <si>
    <t>05239100877</t>
  </si>
  <si>
    <t>IT05239100877</t>
  </si>
  <si>
    <t>141929</t>
  </si>
  <si>
    <t>Catania</t>
  </si>
  <si>
    <t>4249.</t>
  </si>
  <si>
    <t>LEXIAPEL S.R.L.</t>
  </si>
  <si>
    <t>00124950031</t>
  </si>
  <si>
    <t>IT00124950031</t>
  </si>
  <si>
    <t>151200</t>
  </si>
  <si>
    <t>Novara</t>
  </si>
  <si>
    <t>4250.</t>
  </si>
  <si>
    <t>GIST SERVICE SRL</t>
  </si>
  <si>
    <t>12010010010</t>
  </si>
  <si>
    <t>IT12010010010</t>
  </si>
  <si>
    <t>Torino</t>
  </si>
  <si>
    <t>4251.</t>
  </si>
  <si>
    <t>TOP 2 S.R.L.</t>
  </si>
  <si>
    <t>03744711213</t>
  </si>
  <si>
    <t>IT03744711213</t>
  </si>
  <si>
    <t>4252.</t>
  </si>
  <si>
    <t>CARBOTTI 1969 S.R.L.</t>
  </si>
  <si>
    <t>03741280162</t>
  </si>
  <si>
    <t>IT03741280162</t>
  </si>
  <si>
    <t>4253.</t>
  </si>
  <si>
    <t>FRECCIA BL LEATHER S.R.L.</t>
  </si>
  <si>
    <t>02878290648</t>
  </si>
  <si>
    <t>IT02878290648</t>
  </si>
  <si>
    <t>151100</t>
  </si>
  <si>
    <t>Avellino</t>
  </si>
  <si>
    <t>4254.</t>
  </si>
  <si>
    <t>DUCA D'ESTE S.R.L.</t>
  </si>
  <si>
    <t>02594890242</t>
  </si>
  <si>
    <t>IT02594890242</t>
  </si>
  <si>
    <t>4255.</t>
  </si>
  <si>
    <t>LE CHAPEAU SRL</t>
  </si>
  <si>
    <t>02080280403</t>
  </si>
  <si>
    <t>IT02080280403</t>
  </si>
  <si>
    <t>Forlì-Cesena</t>
  </si>
  <si>
    <t>4256.</t>
  </si>
  <si>
    <t>THEAMA FOR DANCE S.R.L.</t>
  </si>
  <si>
    <t>05222730870</t>
  </si>
  <si>
    <t>IT05222730870</t>
  </si>
  <si>
    <t>141320</t>
  </si>
  <si>
    <t>Catania</t>
  </si>
  <si>
    <t>Sicilia</t>
  </si>
  <si>
    <t>4257.</t>
  </si>
  <si>
    <t>TULIPANO S.R.L.</t>
  </si>
  <si>
    <t>04378950234</t>
  </si>
  <si>
    <t>IT04378950234</t>
  </si>
  <si>
    <t>141400</t>
  </si>
  <si>
    <t>Verona</t>
  </si>
  <si>
    <t>Veneto</t>
  </si>
  <si>
    <t>4258.</t>
  </si>
  <si>
    <t>DUE IN S.R.L.</t>
  </si>
  <si>
    <t>05473820727</t>
  </si>
  <si>
    <t>IT05473820727</t>
  </si>
  <si>
    <t>141310</t>
  </si>
  <si>
    <t>Barletta-Andria-Trani</t>
  </si>
  <si>
    <t>Puglia</t>
  </si>
  <si>
    <t>4259.</t>
  </si>
  <si>
    <t>DE.SCAL. S.R.L.</t>
  </si>
  <si>
    <t>05099330150</t>
  </si>
  <si>
    <t>IT05099330150</t>
  </si>
  <si>
    <t>141100</t>
  </si>
  <si>
    <t>Milano</t>
  </si>
  <si>
    <t>Lombardia</t>
  </si>
  <si>
    <t>4260.</t>
  </si>
  <si>
    <t>CASTELLANA STYLE S.R.L.</t>
  </si>
  <si>
    <t>06735030824</t>
  </si>
  <si>
    <t>IT06735030824</t>
  </si>
  <si>
    <t>141200</t>
  </si>
  <si>
    <t>Palermo</t>
  </si>
  <si>
    <t>4261.</t>
  </si>
  <si>
    <t>IL PUNTO S.R.L.</t>
  </si>
  <si>
    <t>04175411000</t>
  </si>
  <si>
    <t>IT04175411000</t>
  </si>
  <si>
    <t>143900</t>
  </si>
  <si>
    <t>Roma</t>
  </si>
  <si>
    <t>Lazio</t>
  </si>
  <si>
    <t>4262.</t>
  </si>
  <si>
    <t>ENGELMAN S.R.L.</t>
  </si>
  <si>
    <t>03391940982</t>
  </si>
  <si>
    <t>IT03391940982</t>
  </si>
  <si>
    <t>Brescia</t>
  </si>
  <si>
    <t>4263.</t>
  </si>
  <si>
    <t>STILEMAGLIA SRL</t>
  </si>
  <si>
    <t>04214110241</t>
  </si>
  <si>
    <t>IT04214110241</t>
  </si>
  <si>
    <t>Vicenza</t>
  </si>
  <si>
    <t>4264.</t>
  </si>
  <si>
    <t>HEXIS MILANO SOCIETA' A RESPONSAILITA' LIMITATA</t>
  </si>
  <si>
    <t>10260580963</t>
  </si>
  <si>
    <t>IT10260580963</t>
  </si>
  <si>
    <t>n.d.</t>
  </si>
  <si>
    <t>4265.</t>
  </si>
  <si>
    <t>STYL GRAND S.R.L.</t>
  </si>
  <si>
    <t>03275180267</t>
  </si>
  <si>
    <t>IT03275180267</t>
  </si>
  <si>
    <t>152010</t>
  </si>
  <si>
    <t>Treviso</t>
  </si>
  <si>
    <t>4266.</t>
  </si>
  <si>
    <t>DUE PALME S.R.L.</t>
  </si>
  <si>
    <t>01690750987</t>
  </si>
  <si>
    <t>IT01690750987</t>
  </si>
  <si>
    <t>143100</t>
  </si>
  <si>
    <t>4267.</t>
  </si>
  <si>
    <t>INTIMO INFINITY S.R.L.</t>
  </si>
  <si>
    <t>06992010725</t>
  </si>
  <si>
    <t>IT06992010725</t>
  </si>
  <si>
    <t>4268.</t>
  </si>
  <si>
    <t>PRATIKA CALZATURE SOCIETA' COOPERATIVA</t>
  </si>
  <si>
    <t>01580070447</t>
  </si>
  <si>
    <t>IT01580070447</t>
  </si>
  <si>
    <t>Fermo</t>
  </si>
  <si>
    <t>Marche</t>
  </si>
  <si>
    <t>4269.</t>
  </si>
  <si>
    <t>PALAZZO 1991 S.R.L.</t>
  </si>
  <si>
    <t>03174120737</t>
  </si>
  <si>
    <t>IT03174120737</t>
  </si>
  <si>
    <t>Taranto</t>
  </si>
  <si>
    <t>4270.</t>
  </si>
  <si>
    <t>VERONA RUNNER S.R.L.</t>
  </si>
  <si>
    <t>03817630233</t>
  </si>
  <si>
    <t>IT03817630233</t>
  </si>
  <si>
    <t>141929</t>
  </si>
  <si>
    <t>4271.</t>
  </si>
  <si>
    <t>D&amp;D TIES SRL</t>
  </si>
  <si>
    <t>05664750659</t>
  </si>
  <si>
    <t>IT05664750659</t>
  </si>
  <si>
    <t>141910</t>
  </si>
  <si>
    <t>Salerno</t>
  </si>
  <si>
    <t>Campania</t>
  </si>
  <si>
    <t>4272.</t>
  </si>
  <si>
    <t>LTA S.R.L.</t>
  </si>
  <si>
    <t>03473290132</t>
  </si>
  <si>
    <t>IT03473290132</t>
  </si>
  <si>
    <t>Como</t>
  </si>
  <si>
    <t>4273.</t>
  </si>
  <si>
    <t>CHICLITIC S.R.L.</t>
  </si>
  <si>
    <t>04483980282</t>
  </si>
  <si>
    <t>IT04483980282</t>
  </si>
  <si>
    <t>Padova</t>
  </si>
  <si>
    <t>4274.</t>
  </si>
  <si>
    <t>LA PADOVAN SOCIETA' A RESPONSABILITA' LIMITATA</t>
  </si>
  <si>
    <t>15419691009</t>
  </si>
  <si>
    <t>IT15419691009</t>
  </si>
  <si>
    <t>4275.</t>
  </si>
  <si>
    <t>L.I.S.A. SOCIETA' COOPERATIVA</t>
  </si>
  <si>
    <t>01640520928</t>
  </si>
  <si>
    <t>IT01640520928</t>
  </si>
  <si>
    <t>141000</t>
  </si>
  <si>
    <t>Sud Sardegna</t>
  </si>
  <si>
    <t>Sardegna</t>
  </si>
  <si>
    <t>4276.</t>
  </si>
  <si>
    <t>A.M.C. DEI F.LLI CATELLANI S.R.L.</t>
  </si>
  <si>
    <t>02314650355</t>
  </si>
  <si>
    <t>IT02314650355</t>
  </si>
  <si>
    <t>Reggio nell'Emilia</t>
  </si>
  <si>
    <t>Emilia-Romagna</t>
  </si>
  <si>
    <t>4277.</t>
  </si>
  <si>
    <t>UGLY FISH S.R.L.</t>
  </si>
  <si>
    <t>07720900963</t>
  </si>
  <si>
    <t>IT07720900963</t>
  </si>
  <si>
    <t>Grosseto</t>
  </si>
  <si>
    <t>Toscana</t>
  </si>
  <si>
    <t>4278.</t>
  </si>
  <si>
    <t>MUSIANI S.R.L.</t>
  </si>
  <si>
    <t>00628691206</t>
  </si>
  <si>
    <t>03511200374</t>
  </si>
  <si>
    <t>IT03511200374</t>
  </si>
  <si>
    <t>Bologna</t>
  </si>
  <si>
    <t>4279.</t>
  </si>
  <si>
    <t>F.C. S.R.L.</t>
  </si>
  <si>
    <t>04654800756</t>
  </si>
  <si>
    <t>IT04654800756</t>
  </si>
  <si>
    <t>Lecce</t>
  </si>
  <si>
    <t>4280.</t>
  </si>
  <si>
    <t>SIMONE BIAGIONI S.R.L.</t>
  </si>
  <si>
    <t>06189880484</t>
  </si>
  <si>
    <t>IT06189880484</t>
  </si>
  <si>
    <t>Pistoia</t>
  </si>
  <si>
    <t>4281.</t>
  </si>
  <si>
    <t>ZANCONATO PELLAMI S.R.L. - SOCIETA' UNIPERSONALE</t>
  </si>
  <si>
    <t>00406440248</t>
  </si>
  <si>
    <t>IT00406440248</t>
  </si>
  <si>
    <t>151100</t>
  </si>
  <si>
    <t>4282.</t>
  </si>
  <si>
    <t>VALIGIE CAMPIONARIO S.R.L.</t>
  </si>
  <si>
    <t>05447810960</t>
  </si>
  <si>
    <t>IT05447810960</t>
  </si>
  <si>
    <t>151209</t>
  </si>
  <si>
    <t>4283.</t>
  </si>
  <si>
    <t>VENTESIMA STRADA S.R.L.</t>
  </si>
  <si>
    <t>04419370269</t>
  </si>
  <si>
    <t>IT04419370269</t>
  </si>
  <si>
    <t>4284.</t>
  </si>
  <si>
    <t>MYGLOVES SOCIETA' A RESPONSABILITA' LIMITATA</t>
  </si>
  <si>
    <t>04052000611</t>
  </si>
  <si>
    <t>IT04052000611</t>
  </si>
  <si>
    <t>Napoli</t>
  </si>
  <si>
    <t>4285.</t>
  </si>
  <si>
    <t>CHALLENGER SRL</t>
  </si>
  <si>
    <t>03357090368</t>
  </si>
  <si>
    <t>IT03357090368</t>
  </si>
  <si>
    <t>Modena</t>
  </si>
  <si>
    <t>4286.</t>
  </si>
  <si>
    <t>ERREPI S.R.L.</t>
  </si>
  <si>
    <t>03931480242</t>
  </si>
  <si>
    <t>IT03931480242</t>
  </si>
  <si>
    <t>4287.</t>
  </si>
  <si>
    <t>SARTORIA GALLO S.R.L.</t>
  </si>
  <si>
    <t>15958081000</t>
  </si>
  <si>
    <t>IT15958081000</t>
  </si>
  <si>
    <t>4288.</t>
  </si>
  <si>
    <t>BEBI S.R.L.</t>
  </si>
  <si>
    <t>02538550035</t>
  </si>
  <si>
    <t>94080060034</t>
  </si>
  <si>
    <t>IT94080060034</t>
  </si>
  <si>
    <t>141310</t>
  </si>
  <si>
    <t>Novara</t>
  </si>
  <si>
    <t>Piemonte</t>
  </si>
  <si>
    <t>4289.</t>
  </si>
  <si>
    <t>S &amp; M SOCIETA' A RESPONSABILITA' LIMITATA SEMPLIFICATA</t>
  </si>
  <si>
    <t>04930370285</t>
  </si>
  <si>
    <t>IT04930370285</t>
  </si>
  <si>
    <t>141929</t>
  </si>
  <si>
    <t>Padova</t>
  </si>
  <si>
    <t>Veneto</t>
  </si>
  <si>
    <t>n.d.</t>
  </si>
  <si>
    <t>4290.</t>
  </si>
  <si>
    <t>OJI SOCIETA' A RESPONSABILITA' LIMITATA SEMPLIFICATA</t>
  </si>
  <si>
    <t>02304770973</t>
  </si>
  <si>
    <t>IT02304770973</t>
  </si>
  <si>
    <t>Prato</t>
  </si>
  <si>
    <t>Toscana</t>
  </si>
  <si>
    <t>4291.</t>
  </si>
  <si>
    <t>CUOIO DI MODENA SRL</t>
  </si>
  <si>
    <t>04022400362</t>
  </si>
  <si>
    <t>IT04022400362</t>
  </si>
  <si>
    <t>151209</t>
  </si>
  <si>
    <t>Modena</t>
  </si>
  <si>
    <t>Emilia-Romagna</t>
  </si>
  <si>
    <t>4292.</t>
  </si>
  <si>
    <t>CRISTINA SPORT SRL</t>
  </si>
  <si>
    <t>02604240065</t>
  </si>
  <si>
    <t>IT02604240065</t>
  </si>
  <si>
    <t>Alessandria</t>
  </si>
  <si>
    <t>4293.</t>
  </si>
  <si>
    <t>RISORSE FUTURE SRL</t>
  </si>
  <si>
    <t>02182050449</t>
  </si>
  <si>
    <t>IT02182050449</t>
  </si>
  <si>
    <t>152010</t>
  </si>
  <si>
    <t>Fermo</t>
  </si>
  <si>
    <t>Marche</t>
  </si>
  <si>
    <t>4294.</t>
  </si>
  <si>
    <t>ANSTEFFAN S.R.L.</t>
  </si>
  <si>
    <t>06331140159</t>
  </si>
  <si>
    <t>IT06331140159</t>
  </si>
  <si>
    <t>Milano</t>
  </si>
  <si>
    <t>Lombardia</t>
  </si>
  <si>
    <t>4295.</t>
  </si>
  <si>
    <t>CHEMICAL INCISION PROCESS - S.R.L.</t>
  </si>
  <si>
    <t>00846730182</t>
  </si>
  <si>
    <t>IT00846730182</t>
  </si>
  <si>
    <t>141910</t>
  </si>
  <si>
    <t>Pavia</t>
  </si>
  <si>
    <t>4296.</t>
  </si>
  <si>
    <t>AJHAMI SRL</t>
  </si>
  <si>
    <t>05053910260</t>
  </si>
  <si>
    <t>IT05053910260</t>
  </si>
  <si>
    <t>Treviso</t>
  </si>
  <si>
    <t>4297.</t>
  </si>
  <si>
    <t>POEMO DESIGN S.R.L.</t>
  </si>
  <si>
    <t>02592140137</t>
  </si>
  <si>
    <t>IT02592140137</t>
  </si>
  <si>
    <t>141000</t>
  </si>
  <si>
    <t>Como</t>
  </si>
  <si>
    <t>4298.</t>
  </si>
  <si>
    <t>DOMENICO CARACENI SRL</t>
  </si>
  <si>
    <t>11044880968</t>
  </si>
  <si>
    <t>IT11044880968</t>
  </si>
  <si>
    <t>141320</t>
  </si>
  <si>
    <t>4299.</t>
  </si>
  <si>
    <t>ITALIAN DESIGN SRL</t>
  </si>
  <si>
    <t>02787090303</t>
  </si>
  <si>
    <t>IT02787090303</t>
  </si>
  <si>
    <t>Udine</t>
  </si>
  <si>
    <t>Friuli-Venezia Giulia</t>
  </si>
  <si>
    <t>4300.</t>
  </si>
  <si>
    <t>THE SAVILE COMPANY S.R.L. O, IN FORMA ABBREVIATA, THE SAVILE CO. S.R.L.</t>
  </si>
  <si>
    <t>09032400963</t>
  </si>
  <si>
    <t>IT09032400963</t>
  </si>
  <si>
    <t>4301.</t>
  </si>
  <si>
    <t>FRIVEN S.R.L.</t>
  </si>
  <si>
    <t>05357720266</t>
  </si>
  <si>
    <t>IT05357720266</t>
  </si>
  <si>
    <t>4302.</t>
  </si>
  <si>
    <t>RAMTEX - S.R.L.</t>
  </si>
  <si>
    <t>01235250121</t>
  </si>
  <si>
    <t>IT01235250121</t>
  </si>
  <si>
    <t>141400</t>
  </si>
  <si>
    <t>Varese</t>
  </si>
  <si>
    <t>4303.</t>
  </si>
  <si>
    <t>MEDIKSAN S.R.L.</t>
  </si>
  <si>
    <t>01690410533</t>
  </si>
  <si>
    <t>IT01690410533</t>
  </si>
  <si>
    <t>Grosseto</t>
  </si>
  <si>
    <t>4304.</t>
  </si>
  <si>
    <t>ZETAEFFE SRL</t>
  </si>
  <si>
    <t>03551090248</t>
  </si>
  <si>
    <t>IT03551090248</t>
  </si>
  <si>
    <t>141920</t>
  </si>
  <si>
    <t>Vicenza</t>
  </si>
  <si>
    <t>4305.</t>
  </si>
  <si>
    <t>WILD HOG SRL</t>
  </si>
  <si>
    <t>02784530350</t>
  </si>
  <si>
    <t>IT02784530350</t>
  </si>
  <si>
    <t>Reggio nell'Emilia</t>
  </si>
  <si>
    <t>4306.</t>
  </si>
  <si>
    <t>TEAM FORM SRL</t>
  </si>
  <si>
    <t>03024070264</t>
  </si>
  <si>
    <t>IT03024070264</t>
  </si>
  <si>
    <t>4307.</t>
  </si>
  <si>
    <t>ALEX SRLS</t>
  </si>
  <si>
    <t>02015770437</t>
  </si>
  <si>
    <t>IT02015770437</t>
  </si>
  <si>
    <t>Macerata</t>
  </si>
  <si>
    <t>4308.</t>
  </si>
  <si>
    <t>SINTESI S.R.L.</t>
  </si>
  <si>
    <t>01929570677</t>
  </si>
  <si>
    <t>IT01929570677</t>
  </si>
  <si>
    <t>151100</t>
  </si>
  <si>
    <t>Teramo</t>
  </si>
  <si>
    <t>Abruzzo</t>
  </si>
  <si>
    <t>4309.</t>
  </si>
  <si>
    <t>BAGATTO SRL</t>
  </si>
  <si>
    <t>02012140444</t>
  </si>
  <si>
    <t>IT02012140444</t>
  </si>
  <si>
    <t>4310.</t>
  </si>
  <si>
    <t>ARTEKA S.R.L.</t>
  </si>
  <si>
    <t>03968010243</t>
  </si>
  <si>
    <t>IT03968010243</t>
  </si>
  <si>
    <t>142000</t>
  </si>
  <si>
    <t>4311.</t>
  </si>
  <si>
    <t>GRUPPO SRM SOCIETA' A RESPONSABILITA' LIMITATA SEMPLIFICATA</t>
  </si>
  <si>
    <t>09518351219</t>
  </si>
  <si>
    <t>IT09518351219</t>
  </si>
  <si>
    <t>Napoli</t>
  </si>
  <si>
    <t>Campania</t>
  </si>
  <si>
    <t>4312.</t>
  </si>
  <si>
    <t>ROSSI FUTURING S.R.L.</t>
  </si>
  <si>
    <t>01139510505</t>
  </si>
  <si>
    <t>IT01139510505</t>
  </si>
  <si>
    <t>Pisa</t>
  </si>
  <si>
    <t>4313.</t>
  </si>
  <si>
    <t>NITRO S.R.L.</t>
  </si>
  <si>
    <t>03963910983</t>
  </si>
  <si>
    <t>IT03963910983</t>
  </si>
  <si>
    <t>Brescia</t>
  </si>
  <si>
    <t>4314.</t>
  </si>
  <si>
    <t>HM S.R.L.</t>
  </si>
  <si>
    <t>10747110962</t>
  </si>
  <si>
    <t>IT10747110962</t>
  </si>
  <si>
    <t>4315.</t>
  </si>
  <si>
    <t>MODA MARE S.R.L.</t>
  </si>
  <si>
    <t>08525291210</t>
  </si>
  <si>
    <t>IT08525291210</t>
  </si>
  <si>
    <t>4316.</t>
  </si>
  <si>
    <t>DIMAAR S.R.L.</t>
  </si>
  <si>
    <t>12605481006</t>
  </si>
  <si>
    <t>IT12605481006</t>
  </si>
  <si>
    <t>141300</t>
  </si>
  <si>
    <t>Benevento</t>
  </si>
  <si>
    <t>4317.</t>
  </si>
  <si>
    <t>PERFECTUM S.R.L.</t>
  </si>
  <si>
    <t>04563340266</t>
  </si>
  <si>
    <t>IT04563340266</t>
  </si>
  <si>
    <t>4318.</t>
  </si>
  <si>
    <t>CATTANEO CRAVATTE SRL</t>
  </si>
  <si>
    <t>06509190010</t>
  </si>
  <si>
    <t>IT06509190010</t>
  </si>
  <si>
    <t>Torino</t>
  </si>
  <si>
    <t>4319.</t>
  </si>
  <si>
    <t>FAMAR S.R.L.</t>
  </si>
  <si>
    <t>02062990367</t>
  </si>
  <si>
    <t>IT02062990367</t>
  </si>
  <si>
    <t>143000</t>
  </si>
  <si>
    <t>4320.</t>
  </si>
  <si>
    <t>ENRICO VERNIZZI S.R.L.</t>
  </si>
  <si>
    <t>01515120341</t>
  </si>
  <si>
    <t>IT01515120341</t>
  </si>
  <si>
    <t>151200</t>
  </si>
  <si>
    <t>Parma</t>
  </si>
  <si>
    <t>Emilia-Romagna</t>
  </si>
  <si>
    <t>4321.</t>
  </si>
  <si>
    <t>OFFICINE DEL CAPPELLO S.R.L.</t>
  </si>
  <si>
    <t>12169831000</t>
  </si>
  <si>
    <t>IT12169831000</t>
  </si>
  <si>
    <t>141910</t>
  </si>
  <si>
    <t>Roma</t>
  </si>
  <si>
    <t>Lazio</t>
  </si>
  <si>
    <t>4322.</t>
  </si>
  <si>
    <t>RIFINIZIONI DAVID SOCIETA' A RESPONSABILITA' LIMITATA SEMPLIFICAT A</t>
  </si>
  <si>
    <t>02287150508</t>
  </si>
  <si>
    <t>IT02287150508</t>
  </si>
  <si>
    <t>152020</t>
  </si>
  <si>
    <t>Pisa</t>
  </si>
  <si>
    <t>Toscana</t>
  </si>
  <si>
    <t>4323.</t>
  </si>
  <si>
    <t>CAMPIONTEX S.R.L.</t>
  </si>
  <si>
    <t>01781890247</t>
  </si>
  <si>
    <t>IT01781890247</t>
  </si>
  <si>
    <t>Vicenza</t>
  </si>
  <si>
    <t>Veneto</t>
  </si>
  <si>
    <t>4324.</t>
  </si>
  <si>
    <t>EFFEPELLE S.R.L.</t>
  </si>
  <si>
    <t>03343210278</t>
  </si>
  <si>
    <t>IT03343210278</t>
  </si>
  <si>
    <t>141100</t>
  </si>
  <si>
    <t>Venezia</t>
  </si>
  <si>
    <t>n.d.</t>
  </si>
  <si>
    <t>4325.</t>
  </si>
  <si>
    <t>M&amp;M S.R.L.</t>
  </si>
  <si>
    <t>01730950431</t>
  </si>
  <si>
    <t>IT01730950431</t>
  </si>
  <si>
    <t>Macerata</t>
  </si>
  <si>
    <t>Marche</t>
  </si>
  <si>
    <t>4326.</t>
  </si>
  <si>
    <t>BEATRICE GROUP S.R.L.</t>
  </si>
  <si>
    <t>06149720721</t>
  </si>
  <si>
    <t>IT06149720721</t>
  </si>
  <si>
    <t>152010</t>
  </si>
  <si>
    <t>Bari</t>
  </si>
  <si>
    <t>Puglia</t>
  </si>
  <si>
    <t>4327.</t>
  </si>
  <si>
    <t>DINAMO GROUP SRLS</t>
  </si>
  <si>
    <t>03607160128</t>
  </si>
  <si>
    <t>IT03607160128</t>
  </si>
  <si>
    <t>Varese</t>
  </si>
  <si>
    <t>Lombardia</t>
  </si>
  <si>
    <t>4328.</t>
  </si>
  <si>
    <t>COOPERATIVA SOCIALE ALICE</t>
  </si>
  <si>
    <t>10566700158</t>
  </si>
  <si>
    <t>IT10566700158</t>
  </si>
  <si>
    <t>141320</t>
  </si>
  <si>
    <t>Milano</t>
  </si>
  <si>
    <t>4329.</t>
  </si>
  <si>
    <t>D.A.G. - SOCIETA' A RESPONSABILITA' LIMITATA</t>
  </si>
  <si>
    <t>15054151004</t>
  </si>
  <si>
    <t>IT15054151004</t>
  </si>
  <si>
    <t>4330.</t>
  </si>
  <si>
    <t>ROBERTA NERI S.R.L.</t>
  </si>
  <si>
    <t>03667020360</t>
  </si>
  <si>
    <t>IT03667020360</t>
  </si>
  <si>
    <t>141310</t>
  </si>
  <si>
    <t>Modena</t>
  </si>
  <si>
    <t>4331.</t>
  </si>
  <si>
    <t>SUOLIFICIO ELISA SRL</t>
  </si>
  <si>
    <t>03933840989</t>
  </si>
  <si>
    <t>IT03933840989</t>
  </si>
  <si>
    <t>Brescia</t>
  </si>
  <si>
    <t>4332.</t>
  </si>
  <si>
    <t>BELISARIO SRL</t>
  </si>
  <si>
    <t>01885200681</t>
  </si>
  <si>
    <t>IT01885200681</t>
  </si>
  <si>
    <t>Pescara</t>
  </si>
  <si>
    <t>Abruzzo</t>
  </si>
  <si>
    <t>4333.</t>
  </si>
  <si>
    <t>GIOAVY S.R.L.S.</t>
  </si>
  <si>
    <t>07677381217</t>
  </si>
  <si>
    <t>IT07677381217</t>
  </si>
  <si>
    <t>141929</t>
  </si>
  <si>
    <t>Napoli</t>
  </si>
  <si>
    <t>Campania</t>
  </si>
  <si>
    <t>4334.</t>
  </si>
  <si>
    <t>V.A.L. FASHION SRL</t>
  </si>
  <si>
    <t>02477850602</t>
  </si>
  <si>
    <t>IT02477850602</t>
  </si>
  <si>
    <t>141000</t>
  </si>
  <si>
    <t>Frosinone</t>
  </si>
  <si>
    <t>4335.</t>
  </si>
  <si>
    <t>CALZATURIFICIO FRANCO CIMADAMORE S.R.L.</t>
  </si>
  <si>
    <t>01360220444</t>
  </si>
  <si>
    <t>IT01360220444</t>
  </si>
  <si>
    <t>Fermo</t>
  </si>
  <si>
    <t>4336.</t>
  </si>
  <si>
    <t>BEAR S.R.L.</t>
  </si>
  <si>
    <t>04750670269</t>
  </si>
  <si>
    <t>IT04750670269</t>
  </si>
  <si>
    <t>Treviso</t>
  </si>
  <si>
    <t>4337.</t>
  </si>
  <si>
    <t>ANGELA F. S.R.L.</t>
  </si>
  <si>
    <t>01863310361</t>
  </si>
  <si>
    <t>IT01863310361</t>
  </si>
  <si>
    <t>143900</t>
  </si>
  <si>
    <t>4338.</t>
  </si>
  <si>
    <t>AL REVE'S SOCIETA' COOPERATIVA SOCIALE</t>
  </si>
  <si>
    <t>06137310824</t>
  </si>
  <si>
    <t>IT06137310824</t>
  </si>
  <si>
    <t>Palermo</t>
  </si>
  <si>
    <t>Sicilia</t>
  </si>
  <si>
    <t>4339.</t>
  </si>
  <si>
    <t>MAGLIFICIO FRANCESCHINI SOCIETA' A RESPONSABILITA' LIMITATA SEMPL IFICATA</t>
  </si>
  <si>
    <t>03963680362</t>
  </si>
  <si>
    <t>IT03963680362</t>
  </si>
  <si>
    <t>4340.</t>
  </si>
  <si>
    <t>G.D. LEATHER SRL</t>
  </si>
  <si>
    <t>02142000500</t>
  </si>
  <si>
    <t>IT02142000500</t>
  </si>
  <si>
    <t>151100</t>
  </si>
  <si>
    <t>4341.</t>
  </si>
  <si>
    <t>MANIFATTURE CHIVI S.R.L.</t>
  </si>
  <si>
    <t>06711350725</t>
  </si>
  <si>
    <t>IT06711350725</t>
  </si>
  <si>
    <t>Barletta-Andria-Trani</t>
  </si>
  <si>
    <t>4342.</t>
  </si>
  <si>
    <t>REGENESI S.R.L.</t>
  </si>
  <si>
    <t>02853631204</t>
  </si>
  <si>
    <t>IT02853631204</t>
  </si>
  <si>
    <t>151209</t>
  </si>
  <si>
    <t>Bologna</t>
  </si>
  <si>
    <t>4343.</t>
  </si>
  <si>
    <t>HABILLE' S.R.L.</t>
  </si>
  <si>
    <t>03408570616</t>
  </si>
  <si>
    <t>IT03408570616</t>
  </si>
  <si>
    <t>Caserta</t>
  </si>
  <si>
    <t>4344.</t>
  </si>
  <si>
    <t>HI-TECH LUXURY LAB S.R.L.</t>
  </si>
  <si>
    <t>02004970436</t>
  </si>
  <si>
    <t>IT02004970436</t>
  </si>
  <si>
    <t>4345.</t>
  </si>
  <si>
    <t>MAGMA 25 SOCIETA' A RESPONSABILITA' LIMITATA SEMPLIFICATA</t>
  </si>
  <si>
    <t>09832700968</t>
  </si>
  <si>
    <t>IT09832700968</t>
  </si>
  <si>
    <t>4346.</t>
  </si>
  <si>
    <t>LADY L SPOSE S.R.L.</t>
  </si>
  <si>
    <t>12122700961</t>
  </si>
  <si>
    <t>IT12122700961</t>
  </si>
  <si>
    <t>4347.</t>
  </si>
  <si>
    <t>DTEK SOCIETA' A RESPONSABILITA' LIMITATA SEMPLIFICATA</t>
  </si>
  <si>
    <t>04234690230</t>
  </si>
  <si>
    <t>IT04234690230</t>
  </si>
  <si>
    <t>Verona</t>
  </si>
  <si>
    <t>4348.</t>
  </si>
  <si>
    <t>VD S.R.L.</t>
  </si>
  <si>
    <t>03884201207</t>
  </si>
  <si>
    <t>IT03884201207</t>
  </si>
  <si>
    <t>4349.</t>
  </si>
  <si>
    <t>GILDA BRUNI SRL</t>
  </si>
  <si>
    <t>02837620646</t>
  </si>
  <si>
    <t>IT02837620646</t>
  </si>
  <si>
    <t>Avellino</t>
  </si>
  <si>
    <t>4350.</t>
  </si>
  <si>
    <t>BRIGITTE ITALIA S.R.L.</t>
  </si>
  <si>
    <t>00325020436</t>
  </si>
  <si>
    <t>IT00325020436</t>
  </si>
  <si>
    <t>4351.</t>
  </si>
  <si>
    <t>VILLA DELMITIA S.R.L.</t>
  </si>
  <si>
    <t>10081370156</t>
  </si>
  <si>
    <t>IT10081370156</t>
  </si>
  <si>
    <t>4352.</t>
  </si>
  <si>
    <t>EUROMAGLIA S.R.L.</t>
  </si>
  <si>
    <t>02503640266</t>
  </si>
  <si>
    <t>IT02503640266</t>
  </si>
  <si>
    <t>143000</t>
  </si>
  <si>
    <t>Treviso</t>
  </si>
  <si>
    <t>Veneto</t>
  </si>
  <si>
    <t>4353.</t>
  </si>
  <si>
    <t>LIMA S.R.L.</t>
  </si>
  <si>
    <t>08288090965</t>
  </si>
  <si>
    <t>IT08288090965</t>
  </si>
  <si>
    <t>141320</t>
  </si>
  <si>
    <t>Milano</t>
  </si>
  <si>
    <t>Lombardia</t>
  </si>
  <si>
    <t>4354.</t>
  </si>
  <si>
    <t>SAINT ANTHONY - SOCIETA' A RESPONSABILITA' LIMITATA</t>
  </si>
  <si>
    <t>02845590641</t>
  </si>
  <si>
    <t>IT02845590641</t>
  </si>
  <si>
    <t>151209</t>
  </si>
  <si>
    <t>n.d.</t>
  </si>
  <si>
    <t>4355.</t>
  </si>
  <si>
    <t>CALZATURIFICIO EVAN GARD S.R.L.</t>
  </si>
  <si>
    <t>06542230724</t>
  </si>
  <si>
    <t>IT06542230724</t>
  </si>
  <si>
    <t>152010</t>
  </si>
  <si>
    <t>Barletta-Andria-Trani</t>
  </si>
  <si>
    <t>Puglia</t>
  </si>
  <si>
    <t>4356.</t>
  </si>
  <si>
    <t>CONFEZIONI RIO S.R.L.</t>
  </si>
  <si>
    <t>01719450700</t>
  </si>
  <si>
    <t>IT01719450700</t>
  </si>
  <si>
    <t>141910</t>
  </si>
  <si>
    <t>Campobasso</t>
  </si>
  <si>
    <t>Molise</t>
  </si>
  <si>
    <t>4357.</t>
  </si>
  <si>
    <t>TACCHINO - S.R.L.</t>
  </si>
  <si>
    <t>01629790062</t>
  </si>
  <si>
    <t>IT01629790062</t>
  </si>
  <si>
    <t>Alessandria</t>
  </si>
  <si>
    <t>Piemonte</t>
  </si>
  <si>
    <t>4358.</t>
  </si>
  <si>
    <t>4-14 FACTORY S.R.L.</t>
  </si>
  <si>
    <t>04621970237</t>
  </si>
  <si>
    <t>IT04621970237</t>
  </si>
  <si>
    <t>141929</t>
  </si>
  <si>
    <t>Verona</t>
  </si>
  <si>
    <t>4359.</t>
  </si>
  <si>
    <t>ELPIDA SRLS</t>
  </si>
  <si>
    <t>05059020262</t>
  </si>
  <si>
    <t>IT05059020262</t>
  </si>
  <si>
    <t>141000</t>
  </si>
  <si>
    <t>4360.</t>
  </si>
  <si>
    <t>SIGAFANTASY SRL</t>
  </si>
  <si>
    <t>04307720989</t>
  </si>
  <si>
    <t>IT04307720989</t>
  </si>
  <si>
    <t>Brescia</t>
  </si>
  <si>
    <t>4361.</t>
  </si>
  <si>
    <t>GIADA S.R.L.</t>
  </si>
  <si>
    <t>02811720966</t>
  </si>
  <si>
    <t>IT02811720966</t>
  </si>
  <si>
    <t>Monza e della Brianza</t>
  </si>
  <si>
    <t>4362.</t>
  </si>
  <si>
    <t>PARADISO1986 SOCIETA' A RESPONSABILITA' LIMITATA SEMPLIFICATA</t>
  </si>
  <si>
    <t>14599371003</t>
  </si>
  <si>
    <t>IT14599371003</t>
  </si>
  <si>
    <t>Roma</t>
  </si>
  <si>
    <t>Lazio</t>
  </si>
  <si>
    <t>4363.</t>
  </si>
  <si>
    <t>CREAZIONI ESCLUSIVE S.R.L.</t>
  </si>
  <si>
    <t>08879880964</t>
  </si>
  <si>
    <t>IT08879880964</t>
  </si>
  <si>
    <t>4364.</t>
  </si>
  <si>
    <t>SARTORIA MICHELE S.R.L.</t>
  </si>
  <si>
    <t>03519000545</t>
  </si>
  <si>
    <t>IT03519000545</t>
  </si>
  <si>
    <t>Perugia</t>
  </si>
  <si>
    <t>Umbria</t>
  </si>
  <si>
    <t>4365.</t>
  </si>
  <si>
    <t>ARAVEC SRL</t>
  </si>
  <si>
    <t>02211610262</t>
  </si>
  <si>
    <t>IT02211610262</t>
  </si>
  <si>
    <t>152020</t>
  </si>
  <si>
    <t>4366.</t>
  </si>
  <si>
    <t>TRENTAREMI S.R.L.</t>
  </si>
  <si>
    <t>07963711218</t>
  </si>
  <si>
    <t>IT07963711218</t>
  </si>
  <si>
    <t>Napoli</t>
  </si>
  <si>
    <t>Campania</t>
  </si>
  <si>
    <t>4367.</t>
  </si>
  <si>
    <t>DRESS S.R.L.</t>
  </si>
  <si>
    <t>03856791219</t>
  </si>
  <si>
    <t>IT03856791219</t>
  </si>
  <si>
    <t>4368.</t>
  </si>
  <si>
    <t>TRILLY TUTTI BRILLI SRL</t>
  </si>
  <si>
    <t>02525900060</t>
  </si>
  <si>
    <t>IT02525900060</t>
  </si>
  <si>
    <t>4369.</t>
  </si>
  <si>
    <t>DI FILIPPO ITALIANA PELLETTERIE SOCIETA' A RESPONSABILITA' LIMITATA, IN FORMA ABBREVIATA DI FILIPPO ITALIANA PELLETTERIE S.R.L.</t>
  </si>
  <si>
    <t>01722370671</t>
  </si>
  <si>
    <t>IT01722370671</t>
  </si>
  <si>
    <t>Teramo</t>
  </si>
  <si>
    <t>Abruzzo</t>
  </si>
  <si>
    <t>4370.</t>
  </si>
  <si>
    <t>PIPOLO S.R.L.</t>
  </si>
  <si>
    <t>04233711219</t>
  </si>
  <si>
    <t>IT04233711219</t>
  </si>
  <si>
    <t>4371.</t>
  </si>
  <si>
    <t>TINOTREVISAN SOCIETA' A RESPONSABILITA' LIMITATA SEMPLIFICATA</t>
  </si>
  <si>
    <t>02632770026</t>
  </si>
  <si>
    <t>IT02632770026</t>
  </si>
  <si>
    <t>Biella</t>
  </si>
  <si>
    <t>4372.</t>
  </si>
  <si>
    <t>WORKPLACE SAFETY GROUP SRL</t>
  </si>
  <si>
    <t>03334580366</t>
  </si>
  <si>
    <t>IT03334580366</t>
  </si>
  <si>
    <t>141200</t>
  </si>
  <si>
    <t>Modena</t>
  </si>
  <si>
    <t>Emilia-Romagna</t>
  </si>
  <si>
    <t>4373.</t>
  </si>
  <si>
    <t>DAMSCO S.R.L.</t>
  </si>
  <si>
    <t>01517250120</t>
  </si>
  <si>
    <t>IT01517250120</t>
  </si>
  <si>
    <t>Varese</t>
  </si>
  <si>
    <t>4374.</t>
  </si>
  <si>
    <t>ITALIAN PET FASHION SRLS</t>
  </si>
  <si>
    <t>08948220960</t>
  </si>
  <si>
    <t>IT08948220960</t>
  </si>
  <si>
    <t>4375.</t>
  </si>
  <si>
    <t>GLOBAL WEAR S.R.L</t>
  </si>
  <si>
    <t>02459990541</t>
  </si>
  <si>
    <t>IT02459990541</t>
  </si>
  <si>
    <t>141310</t>
  </si>
  <si>
    <t>4376.</t>
  </si>
  <si>
    <t>L.T.A. S.R.L.</t>
  </si>
  <si>
    <t>00676120413</t>
  </si>
  <si>
    <t>IT00676120413</t>
  </si>
  <si>
    <t>Pesaro e Urbino</t>
  </si>
  <si>
    <t>Marche</t>
  </si>
  <si>
    <t>4377.</t>
  </si>
  <si>
    <t>NODO S.R.L.C.R.</t>
  </si>
  <si>
    <t>03462610134</t>
  </si>
  <si>
    <t>IT03462610134</t>
  </si>
  <si>
    <t>Como</t>
  </si>
  <si>
    <t>4378.</t>
  </si>
  <si>
    <t>FIDAL S.R.L.</t>
  </si>
  <si>
    <t>02002240675</t>
  </si>
  <si>
    <t>IT02002240675</t>
  </si>
  <si>
    <t>4379.</t>
  </si>
  <si>
    <t>WOOWE BRAND S.R.L.</t>
  </si>
  <si>
    <t>02909100345</t>
  </si>
  <si>
    <t>IT02909100345</t>
  </si>
  <si>
    <t>Parma</t>
  </si>
  <si>
    <t>4380.</t>
  </si>
  <si>
    <t>DUCALE S.R.L</t>
  </si>
  <si>
    <t>05574230651</t>
  </si>
  <si>
    <t>IT05574230651</t>
  </si>
  <si>
    <t>Salerno</t>
  </si>
  <si>
    <t>4381.</t>
  </si>
  <si>
    <t>CALZIFICIO RAPID INTERNATIONAL S.R.L.</t>
  </si>
  <si>
    <t>01881610206</t>
  </si>
  <si>
    <t>03262390176</t>
  </si>
  <si>
    <t>IT03262390176</t>
  </si>
  <si>
    <t>143100</t>
  </si>
  <si>
    <t>Mantova</t>
  </si>
  <si>
    <t>4382.</t>
  </si>
  <si>
    <t>UNIONFUR S.R.L.</t>
  </si>
  <si>
    <t>02552060283</t>
  </si>
  <si>
    <t>IT02552060283</t>
  </si>
  <si>
    <t>142000</t>
  </si>
  <si>
    <t>Padova</t>
  </si>
  <si>
    <t>4383.</t>
  </si>
  <si>
    <t>VULPINARI SRL</t>
  </si>
  <si>
    <t>04031590401</t>
  </si>
  <si>
    <t>IT04031590401</t>
  </si>
  <si>
    <t>Rimini</t>
  </si>
  <si>
    <t>4384.</t>
  </si>
  <si>
    <t>MA.VEN. S.R.L.</t>
  </si>
  <si>
    <t>05096450282</t>
  </si>
  <si>
    <t>IT05096450282</t>
  </si>
  <si>
    <t>141310</t>
  </si>
  <si>
    <t>Venezia</t>
  </si>
  <si>
    <t>Veneto</t>
  </si>
  <si>
    <t>4385.</t>
  </si>
  <si>
    <t>LAC S.R.L. DI BURGARELLO RAG. CALOGERO</t>
  </si>
  <si>
    <t>06400200967</t>
  </si>
  <si>
    <t>IT06400200967</t>
  </si>
  <si>
    <t>141910</t>
  </si>
  <si>
    <t>Monza e della Brianza</t>
  </si>
  <si>
    <t>Lombardia</t>
  </si>
  <si>
    <t>4386.</t>
  </si>
  <si>
    <t>NEW D.W. S.R.L.</t>
  </si>
  <si>
    <t>03120410273</t>
  </si>
  <si>
    <t>IT03120410273</t>
  </si>
  <si>
    <t>141100</t>
  </si>
  <si>
    <t>4387.</t>
  </si>
  <si>
    <t>MATILDA LUX SOCIETA' A RESPONSABILITA' LIMITATA SEMPLIFICATA</t>
  </si>
  <si>
    <t>01784070938</t>
  </si>
  <si>
    <t>IT01784070938</t>
  </si>
  <si>
    <t>141929</t>
  </si>
  <si>
    <t>Pordenone</t>
  </si>
  <si>
    <t>Friuli-Venezia Giulia</t>
  </si>
  <si>
    <t>n.d.</t>
  </si>
  <si>
    <t>4388.</t>
  </si>
  <si>
    <t>DANZA E SPETTACOLO S.R.L.</t>
  </si>
  <si>
    <t>04908600721</t>
  </si>
  <si>
    <t>IT04908600721</t>
  </si>
  <si>
    <t>Bari</t>
  </si>
  <si>
    <t>Puglia</t>
  </si>
  <si>
    <t>4389.</t>
  </si>
  <si>
    <t>RSDM S.R.L.</t>
  </si>
  <si>
    <t>05799880488</t>
  </si>
  <si>
    <t>IT05799880488</t>
  </si>
  <si>
    <t>141000</t>
  </si>
  <si>
    <t>Firenze</t>
  </si>
  <si>
    <t>Toscana</t>
  </si>
  <si>
    <t>4390.</t>
  </si>
  <si>
    <t>ELEGANTIA ROMANA SOCIETA' A RESPONSABILITA' LIMITATA SEMPLIFICATA</t>
  </si>
  <si>
    <t>15349981009</t>
  </si>
  <si>
    <t>IT15349981009</t>
  </si>
  <si>
    <t>Roma</t>
  </si>
  <si>
    <t>Lazio</t>
  </si>
  <si>
    <t>4391.</t>
  </si>
  <si>
    <t>ALOISIO CAMICERIA S.R.L.</t>
  </si>
  <si>
    <t>16319971004</t>
  </si>
  <si>
    <t>IT16319971004</t>
  </si>
  <si>
    <t>141400</t>
  </si>
  <si>
    <t>4392.</t>
  </si>
  <si>
    <t>DI CHIARA ROSA S.R.L.</t>
  </si>
  <si>
    <t>01065600445</t>
  </si>
  <si>
    <t>IT01065600445</t>
  </si>
  <si>
    <t>Fermo</t>
  </si>
  <si>
    <t>Marche</t>
  </si>
  <si>
    <t>4393.</t>
  </si>
  <si>
    <t>K MODE S.R.L.</t>
  </si>
  <si>
    <t>04722630276</t>
  </si>
  <si>
    <t>IT04722630276</t>
  </si>
  <si>
    <t>4394.</t>
  </si>
  <si>
    <t>BACIAMI SOCIETA' A RESPONSABILITA' LIMITATA SEMPLIFICATA</t>
  </si>
  <si>
    <t>08438060967</t>
  </si>
  <si>
    <t>IT08438060967</t>
  </si>
  <si>
    <t>Milano</t>
  </si>
  <si>
    <t>4395.</t>
  </si>
  <si>
    <t>SYLVIO GIARDINA SOCIETA' A RESPONSABILITA' LIMITATA SEMPLIFICATA</t>
  </si>
  <si>
    <t>14482551000</t>
  </si>
  <si>
    <t>IT14482551000</t>
  </si>
  <si>
    <t>141320</t>
  </si>
  <si>
    <t>4396.</t>
  </si>
  <si>
    <t>ROSALBA GALATI S.R.L.</t>
  </si>
  <si>
    <t>05343460282</t>
  </si>
  <si>
    <t>IT05343460282</t>
  </si>
  <si>
    <t>Padova</t>
  </si>
  <si>
    <t>4397.</t>
  </si>
  <si>
    <t>C.NO. S.R.L.</t>
  </si>
  <si>
    <t>04773430287</t>
  </si>
  <si>
    <t>IT04773430287</t>
  </si>
  <si>
    <t>4398.</t>
  </si>
  <si>
    <t>LASERTEK SRL</t>
  </si>
  <si>
    <t>02197470509</t>
  </si>
  <si>
    <t>IT02197470509</t>
  </si>
  <si>
    <t>152020</t>
  </si>
  <si>
    <t>Pisa</t>
  </si>
  <si>
    <t>4399.</t>
  </si>
  <si>
    <t>VE.LO.S S.R.L.</t>
  </si>
  <si>
    <t>02062670977</t>
  </si>
  <si>
    <t>IT02062670977</t>
  </si>
  <si>
    <t>Prato</t>
  </si>
  <si>
    <t>4400.</t>
  </si>
  <si>
    <t>GUARDOLIFICIO CAMPANO S.R.L.</t>
  </si>
  <si>
    <t>08207681217</t>
  </si>
  <si>
    <t>IT08207681217</t>
  </si>
  <si>
    <t>Napoli</t>
  </si>
  <si>
    <t>Campania</t>
  </si>
  <si>
    <t>4401.</t>
  </si>
  <si>
    <t>LAMAVI - SOCIETA' A RESPONSABILITA' LIMITATA</t>
  </si>
  <si>
    <t>12214221009</t>
  </si>
  <si>
    <t>IT12214221009</t>
  </si>
  <si>
    <t>4402.</t>
  </si>
  <si>
    <t>LEATHER CENTER S.R.L.</t>
  </si>
  <si>
    <t>13599161000</t>
  </si>
  <si>
    <t>IT13599161000</t>
  </si>
  <si>
    <t>151209</t>
  </si>
  <si>
    <t>Teramo</t>
  </si>
  <si>
    <t>Abruzzo</t>
  </si>
  <si>
    <t>4403.</t>
  </si>
  <si>
    <t>SARTORIA PROCACCI MARCO S.R.L.</t>
  </si>
  <si>
    <t>13652741003</t>
  </si>
  <si>
    <t>IT13652741003</t>
  </si>
  <si>
    <t>4404.</t>
  </si>
  <si>
    <t>SABRI E LORY SRL</t>
  </si>
  <si>
    <t>01506910338</t>
  </si>
  <si>
    <t>IT01506910338</t>
  </si>
  <si>
    <t>143900</t>
  </si>
  <si>
    <t>Piacenza</t>
  </si>
  <si>
    <t>Emilia-Romagna</t>
  </si>
  <si>
    <t>4405.</t>
  </si>
  <si>
    <t>CELLERINI FLORENCE SOCIETA' A RESPONSABILITA' LIMITATA SEMPLIFICA TA</t>
  </si>
  <si>
    <t>06815860488</t>
  </si>
  <si>
    <t>IT06815860488</t>
  </si>
  <si>
    <t>4406.</t>
  </si>
  <si>
    <t>GALLO SOCIETA' A RESPONSABILITA' LIMITATA SEMPLIFICATA</t>
  </si>
  <si>
    <t>03647700040</t>
  </si>
  <si>
    <t>IT03647700040</t>
  </si>
  <si>
    <t>Cuneo</t>
  </si>
  <si>
    <t>Piemonte</t>
  </si>
  <si>
    <t>4407.</t>
  </si>
  <si>
    <t>MITICA S.R.L.</t>
  </si>
  <si>
    <t>01439830280</t>
  </si>
  <si>
    <t>IT01439830280</t>
  </si>
  <si>
    <t>152010</t>
  </si>
  <si>
    <t>4408.</t>
  </si>
  <si>
    <t>FRANGIPANI S.R.L.</t>
  </si>
  <si>
    <t>02952280739</t>
  </si>
  <si>
    <t>IT02952280739</t>
  </si>
  <si>
    <t>Taranto</t>
  </si>
  <si>
    <t>4409.</t>
  </si>
  <si>
    <t>SARTORIA CIRILLO S.R.L.</t>
  </si>
  <si>
    <t>02384410599</t>
  </si>
  <si>
    <t>IT02384410599</t>
  </si>
  <si>
    <t>Latina</t>
  </si>
  <si>
    <t>4410.</t>
  </si>
  <si>
    <t>DE ALMA S.R.L.</t>
  </si>
  <si>
    <t>04238980249</t>
  </si>
  <si>
    <t>IT04238980249</t>
  </si>
  <si>
    <t>Vicenza</t>
  </si>
  <si>
    <t>4411.</t>
  </si>
  <si>
    <t>AMICI PER LA PELLE DA LILIANA S.R.L., IN FORMA ABBREVIATA A.P.L. S.R.L.</t>
  </si>
  <si>
    <t>09686451007</t>
  </si>
  <si>
    <t>IT09686451007</t>
  </si>
  <si>
    <t>4412.</t>
  </si>
  <si>
    <t>CONFEZIONI FILIPPI S.R.L.</t>
  </si>
  <si>
    <t>00712890573</t>
  </si>
  <si>
    <t>IT00712890573</t>
  </si>
  <si>
    <t>Rieti</t>
  </si>
  <si>
    <t>4413.</t>
  </si>
  <si>
    <t>TEKNOMODA S.R.L.</t>
  </si>
  <si>
    <t>02173470507</t>
  </si>
  <si>
    <t>IT02173470507</t>
  </si>
  <si>
    <t>151100</t>
  </si>
  <si>
    <t>4414.</t>
  </si>
  <si>
    <t>VIALE CAVOUR S.R.L. SEMPLIFICATA</t>
  </si>
  <si>
    <t>02243880446</t>
  </si>
  <si>
    <t>IT02243880446</t>
  </si>
  <si>
    <t>4415.</t>
  </si>
  <si>
    <t>BLACK CLOTH SOCIETA' A RESPONSABILITA' LIMITATA SEMPLIFICATA</t>
  </si>
  <si>
    <t>16354831006</t>
  </si>
  <si>
    <t>IT16354831006</t>
  </si>
  <si>
    <t>4416.</t>
  </si>
  <si>
    <t>ALISPORT S.R.L.</t>
  </si>
  <si>
    <t>04342910264</t>
  </si>
  <si>
    <t>IT04342910264</t>
  </si>
  <si>
    <t>152010</t>
  </si>
  <si>
    <t>Treviso</t>
  </si>
  <si>
    <t>Veneto</t>
  </si>
  <si>
    <t>4417.</t>
  </si>
  <si>
    <t>LIFESTYLE PANICO F.L. NAPOLI SOCIETA' A RESPONSABILITA' LIMITATA SEMPLIFICATA IN SIGLA LIFESTYLE PANICO F.L. NAPOLI S.R.L.S. ,</t>
  </si>
  <si>
    <t>08597181216</t>
  </si>
  <si>
    <t>IT08597181216</t>
  </si>
  <si>
    <t>141320</t>
  </si>
  <si>
    <t>Napoli</t>
  </si>
  <si>
    <t>Campania</t>
  </si>
  <si>
    <t>n.d.</t>
  </si>
  <si>
    <t>4418.</t>
  </si>
  <si>
    <t>20S ITALIA S.R.L.</t>
  </si>
  <si>
    <t>04151990241</t>
  </si>
  <si>
    <t>IT04151990241</t>
  </si>
  <si>
    <t>151209</t>
  </si>
  <si>
    <t>Vicenza</t>
  </si>
  <si>
    <t>4419.</t>
  </si>
  <si>
    <t>ATELIER CLASSE S.R.L.</t>
  </si>
  <si>
    <t>05243470480</t>
  </si>
  <si>
    <t>IT05243470480</t>
  </si>
  <si>
    <t>141100</t>
  </si>
  <si>
    <t>Firenze</t>
  </si>
  <si>
    <t>Toscana</t>
  </si>
  <si>
    <t>4420.</t>
  </si>
  <si>
    <t>UNILINE SOCIETA' A RESPONSABILITA' LIMITATA SEMPLIFICATA</t>
  </si>
  <si>
    <t>02570650461</t>
  </si>
  <si>
    <t>IT02570650461</t>
  </si>
  <si>
    <t>141200</t>
  </si>
  <si>
    <t>Lucca</t>
  </si>
  <si>
    <t>4421.</t>
  </si>
  <si>
    <t>GIANNI ACCARDI S.R.L.</t>
  </si>
  <si>
    <t>10746290963</t>
  </si>
  <si>
    <t>IT10746290963</t>
  </si>
  <si>
    <t>Milano</t>
  </si>
  <si>
    <t>Lombardia</t>
  </si>
  <si>
    <t>4422.</t>
  </si>
  <si>
    <t>BOMA SOCIETA' A RESPONSABILITA' LIMITATA SEMPLIFICATA</t>
  </si>
  <si>
    <t>02003740434</t>
  </si>
  <si>
    <t>IT02003740434</t>
  </si>
  <si>
    <t>Macerata</t>
  </si>
  <si>
    <t>Marche</t>
  </si>
  <si>
    <t>4423.</t>
  </si>
  <si>
    <t>VEROVERDE SRL</t>
  </si>
  <si>
    <t>10209230969</t>
  </si>
  <si>
    <t>IT10209230969</t>
  </si>
  <si>
    <t>4424.</t>
  </si>
  <si>
    <t>GT GROUP - SOCIETA' A RESPONSABILITA' LIMITATA SEMPLIFICATA</t>
  </si>
  <si>
    <t>02886610647</t>
  </si>
  <si>
    <t>IT02886610647</t>
  </si>
  <si>
    <t>141929</t>
  </si>
  <si>
    <t>Avellino</t>
  </si>
  <si>
    <t>4425.</t>
  </si>
  <si>
    <t>FIORDALISO S.R.L.</t>
  </si>
  <si>
    <t>01948650971</t>
  </si>
  <si>
    <t>IT01948650971</t>
  </si>
  <si>
    <t>143900</t>
  </si>
  <si>
    <t>Prato</t>
  </si>
  <si>
    <t>4426.</t>
  </si>
  <si>
    <t>FRANCESCA CREAZIONI SPOSA S.R.L.</t>
  </si>
  <si>
    <t>01643420431</t>
  </si>
  <si>
    <t>IT01643420431</t>
  </si>
  <si>
    <t>4427.</t>
  </si>
  <si>
    <t>WE MODA S.R.L.</t>
  </si>
  <si>
    <t>02546150976</t>
  </si>
  <si>
    <t>IT02546150976</t>
  </si>
  <si>
    <t>141910</t>
  </si>
  <si>
    <t>4428.</t>
  </si>
  <si>
    <t>WASPRO SRL</t>
  </si>
  <si>
    <t>04293700987</t>
  </si>
  <si>
    <t>IT04293700987</t>
  </si>
  <si>
    <t>Brescia</t>
  </si>
  <si>
    <t>4429.</t>
  </si>
  <si>
    <t>MAGGIO SOCIETA' A RESPONSABILITA' LIMITATA SEMPLIFICATA</t>
  </si>
  <si>
    <t>01510270299</t>
  </si>
  <si>
    <t>IT01510270299</t>
  </si>
  <si>
    <t>141310</t>
  </si>
  <si>
    <t>Venezia</t>
  </si>
  <si>
    <t>4430.</t>
  </si>
  <si>
    <t>EUROPEAN INDUSTRY S.R.L.</t>
  </si>
  <si>
    <t>01453600676</t>
  </si>
  <si>
    <t>IT01453600676</t>
  </si>
  <si>
    <t>141000</t>
  </si>
  <si>
    <t>Teramo</t>
  </si>
  <si>
    <t>Abruzzo</t>
  </si>
  <si>
    <t>4431.</t>
  </si>
  <si>
    <t>IOSONO S.R.L.</t>
  </si>
  <si>
    <t>02414660403</t>
  </si>
  <si>
    <t>IT02414660403</t>
  </si>
  <si>
    <t>Forlì-Cesena</t>
  </si>
  <si>
    <t>Emilia-Romagna</t>
  </si>
  <si>
    <t>4432.</t>
  </si>
  <si>
    <t>MAGLIERIA D'AUTORE S.R.L.</t>
  </si>
  <si>
    <t>02902460548</t>
  </si>
  <si>
    <t>IT02902460548</t>
  </si>
  <si>
    <t>Perugia</t>
  </si>
  <si>
    <t>Umbria</t>
  </si>
  <si>
    <t>4433.</t>
  </si>
  <si>
    <t>FDM DESIGNS SOCIETA' A RESPONSABILITA' LIMITATA SEMPLIFICATA</t>
  </si>
  <si>
    <t>05084950657</t>
  </si>
  <si>
    <t>IT05084950657</t>
  </si>
  <si>
    <t>Salerno</t>
  </si>
  <si>
    <t>4434.</t>
  </si>
  <si>
    <t>COMANCHEROS GROUP S.R.L.</t>
  </si>
  <si>
    <t>00863320248</t>
  </si>
  <si>
    <t>IT00863320248</t>
  </si>
  <si>
    <t>151100</t>
  </si>
  <si>
    <t>4435.</t>
  </si>
  <si>
    <t>NUOVA MAL SOCIETA' A RESPONSABILITA' LIMITATA SEMPLIFICATA</t>
  </si>
  <si>
    <t>12108890018</t>
  </si>
  <si>
    <t>IT12108890018</t>
  </si>
  <si>
    <t>Torino</t>
  </si>
  <si>
    <t>Piemonte</t>
  </si>
  <si>
    <t>4436.</t>
  </si>
  <si>
    <t>PLUS S.R.L.</t>
  </si>
  <si>
    <t>05240200286</t>
  </si>
  <si>
    <t>IT05240200286</t>
  </si>
  <si>
    <t>Padova</t>
  </si>
  <si>
    <t>4437.</t>
  </si>
  <si>
    <t>GO KID S.R.L.</t>
  </si>
  <si>
    <t>01430220671</t>
  </si>
  <si>
    <t>IT01430220671</t>
  </si>
  <si>
    <t>4438.</t>
  </si>
  <si>
    <t>COVID 19 S.R.L.</t>
  </si>
  <si>
    <t>04487430615</t>
  </si>
  <si>
    <t>IT04487430615</t>
  </si>
  <si>
    <t>Caserta</t>
  </si>
  <si>
    <t>4439.</t>
  </si>
  <si>
    <t>G.A. S.R.L.</t>
  </si>
  <si>
    <t>10886200962</t>
  </si>
  <si>
    <t>IT10886200962</t>
  </si>
  <si>
    <t>4440.</t>
  </si>
  <si>
    <t>NORA BOUTIQUE SOCIETA' A RESPONSABILITA' LIMITATA SEMPLIFICATA</t>
  </si>
  <si>
    <t>03895260929</t>
  </si>
  <si>
    <t>IT03895260929</t>
  </si>
  <si>
    <t>Cagliari</t>
  </si>
  <si>
    <t>Sardegna</t>
  </si>
  <si>
    <t>4441.</t>
  </si>
  <si>
    <t>ATELIER PIETRO LONGHI SOCIETA' A RESPONSABILITA' LIMITATA SEMPLIF ICATA</t>
  </si>
  <si>
    <t>04454310279</t>
  </si>
  <si>
    <t>IT04454310279</t>
  </si>
  <si>
    <t>4442.</t>
  </si>
  <si>
    <t>RUFUS S.R.L.</t>
  </si>
  <si>
    <t>02106270487</t>
  </si>
  <si>
    <t>IT02106270487</t>
  </si>
  <si>
    <t>4443.</t>
  </si>
  <si>
    <t>BLUE CANVAS S.R.L.</t>
  </si>
  <si>
    <t>02369270976</t>
  </si>
  <si>
    <t>IT02369270976</t>
  </si>
  <si>
    <t>141400</t>
  </si>
  <si>
    <t>4444.</t>
  </si>
  <si>
    <t>PISAN PELL S.R.L.</t>
  </si>
  <si>
    <t>01701310649</t>
  </si>
  <si>
    <t>IT01701310649</t>
  </si>
  <si>
    <t>4445.</t>
  </si>
  <si>
    <t>FRATELLI CORRIERI S.R.L.</t>
  </si>
  <si>
    <t>01534930977</t>
  </si>
  <si>
    <t>IT01534930977</t>
  </si>
  <si>
    <t>4446.</t>
  </si>
  <si>
    <t>SARTORIE STICCHI S.R.L.</t>
  </si>
  <si>
    <t>04065910715</t>
  </si>
  <si>
    <t>IT04065910715</t>
  </si>
  <si>
    <t>Foggia</t>
  </si>
  <si>
    <t>Puglia</t>
  </si>
  <si>
    <t>4447.</t>
  </si>
  <si>
    <t>DAMA BLU S.R.L.</t>
  </si>
  <si>
    <t>05634001217</t>
  </si>
  <si>
    <t>IT05634001217</t>
  </si>
  <si>
    <t>4448.</t>
  </si>
  <si>
    <t>PANTOTEX S.R.L.</t>
  </si>
  <si>
    <t>01018820678</t>
  </si>
  <si>
    <t>IT01018820678</t>
  </si>
  <si>
    <t>141000</t>
  </si>
  <si>
    <t>Teramo</t>
  </si>
  <si>
    <t>Abruzzo</t>
  </si>
  <si>
    <t>4449.</t>
  </si>
  <si>
    <t>EMMEVI GROUP SRL</t>
  </si>
  <si>
    <t>08686011217</t>
  </si>
  <si>
    <t>IT08686011217</t>
  </si>
  <si>
    <t>Napoli</t>
  </si>
  <si>
    <t>Campania</t>
  </si>
  <si>
    <t>4450.</t>
  </si>
  <si>
    <t>3C LAB - SOCIETA' A RESPONSABILITA' LIMITATA</t>
  </si>
  <si>
    <t>07403481000</t>
  </si>
  <si>
    <t>IT07403481000</t>
  </si>
  <si>
    <t>151209</t>
  </si>
  <si>
    <t>Roma</t>
  </si>
  <si>
    <t>Lazio</t>
  </si>
  <si>
    <t>4451.</t>
  </si>
  <si>
    <t>TIMELESS SRLS SOCIETA' A RESPONSABILITA' LIMITATA SEMPLIFICATA</t>
  </si>
  <si>
    <t>05108610287</t>
  </si>
  <si>
    <t>IT05108610287</t>
  </si>
  <si>
    <t>141320</t>
  </si>
  <si>
    <t>Padova</t>
  </si>
  <si>
    <t>Veneto</t>
  </si>
  <si>
    <t>4452.</t>
  </si>
  <si>
    <t>ENRY SPORT S.R.L.</t>
  </si>
  <si>
    <t>03218930364</t>
  </si>
  <si>
    <t>IT03218930364</t>
  </si>
  <si>
    <t>141920</t>
  </si>
  <si>
    <t>Modena</t>
  </si>
  <si>
    <t>Emilia-Romagna</t>
  </si>
  <si>
    <t>4453.</t>
  </si>
  <si>
    <t>FARY ESSENCE S.R.L.</t>
  </si>
  <si>
    <t>07917500725</t>
  </si>
  <si>
    <t>IT07917500725</t>
  </si>
  <si>
    <t>Bari</t>
  </si>
  <si>
    <t>Puglia</t>
  </si>
  <si>
    <t>4454.</t>
  </si>
  <si>
    <t>MACDONALD S.R.L.</t>
  </si>
  <si>
    <t>00704170398</t>
  </si>
  <si>
    <t>IT00704170398</t>
  </si>
  <si>
    <t>143900</t>
  </si>
  <si>
    <t>Ravenna</t>
  </si>
  <si>
    <t>4455.</t>
  </si>
  <si>
    <t>HOPLITES SOCIETA' A RESPONSABILITA' LIMITATA</t>
  </si>
  <si>
    <t>06934630721</t>
  </si>
  <si>
    <t>IT06934630721</t>
  </si>
  <si>
    <t>141310</t>
  </si>
  <si>
    <t>Barletta-Andria-Trani</t>
  </si>
  <si>
    <t>4456.</t>
  </si>
  <si>
    <t>LEATHER BIS S.R.L.</t>
  </si>
  <si>
    <t>06548450482</t>
  </si>
  <si>
    <t>IT06548450482</t>
  </si>
  <si>
    <t>Firenze</t>
  </si>
  <si>
    <t>Toscana</t>
  </si>
  <si>
    <t>4457.</t>
  </si>
  <si>
    <t>SG BAGS S.R.L.</t>
  </si>
  <si>
    <t>04616890275</t>
  </si>
  <si>
    <t>IT04616890275</t>
  </si>
  <si>
    <t>Venezia</t>
  </si>
  <si>
    <t>4458.</t>
  </si>
  <si>
    <t>AGORART SRL</t>
  </si>
  <si>
    <t>10601720153</t>
  </si>
  <si>
    <t>IT10601720153</t>
  </si>
  <si>
    <t>141910</t>
  </si>
  <si>
    <t>Milano</t>
  </si>
  <si>
    <t>Lombardia</t>
  </si>
  <si>
    <t>n.d.</t>
  </si>
  <si>
    <t>4459.</t>
  </si>
  <si>
    <t>ROBERTO MANTELLASSI S.R.L.</t>
  </si>
  <si>
    <t>06329750480</t>
  </si>
  <si>
    <t>IT06329750480</t>
  </si>
  <si>
    <t>4460.</t>
  </si>
  <si>
    <t>DANCING DAY S.R.L.</t>
  </si>
  <si>
    <t>06520231009</t>
  </si>
  <si>
    <t>IT06520231009</t>
  </si>
  <si>
    <t>4461.</t>
  </si>
  <si>
    <t>BZL S.R.L.</t>
  </si>
  <si>
    <t>04940420260</t>
  </si>
  <si>
    <t>IT04940420260</t>
  </si>
  <si>
    <t>152010</t>
  </si>
  <si>
    <t>Treviso</t>
  </si>
  <si>
    <t>4462.</t>
  </si>
  <si>
    <t>PITTA ANGELA - S.R.L.</t>
  </si>
  <si>
    <t>01629510767</t>
  </si>
  <si>
    <t>IT01629510767</t>
  </si>
  <si>
    <t>Potenza</t>
  </si>
  <si>
    <t>Basilicata</t>
  </si>
  <si>
    <t>4463.</t>
  </si>
  <si>
    <t>TECNOPLAST S.R.L.</t>
  </si>
  <si>
    <t>01798180442</t>
  </si>
  <si>
    <t>IT01798180442</t>
  </si>
  <si>
    <t>152020</t>
  </si>
  <si>
    <t>Fermo</t>
  </si>
  <si>
    <t>Marche</t>
  </si>
  <si>
    <t>4464.</t>
  </si>
  <si>
    <t>BORSARTE ITALIA S.R.L.</t>
  </si>
  <si>
    <t>00839330941</t>
  </si>
  <si>
    <t>IT00839330941</t>
  </si>
  <si>
    <t>Isernia</t>
  </si>
  <si>
    <t>Molise</t>
  </si>
  <si>
    <t>4465.</t>
  </si>
  <si>
    <t>GREYLINE S.R.L.</t>
  </si>
  <si>
    <t>06866810960</t>
  </si>
  <si>
    <t>IT06866810960</t>
  </si>
  <si>
    <t>4466.</t>
  </si>
  <si>
    <t>CALZATURIFICIO LIDO MARINOZZI SOCIETA' A RESPONSABILITA' LIMITATA IN BREVE CALZATURIFICIO LIDO MARINOZZI S.R.L.</t>
  </si>
  <si>
    <t>00339980443</t>
  </si>
  <si>
    <t>IT00339980443</t>
  </si>
  <si>
    <t>4467.</t>
  </si>
  <si>
    <t>S.V. CALZATURE SRL</t>
  </si>
  <si>
    <t>00979120433</t>
  </si>
  <si>
    <t>IT00979120433</t>
  </si>
  <si>
    <t>Macerata</t>
  </si>
  <si>
    <t>4468.</t>
  </si>
  <si>
    <t>MAGLIFICIO SIMONA S.R.L.</t>
  </si>
  <si>
    <t>07271170727</t>
  </si>
  <si>
    <t>IT07271170727</t>
  </si>
  <si>
    <t>4469.</t>
  </si>
  <si>
    <t>L'IMPERO DEGLI SPOSI S.R.L.</t>
  </si>
  <si>
    <t>09577661003</t>
  </si>
  <si>
    <t>IT09577661003</t>
  </si>
  <si>
    <t>4470.</t>
  </si>
  <si>
    <t>CT BAGS AND ACCESSORIES S.R.L.</t>
  </si>
  <si>
    <t>09369421210</t>
  </si>
  <si>
    <t>IT09369421210</t>
  </si>
  <si>
    <t>4471.</t>
  </si>
  <si>
    <t>DELLA SORTE S.R.L.</t>
  </si>
  <si>
    <t>05336521009</t>
  </si>
  <si>
    <t>IT05336521009</t>
  </si>
  <si>
    <t>141400</t>
  </si>
  <si>
    <t>4472.</t>
  </si>
  <si>
    <t>EFFETTO DANZA S.R.L.</t>
  </si>
  <si>
    <t>07616490962</t>
  </si>
  <si>
    <t>IT07616490962</t>
  </si>
  <si>
    <t>141929</t>
  </si>
  <si>
    <t>Monza e della Brianza</t>
  </si>
  <si>
    <t>4473.</t>
  </si>
  <si>
    <t>MISE DI MONICA CROGNALE SOCIETA' A RESPONSABILITA' LIMITATA SEMPLIFICATA</t>
  </si>
  <si>
    <t>14716421004</t>
  </si>
  <si>
    <t>IT14716421004</t>
  </si>
  <si>
    <t>4474.</t>
  </si>
  <si>
    <t>M.C.N. MANIFATTURA CALZATURE NAPOLETANE S.R.L.</t>
  </si>
  <si>
    <t>10057861212</t>
  </si>
  <si>
    <t>IT10057861212</t>
  </si>
  <si>
    <t>4475.</t>
  </si>
  <si>
    <t>A.M. SRL</t>
  </si>
  <si>
    <t>01852440443</t>
  </si>
  <si>
    <t>IT01852440443</t>
  </si>
  <si>
    <t>4476.</t>
  </si>
  <si>
    <t>LMCO DRESSMAKERS SRL</t>
  </si>
  <si>
    <t>04460240239</t>
  </si>
  <si>
    <t>IT04460240239</t>
  </si>
  <si>
    <t>Verona</t>
  </si>
  <si>
    <t>4477.</t>
  </si>
  <si>
    <t>VALFASHION S.R.L.</t>
  </si>
  <si>
    <t>03083830806</t>
  </si>
  <si>
    <t>IT03083830806</t>
  </si>
  <si>
    <t>Reggio di Calabria</t>
  </si>
  <si>
    <t>Calabria</t>
  </si>
  <si>
    <t>4478.</t>
  </si>
  <si>
    <t>IMMOBILIARE DE PIETRI S.R.L.</t>
  </si>
  <si>
    <t>00339210361</t>
  </si>
  <si>
    <t>IT00339210361</t>
  </si>
  <si>
    <t>4479.</t>
  </si>
  <si>
    <t>MAURIZIO BAZAR - SOCIETA' A RESPONSABILITA' LIMITATA</t>
  </si>
  <si>
    <t>06479921006</t>
  </si>
  <si>
    <t>IT06479921006</t>
  </si>
  <si>
    <t>141200</t>
  </si>
  <si>
    <t>4480.</t>
  </si>
  <si>
    <t>IN PELL SOCIETA' A RESPONSABILITA' LIMITATA</t>
  </si>
  <si>
    <t>01525290407</t>
  </si>
  <si>
    <t>IT01525290407</t>
  </si>
  <si>
    <t>151209</t>
  </si>
  <si>
    <t>Rimini</t>
  </si>
  <si>
    <t>Emilia-Romagna</t>
  </si>
  <si>
    <t>4481.</t>
  </si>
  <si>
    <t>LARIO MANIFATTURE TESSILI S.R.L.</t>
  </si>
  <si>
    <t>03461010138</t>
  </si>
  <si>
    <t>IT03461010138</t>
  </si>
  <si>
    <t>141910</t>
  </si>
  <si>
    <t>Como</t>
  </si>
  <si>
    <t>Lombardia</t>
  </si>
  <si>
    <t>4482.</t>
  </si>
  <si>
    <t>AD BALLET DESIGNER S.R.L.S.</t>
  </si>
  <si>
    <t>10152470968</t>
  </si>
  <si>
    <t>IT10152470968</t>
  </si>
  <si>
    <t>Monza e della Brianza</t>
  </si>
  <si>
    <t>4483.</t>
  </si>
  <si>
    <t>AMELIA LINE SHOES S.R.L.</t>
  </si>
  <si>
    <t>04288790241</t>
  </si>
  <si>
    <t>IT04288790241</t>
  </si>
  <si>
    <t>152010</t>
  </si>
  <si>
    <t>Vicenza</t>
  </si>
  <si>
    <t>Veneto</t>
  </si>
  <si>
    <t>n.d.</t>
  </si>
  <si>
    <t>4484.</t>
  </si>
  <si>
    <t>LINEA ITALIA CALZATURE SRL</t>
  </si>
  <si>
    <t>02224570446</t>
  </si>
  <si>
    <t>IT02224570446</t>
  </si>
  <si>
    <t>Fermo</t>
  </si>
  <si>
    <t>Marche</t>
  </si>
  <si>
    <t>4485.</t>
  </si>
  <si>
    <t>ONE MODA S.R.L.</t>
  </si>
  <si>
    <t>04794780231</t>
  </si>
  <si>
    <t>IT04794780231</t>
  </si>
  <si>
    <t>Verona</t>
  </si>
  <si>
    <t>4486.</t>
  </si>
  <si>
    <t>P'ELLE SRL</t>
  </si>
  <si>
    <t>03842400404</t>
  </si>
  <si>
    <t>IT03842400404</t>
  </si>
  <si>
    <t>141000</t>
  </si>
  <si>
    <t>4487.</t>
  </si>
  <si>
    <t>ANDREA E RITA S.R.L.</t>
  </si>
  <si>
    <t>13146371003</t>
  </si>
  <si>
    <t>IT13146371003</t>
  </si>
  <si>
    <t>Roma</t>
  </si>
  <si>
    <t>Lazio</t>
  </si>
  <si>
    <t>4488.</t>
  </si>
  <si>
    <t>RENDRIU S.R.L.</t>
  </si>
  <si>
    <t>01896451208</t>
  </si>
  <si>
    <t>IT01896451208</t>
  </si>
  <si>
    <t>Bologna</t>
  </si>
  <si>
    <t>4489.</t>
  </si>
  <si>
    <t>ROBY PEL S.R.L.</t>
  </si>
  <si>
    <t>02498470240</t>
  </si>
  <si>
    <t>IT02498470240</t>
  </si>
  <si>
    <t>151100</t>
  </si>
  <si>
    <t>4490.</t>
  </si>
  <si>
    <t>SARTORIA COSTUMI TEATRALI PIPI S.R.L.</t>
  </si>
  <si>
    <t>05718350829</t>
  </si>
  <si>
    <t>IT05718350829</t>
  </si>
  <si>
    <t>141320</t>
  </si>
  <si>
    <t>Palermo</t>
  </si>
  <si>
    <t>Sicilia</t>
  </si>
  <si>
    <t>4491.</t>
  </si>
  <si>
    <t>BLU ZAFFIRO S.R.L.</t>
  </si>
  <si>
    <t>01875560383</t>
  </si>
  <si>
    <t>IT01875560383</t>
  </si>
  <si>
    <t>Venezia</t>
  </si>
  <si>
    <t>4492.</t>
  </si>
  <si>
    <t>N. G. S.R.L.</t>
  </si>
  <si>
    <t>10550740962</t>
  </si>
  <si>
    <t>IT10550740962</t>
  </si>
  <si>
    <t>141310</t>
  </si>
  <si>
    <t>Milano</t>
  </si>
  <si>
    <t>4493.</t>
  </si>
  <si>
    <t>TOM ITALIA S.R.L. SEMPLIFICATA</t>
  </si>
  <si>
    <t>03470601208</t>
  </si>
  <si>
    <t>IT03470601208</t>
  </si>
  <si>
    <t>4494.</t>
  </si>
  <si>
    <t>GI &amp; DI - S.R.L.</t>
  </si>
  <si>
    <t>01156620369</t>
  </si>
  <si>
    <t>IT01156620369</t>
  </si>
  <si>
    <t>141929</t>
  </si>
  <si>
    <t>Modena</t>
  </si>
  <si>
    <t>4495.</t>
  </si>
  <si>
    <t>MARCI LAB SRL</t>
  </si>
  <si>
    <t>03891271201</t>
  </si>
  <si>
    <t>IT03891271201</t>
  </si>
  <si>
    <t>4496.</t>
  </si>
  <si>
    <t>VICHI SRL</t>
  </si>
  <si>
    <t>02368650442</t>
  </si>
  <si>
    <t>IT02368650442</t>
  </si>
  <si>
    <t>Ascoli Piceno</t>
  </si>
  <si>
    <t>4497.</t>
  </si>
  <si>
    <t>EVOLUZIONI SARTORIALI S.R.L.</t>
  </si>
  <si>
    <t>14112741005</t>
  </si>
  <si>
    <t>IT14112741005</t>
  </si>
  <si>
    <t>4498.</t>
  </si>
  <si>
    <t>VMC SRL</t>
  </si>
  <si>
    <t>02291680441</t>
  </si>
  <si>
    <t>IT02291680441</t>
  </si>
  <si>
    <t>4499.</t>
  </si>
  <si>
    <t>CELESTE S.R.L.</t>
  </si>
  <si>
    <t>02598050249</t>
  </si>
  <si>
    <t>IT02598050249</t>
  </si>
  <si>
    <t>4500.</t>
  </si>
  <si>
    <t>SAPOPA S.R.L.</t>
  </si>
  <si>
    <t>03527160240</t>
  </si>
  <si>
    <t>IT03527160240</t>
  </si>
  <si>
    <t>4501.</t>
  </si>
  <si>
    <t>ESTHES S.R.L.</t>
  </si>
  <si>
    <t>04818060230</t>
  </si>
  <si>
    <t>IT04818060230</t>
  </si>
  <si>
    <t>4502.</t>
  </si>
  <si>
    <t>AD &amp; PROMOTION S.R.L.</t>
  </si>
  <si>
    <t>03121930790</t>
  </si>
  <si>
    <t>IT03121930790</t>
  </si>
  <si>
    <t>Catanzaro</t>
  </si>
  <si>
    <t>Calabria</t>
  </si>
  <si>
    <t>4503.</t>
  </si>
  <si>
    <t>OTTAGONO S.R.L.</t>
  </si>
  <si>
    <t>04965160759</t>
  </si>
  <si>
    <t>IT04965160759</t>
  </si>
  <si>
    <t>141200</t>
  </si>
  <si>
    <t>Lecce</t>
  </si>
  <si>
    <t>Puglia</t>
  </si>
  <si>
    <t>4504.</t>
  </si>
  <si>
    <t>COPPOLA CERIMONIA SRL</t>
  </si>
  <si>
    <t>03311650737</t>
  </si>
  <si>
    <t>IT03311650737</t>
  </si>
  <si>
    <t>Taranto</t>
  </si>
  <si>
    <t>4505.</t>
  </si>
  <si>
    <t>MEGARO - SOCIETA' A RESPONSABILITA' LIMITATA SEMPLIFICATA</t>
  </si>
  <si>
    <t>02975710647</t>
  </si>
  <si>
    <t>IT02975710647</t>
  </si>
  <si>
    <t>Avellino</t>
  </si>
  <si>
    <t>Campania</t>
  </si>
  <si>
    <t>4506.</t>
  </si>
  <si>
    <t>A.G.M. S.R.L.</t>
  </si>
  <si>
    <t>01419391212</t>
  </si>
  <si>
    <t>05389790634</t>
  </si>
  <si>
    <t>IT05389790634</t>
  </si>
  <si>
    <t>Napoli</t>
  </si>
  <si>
    <t>4507.</t>
  </si>
  <si>
    <t>GRUPPO D'AMBROSIO SOCIETA' COOPERATIVA A MUTUALITA' PREVALENTE</t>
  </si>
  <si>
    <t>04557940659</t>
  </si>
  <si>
    <t>IT04557940659</t>
  </si>
  <si>
    <t>Salerno</t>
  </si>
  <si>
    <t>4508.</t>
  </si>
  <si>
    <t>NEW LIVE S.R.L.</t>
  </si>
  <si>
    <t>01924880204</t>
  </si>
  <si>
    <t>IT01924880204</t>
  </si>
  <si>
    <t>143100</t>
  </si>
  <si>
    <t>Mantova</t>
  </si>
  <si>
    <t>4509.</t>
  </si>
  <si>
    <t>M.F.M. MAURIZIO FOSSATI S.R.L.</t>
  </si>
  <si>
    <t>08001630154</t>
  </si>
  <si>
    <t>IT08001630154</t>
  </si>
  <si>
    <t>4510.</t>
  </si>
  <si>
    <t>WINDY S.R.L.</t>
  </si>
  <si>
    <t>06786730488</t>
  </si>
  <si>
    <t>IT06786730488</t>
  </si>
  <si>
    <t>Firenze</t>
  </si>
  <si>
    <t>Toscana</t>
  </si>
  <si>
    <t>4511.</t>
  </si>
  <si>
    <t>LASERMARC S.R.L.</t>
  </si>
  <si>
    <t>02158520508</t>
  </si>
  <si>
    <t>IT02158520508</t>
  </si>
  <si>
    <t>Pisa</t>
  </si>
  <si>
    <t>4512.</t>
  </si>
  <si>
    <t>ANNA SCIPIONE ATELIER - SOCIETA' A RESPONSABILITA' LIMITATA</t>
  </si>
  <si>
    <t>01846520664</t>
  </si>
  <si>
    <t>IT01846520664</t>
  </si>
  <si>
    <t>141320</t>
  </si>
  <si>
    <t>L'Aquila</t>
  </si>
  <si>
    <t>Abruzzo</t>
  </si>
  <si>
    <t>4513.</t>
  </si>
  <si>
    <t>CUSTOM SOCIETA' A RESPONSABILITA' LIMITATA</t>
  </si>
  <si>
    <t>02495990992</t>
  </si>
  <si>
    <t>IT02495990992</t>
  </si>
  <si>
    <t>Genova</t>
  </si>
  <si>
    <t>Liguria</t>
  </si>
  <si>
    <t>n.d.</t>
  </si>
  <si>
    <t>4514.</t>
  </si>
  <si>
    <t>DANTON S.R.L.</t>
  </si>
  <si>
    <t>02314400488</t>
  </si>
  <si>
    <t>IT02314400488</t>
  </si>
  <si>
    <t>152010</t>
  </si>
  <si>
    <t>Firenze</t>
  </si>
  <si>
    <t>Toscana</t>
  </si>
  <si>
    <t>4515.</t>
  </si>
  <si>
    <t>WTR ITALIA S.R.L.</t>
  </si>
  <si>
    <t>04568320289</t>
  </si>
  <si>
    <t>IT04568320289</t>
  </si>
  <si>
    <t>142000</t>
  </si>
  <si>
    <t>Padova</t>
  </si>
  <si>
    <t>Veneto</t>
  </si>
  <si>
    <t>4516.</t>
  </si>
  <si>
    <t>NUOVA VALIGERIA DI CAMPOSPINOSO S.R.L.</t>
  </si>
  <si>
    <t>00180640187</t>
  </si>
  <si>
    <t>IT00180640187</t>
  </si>
  <si>
    <t>151200</t>
  </si>
  <si>
    <t>Pavia</t>
  </si>
  <si>
    <t>Lombardia</t>
  </si>
  <si>
    <t>4517.</t>
  </si>
  <si>
    <t>LIBELLULA S.R.L.</t>
  </si>
  <si>
    <t>02235180680</t>
  </si>
  <si>
    <t>IT02235180680</t>
  </si>
  <si>
    <t>141000</t>
  </si>
  <si>
    <t>Milano</t>
  </si>
  <si>
    <t>4518.</t>
  </si>
  <si>
    <t>NIDA S.R.L.</t>
  </si>
  <si>
    <t>03437081213</t>
  </si>
  <si>
    <t>IT03437081213</t>
  </si>
  <si>
    <t>141310</t>
  </si>
  <si>
    <t>Napoli</t>
  </si>
  <si>
    <t>Campania</t>
  </si>
  <si>
    <t>4519.</t>
  </si>
  <si>
    <t>MP COMPANY S.R.L.</t>
  </si>
  <si>
    <t>08722930727</t>
  </si>
  <si>
    <t>IT08722930727</t>
  </si>
  <si>
    <t>Bari</t>
  </si>
  <si>
    <t>Puglia</t>
  </si>
  <si>
    <t>4520.</t>
  </si>
  <si>
    <t>BABAL SRL</t>
  </si>
  <si>
    <t>02188690420</t>
  </si>
  <si>
    <t>IT02188690420</t>
  </si>
  <si>
    <t>Ancona</t>
  </si>
  <si>
    <t>Marche</t>
  </si>
  <si>
    <t>4521.</t>
  </si>
  <si>
    <t>SAPIEL S.R.L.</t>
  </si>
  <si>
    <t>01957940594</t>
  </si>
  <si>
    <t>IT01957940594</t>
  </si>
  <si>
    <t>Latina</t>
  </si>
  <si>
    <t>Lazio</t>
  </si>
  <si>
    <t>4522.</t>
  </si>
  <si>
    <t>RUFINO S.R.L.</t>
  </si>
  <si>
    <t>03143580755</t>
  </si>
  <si>
    <t>IT03143580755</t>
  </si>
  <si>
    <t>Lecce</t>
  </si>
  <si>
    <t>4523.</t>
  </si>
  <si>
    <t>R.V. FURS S.R.L.</t>
  </si>
  <si>
    <t>10241280964</t>
  </si>
  <si>
    <t>IT10241280964</t>
  </si>
  <si>
    <t>4524.</t>
  </si>
  <si>
    <t>ACQUAVIVA S.R.L.</t>
  </si>
  <si>
    <t>09493421219</t>
  </si>
  <si>
    <t>IT09493421219</t>
  </si>
  <si>
    <t>4525.</t>
  </si>
  <si>
    <t>DINAMICA S.R.L.</t>
  </si>
  <si>
    <t>12051590961</t>
  </si>
  <si>
    <t>IT12051590961</t>
  </si>
  <si>
    <t>151209</t>
  </si>
  <si>
    <t>Monza e della Brianza</t>
  </si>
  <si>
    <t>4526.</t>
  </si>
  <si>
    <t>LACO S.R.L.</t>
  </si>
  <si>
    <t>01429330440</t>
  </si>
  <si>
    <t>IT01429330440</t>
  </si>
  <si>
    <t>141910</t>
  </si>
  <si>
    <t>Fermo</t>
  </si>
  <si>
    <t>4527.</t>
  </si>
  <si>
    <t>FENILI CALZATURE - SOCIETA' A RESPONSABILITA' LIMITATA</t>
  </si>
  <si>
    <t>01172290460</t>
  </si>
  <si>
    <t>IT01172290460</t>
  </si>
  <si>
    <t>Lucca</t>
  </si>
  <si>
    <t>4528.</t>
  </si>
  <si>
    <t>LIBICA S.R.L.</t>
  </si>
  <si>
    <t>00111810198</t>
  </si>
  <si>
    <t>IT00111810198</t>
  </si>
  <si>
    <t>141400</t>
  </si>
  <si>
    <t>Cremona</t>
  </si>
  <si>
    <t>4529.</t>
  </si>
  <si>
    <t>A. RICCIARELLI S.R.L.</t>
  </si>
  <si>
    <t>01855630644</t>
  </si>
  <si>
    <t>IT01855630644</t>
  </si>
  <si>
    <t>Avellino</t>
  </si>
  <si>
    <t>4530.</t>
  </si>
  <si>
    <t>MAGRAF SOCIETA' A RESPONSABILITA' LIMITATA SEMPLIFICATA IN SIGLA MAGRAF SRLS</t>
  </si>
  <si>
    <t>09319311214</t>
  </si>
  <si>
    <t>IT09319311214</t>
  </si>
  <si>
    <t>4531.</t>
  </si>
  <si>
    <t>GHILFISH INTERNATIONAL TRADING S.R.L.</t>
  </si>
  <si>
    <t>02336180415</t>
  </si>
  <si>
    <t>IT02336180415</t>
  </si>
  <si>
    <t>Pesaro e Urbino</t>
  </si>
  <si>
    <t>4532.</t>
  </si>
  <si>
    <t>VOGLIO SOCIETA' A RESPONSABILITA' LIMITATA SEMPLIFICATA</t>
  </si>
  <si>
    <t>09949691217</t>
  </si>
  <si>
    <t>IT09949691217</t>
  </si>
  <si>
    <t>4533.</t>
  </si>
  <si>
    <t>GED S.R.L.</t>
  </si>
  <si>
    <t>02478040971</t>
  </si>
  <si>
    <t>IT02478040971</t>
  </si>
  <si>
    <t>Prato</t>
  </si>
  <si>
    <t>4534.</t>
  </si>
  <si>
    <t>CAMI - SOCIETA' A RESPONSABILITA' LIMITATA SEMPLIFICATA</t>
  </si>
  <si>
    <t>03580520835</t>
  </si>
  <si>
    <t>IT03580520835</t>
  </si>
  <si>
    <t>Messina</t>
  </si>
  <si>
    <t>Sicilia</t>
  </si>
  <si>
    <t>4535.</t>
  </si>
  <si>
    <t>ISABELLA CAPOSANO SOCIETA' A RESPONSABILITA' LIMITATA SEMPLIFICAT A</t>
  </si>
  <si>
    <t>02245990680</t>
  </si>
  <si>
    <t>IT02245990680</t>
  </si>
  <si>
    <t>Pescara</t>
  </si>
  <si>
    <t>4536.</t>
  </si>
  <si>
    <t>MARLET ATELIER S.R.L.S.</t>
  </si>
  <si>
    <t>06615940829</t>
  </si>
  <si>
    <t>IT06615940829</t>
  </si>
  <si>
    <t>Palermo</t>
  </si>
  <si>
    <t>4537.</t>
  </si>
  <si>
    <t>GRUPPO STEBAN SOCIETA' A RESPONSABILITA' LIMITATA SEMPLIFICATA</t>
  </si>
  <si>
    <t>07849720722</t>
  </si>
  <si>
    <t>IT07849720722</t>
  </si>
  <si>
    <t>4538.</t>
  </si>
  <si>
    <t>VALI S.R.L.</t>
  </si>
  <si>
    <t>02591500414</t>
  </si>
  <si>
    <t>IT02591500414</t>
  </si>
  <si>
    <t>4539.</t>
  </si>
  <si>
    <t>SEAY S.R.L. SOCIETA' BENEFIT</t>
  </si>
  <si>
    <t>04226550244</t>
  </si>
  <si>
    <t>IT04226550244</t>
  </si>
  <si>
    <t>141929</t>
  </si>
  <si>
    <t>Vicenza</t>
  </si>
  <si>
    <t>4540.</t>
  </si>
  <si>
    <t>ORIAL S.R.L.</t>
  </si>
  <si>
    <t>01877520120</t>
  </si>
  <si>
    <t>03455110159</t>
  </si>
  <si>
    <t>IT03455110159</t>
  </si>
  <si>
    <t>Varese</t>
  </si>
  <si>
    <t>4541.</t>
  </si>
  <si>
    <t>SPOSIAMOCI ATELIER SOCIETA' A RESPONSABILITA' LIMITATA SEMPLIFICA TA</t>
  </si>
  <si>
    <t>03155290590</t>
  </si>
  <si>
    <t>IT03155290590</t>
  </si>
  <si>
    <t>4542.</t>
  </si>
  <si>
    <t>EUROWORLD S.R.L.</t>
  </si>
  <si>
    <t>04745440265</t>
  </si>
  <si>
    <t>IT04745440265</t>
  </si>
  <si>
    <t>Treviso</t>
  </si>
  <si>
    <t>4543.</t>
  </si>
  <si>
    <t>INDUSTRIA TESSILE NARDELLI I.T.N. S.R.L. IN LIQUIDAZIONE</t>
  </si>
  <si>
    <t>02154100735</t>
  </si>
  <si>
    <t>IT02154100735</t>
  </si>
  <si>
    <t>Taranto</t>
  </si>
  <si>
    <t>4544.</t>
  </si>
  <si>
    <t>SARTORIA LITRICO S.R.L. SOCIETA' BENEFIT O IN FORMA ABBREVIATA S ARTORIA LITRICO SRL SB</t>
  </si>
  <si>
    <t>13660881007</t>
  </si>
  <si>
    <t>IT13660881007</t>
  </si>
  <si>
    <t>141310</t>
  </si>
  <si>
    <t>Roma</t>
  </si>
  <si>
    <t>Lazio</t>
  </si>
  <si>
    <t>4545.</t>
  </si>
  <si>
    <t>SHER SRL</t>
  </si>
  <si>
    <t>03053300210</t>
  </si>
  <si>
    <t>IT03053300210</t>
  </si>
  <si>
    <t>141929</t>
  </si>
  <si>
    <t>Bolzano/Bozen</t>
  </si>
  <si>
    <t>Trentino-Alto Adige/Südtirol</t>
  </si>
  <si>
    <t>n.d.</t>
  </si>
  <si>
    <t>4546.</t>
  </si>
  <si>
    <t>SIMON'S CRAVATTE S.R.L.</t>
  </si>
  <si>
    <t>01998550139</t>
  </si>
  <si>
    <t>07054100156</t>
  </si>
  <si>
    <t>IT07054100156</t>
  </si>
  <si>
    <t>141000</t>
  </si>
  <si>
    <t>Como</t>
  </si>
  <si>
    <t>Lombardia</t>
  </si>
  <si>
    <t>4547.</t>
  </si>
  <si>
    <t>CONCERIA HORIZON S.R.L.</t>
  </si>
  <si>
    <t>01355830504</t>
  </si>
  <si>
    <t>IT01355830504</t>
  </si>
  <si>
    <t>151100</t>
  </si>
  <si>
    <t>Pisa</t>
  </si>
  <si>
    <t>Toscana</t>
  </si>
  <si>
    <t>4548.</t>
  </si>
  <si>
    <t>OREQUO S.R.L.</t>
  </si>
  <si>
    <t>03690931203</t>
  </si>
  <si>
    <t>IT03690931203</t>
  </si>
  <si>
    <t>141910</t>
  </si>
  <si>
    <t>Bologna</t>
  </si>
  <si>
    <t>Emilia-Romagna</t>
  </si>
  <si>
    <t>4549.</t>
  </si>
  <si>
    <t>MAQI SOCIETA' A RESPONSABILITA' LIMITATA SEMPLIFICATA</t>
  </si>
  <si>
    <t>04939500288</t>
  </si>
  <si>
    <t>IT04939500288</t>
  </si>
  <si>
    <t>151209</t>
  </si>
  <si>
    <t>Padova</t>
  </si>
  <si>
    <t>Veneto</t>
  </si>
  <si>
    <t>4550.</t>
  </si>
  <si>
    <t>GHEISA S.R.L.</t>
  </si>
  <si>
    <t>11261900010</t>
  </si>
  <si>
    <t>IT11261900010</t>
  </si>
  <si>
    <t>141400</t>
  </si>
  <si>
    <t>Torino</t>
  </si>
  <si>
    <t>Piemonte</t>
  </si>
  <si>
    <t>4551.</t>
  </si>
  <si>
    <t>ABOUTALISA SOCIETA' A RESPONSABILITA' LIMITATA SEMPLIFICATA</t>
  </si>
  <si>
    <t>02849760604</t>
  </si>
  <si>
    <t>IT02849760604</t>
  </si>
  <si>
    <t>141320</t>
  </si>
  <si>
    <t>Frosinone</t>
  </si>
  <si>
    <t>4552.</t>
  </si>
  <si>
    <t>FONDACO S.R.L.</t>
  </si>
  <si>
    <t>01690310477</t>
  </si>
  <si>
    <t>IT01690310477</t>
  </si>
  <si>
    <t>Pistoia</t>
  </si>
  <si>
    <t>4553.</t>
  </si>
  <si>
    <t>MY WAY SOCIETA' A RESPONSABILITA' LIMITATA SEMPLIFICATA</t>
  </si>
  <si>
    <t>04381600610</t>
  </si>
  <si>
    <t>IT04381600610</t>
  </si>
  <si>
    <t>152010</t>
  </si>
  <si>
    <t>Caserta</t>
  </si>
  <si>
    <t>Campania</t>
  </si>
  <si>
    <t>4554.</t>
  </si>
  <si>
    <t>ACONITO INTERNATIONAL S.R.L.</t>
  </si>
  <si>
    <t>02192570683</t>
  </si>
  <si>
    <t>IT02192570683</t>
  </si>
  <si>
    <t>Pescara</t>
  </si>
  <si>
    <t>Abruzzo</t>
  </si>
  <si>
    <t>4555.</t>
  </si>
  <si>
    <t>LUX LEATHER SOCIETA' A RESPONSABILITA' LIMITATA SEMPLIFICATA</t>
  </si>
  <si>
    <t>03043910649</t>
  </si>
  <si>
    <t>IT03043910649</t>
  </si>
  <si>
    <t>Avellino</t>
  </si>
  <si>
    <t>4556.</t>
  </si>
  <si>
    <t>L.M.S. S.R.L.</t>
  </si>
  <si>
    <t>02267780407</t>
  </si>
  <si>
    <t>IT02267780407</t>
  </si>
  <si>
    <t>Forlì-Cesena</t>
  </si>
  <si>
    <t>4557.</t>
  </si>
  <si>
    <t>FORINO1899 SOCIETA' A RESPONSABILITA' LIMITATA SEMPLIFICATA</t>
  </si>
  <si>
    <t>08648241217</t>
  </si>
  <si>
    <t>IT08648241217</t>
  </si>
  <si>
    <t>Napoli</t>
  </si>
  <si>
    <t>4558.</t>
  </si>
  <si>
    <t>EMMEGI ITALIA SRL</t>
  </si>
  <si>
    <t>02422260188</t>
  </si>
  <si>
    <t>IT02422260188</t>
  </si>
  <si>
    <t>Pavia</t>
  </si>
  <si>
    <t>4559.</t>
  </si>
  <si>
    <t>D.M. COMPANY - SOCIETA' A RESPONSABILITA' LIMITATA SEMPLIFICATA</t>
  </si>
  <si>
    <t>05603250654</t>
  </si>
  <si>
    <t>IT05603250654</t>
  </si>
  <si>
    <t>Salerno</t>
  </si>
  <si>
    <t>4560.</t>
  </si>
  <si>
    <t>LAB 78 SRL</t>
  </si>
  <si>
    <t>03120180363</t>
  </si>
  <si>
    <t>IT03120180363</t>
  </si>
  <si>
    <t>143900</t>
  </si>
  <si>
    <t>Modena</t>
  </si>
  <si>
    <t>4561.</t>
  </si>
  <si>
    <t>FC SOCIETA' A RESPONSABILITA' LIMITATA</t>
  </si>
  <si>
    <t>13346131009</t>
  </si>
  <si>
    <t>IT13346131009</t>
  </si>
  <si>
    <t>4562.</t>
  </si>
  <si>
    <t>NICOLE SRL</t>
  </si>
  <si>
    <t>02364680971</t>
  </si>
  <si>
    <t>IT02364680971</t>
  </si>
  <si>
    <t>Prato</t>
  </si>
  <si>
    <t>4563.</t>
  </si>
  <si>
    <t>ALO'S SOCIETA' A RESPONSABILITA' LIMITATA SEMPLIFICATA</t>
  </si>
  <si>
    <t>01353310459</t>
  </si>
  <si>
    <t>IT01353310459</t>
  </si>
  <si>
    <t>Massa-Carrara</t>
  </si>
  <si>
    <t>4564.</t>
  </si>
  <si>
    <t>PASTORE S.R.L.</t>
  </si>
  <si>
    <t>00925800039</t>
  </si>
  <si>
    <t>IT00925800039</t>
  </si>
  <si>
    <t>Novara</t>
  </si>
  <si>
    <t>4565.</t>
  </si>
  <si>
    <t>ULTRALIGHT S.R.L.</t>
  </si>
  <si>
    <t>06679860483</t>
  </si>
  <si>
    <t>IT06679860483</t>
  </si>
  <si>
    <t>Firenze</t>
  </si>
  <si>
    <t>4566.</t>
  </si>
  <si>
    <t>I.F.Y. ITALIAN FABRICS &amp; YARNS S.R.L.</t>
  </si>
  <si>
    <t>01993240025</t>
  </si>
  <si>
    <t>IT01993240025</t>
  </si>
  <si>
    <t>Milano</t>
  </si>
  <si>
    <t>4567.</t>
  </si>
  <si>
    <t>KELLE' FASHION S.R.L.</t>
  </si>
  <si>
    <t>09649541217</t>
  </si>
  <si>
    <t>IT09649541217</t>
  </si>
  <si>
    <t>4568.</t>
  </si>
  <si>
    <t>PAUL MECCANICO S.R.L.</t>
  </si>
  <si>
    <t>01886440435</t>
  </si>
  <si>
    <t>IT01886440435</t>
  </si>
  <si>
    <t>Macerata</t>
  </si>
  <si>
    <t>Marche</t>
  </si>
  <si>
    <t>4569.</t>
  </si>
  <si>
    <t>NUIZ SRL</t>
  </si>
  <si>
    <t>01873210932</t>
  </si>
  <si>
    <t>IT01873210932</t>
  </si>
  <si>
    <t>Pordenone</t>
  </si>
  <si>
    <t>Friuli-Venezia Giulia</t>
  </si>
  <si>
    <t>4570.</t>
  </si>
  <si>
    <t>ANTONELLA S.R.L.</t>
  </si>
  <si>
    <t>01708830466</t>
  </si>
  <si>
    <t>IT01708830466</t>
  </si>
  <si>
    <t>Lucca</t>
  </si>
  <si>
    <t>4571.</t>
  </si>
  <si>
    <t>CASA D'ARTE LO BOSCO S.R.L.</t>
  </si>
  <si>
    <t>05739150968</t>
  </si>
  <si>
    <t>IT05739150968</t>
  </si>
  <si>
    <t>4572.</t>
  </si>
  <si>
    <t>POLO OVEST S.R.L.</t>
  </si>
  <si>
    <t>03376360123</t>
  </si>
  <si>
    <t>IT03376360123</t>
  </si>
  <si>
    <t>Varese</t>
  </si>
  <si>
    <t>4573.</t>
  </si>
  <si>
    <t>ST. VALENTINE COLLECTIONS S.R.L.</t>
  </si>
  <si>
    <t>00748420551</t>
  </si>
  <si>
    <t>IT00748420551</t>
  </si>
  <si>
    <t>Terni</t>
  </si>
  <si>
    <t>Umbria</t>
  </si>
  <si>
    <t>4574.</t>
  </si>
  <si>
    <t>EXILIA GAIA S.R.L.</t>
  </si>
  <si>
    <t>00550721203</t>
  </si>
  <si>
    <t>02135540371</t>
  </si>
  <si>
    <t>IT02135540371</t>
  </si>
  <si>
    <t>4575.</t>
  </si>
  <si>
    <t>SARTORIA ANTONELLI S.R.L.</t>
  </si>
  <si>
    <t>07847531212</t>
  </si>
  <si>
    <t>IT07847531212</t>
  </si>
  <si>
    <t>4576.</t>
  </si>
  <si>
    <t>OPERA CAMPI SOCIETA' A RESPONSABILITA' LIMITATA</t>
  </si>
  <si>
    <t>02975420346</t>
  </si>
  <si>
    <t>IT02975420346</t>
  </si>
  <si>
    <t>141310</t>
  </si>
  <si>
    <t>Parma</t>
  </si>
  <si>
    <t>Emilia-Romagna</t>
  </si>
  <si>
    <t>4577.</t>
  </si>
  <si>
    <t>MARCUCCI STUDIO S.R.L.</t>
  </si>
  <si>
    <t>06879220488</t>
  </si>
  <si>
    <t>IT06879220488</t>
  </si>
  <si>
    <t>151209</t>
  </si>
  <si>
    <t>Firenze</t>
  </si>
  <si>
    <t>Toscana</t>
  </si>
  <si>
    <t>n.d.</t>
  </si>
  <si>
    <t>4578.</t>
  </si>
  <si>
    <t>ATHENA SARTORIA SOCIETA' COOPERATIVA ARTIGIANA</t>
  </si>
  <si>
    <t>01861910436</t>
  </si>
  <si>
    <t>IT01861910436</t>
  </si>
  <si>
    <t>141320</t>
  </si>
  <si>
    <t>Macerata</t>
  </si>
  <si>
    <t>Marche</t>
  </si>
  <si>
    <t>4579.</t>
  </si>
  <si>
    <t>EXACTA SOCIETA' A RESPONSABILITA' LIMITATA SEMPLIFICATA</t>
  </si>
  <si>
    <t>02776620425</t>
  </si>
  <si>
    <t>IT02776620425</t>
  </si>
  <si>
    <t>141910</t>
  </si>
  <si>
    <t>Ancona</t>
  </si>
  <si>
    <t>4580.</t>
  </si>
  <si>
    <t>CALZATURIFICIO PLINIUS SRL</t>
  </si>
  <si>
    <t>01513950152</t>
  </si>
  <si>
    <t>IT01513950152</t>
  </si>
  <si>
    <t>152000</t>
  </si>
  <si>
    <t>Milano</t>
  </si>
  <si>
    <t>Lombardia</t>
  </si>
  <si>
    <t>4581.</t>
  </si>
  <si>
    <t>ANTARES VENEZIA S.R.L.</t>
  </si>
  <si>
    <t>03880000272</t>
  </si>
  <si>
    <t>IT03880000272</t>
  </si>
  <si>
    <t>Venezia</t>
  </si>
  <si>
    <t>Veneto</t>
  </si>
  <si>
    <t>4582.</t>
  </si>
  <si>
    <t>SAMI S.R.L.</t>
  </si>
  <si>
    <t>09493101217</t>
  </si>
  <si>
    <t>IT09493101217</t>
  </si>
  <si>
    <t>Napoli</t>
  </si>
  <si>
    <t>Campania</t>
  </si>
  <si>
    <t>4583.</t>
  </si>
  <si>
    <t>MYAR SRL</t>
  </si>
  <si>
    <t>04022780243</t>
  </si>
  <si>
    <t>IT04022780243</t>
  </si>
  <si>
    <t>Vicenza</t>
  </si>
  <si>
    <t>4584.</t>
  </si>
  <si>
    <t>CRAVATTIFICIO GRANATA S.R.L.</t>
  </si>
  <si>
    <t>06200590153</t>
  </si>
  <si>
    <t>IT06200590153</t>
  </si>
  <si>
    <t>4585.</t>
  </si>
  <si>
    <t>FORME TESSILI SOCIETA' A RESPONSABILITA' LIMITATA SEMPLIFICATA</t>
  </si>
  <si>
    <t>02380280202</t>
  </si>
  <si>
    <t>IT02380280202</t>
  </si>
  <si>
    <t>141400</t>
  </si>
  <si>
    <t>Mantova</t>
  </si>
  <si>
    <t>4586.</t>
  </si>
  <si>
    <t>BROTHERS SOCIETA' A RESPONSABILITA' LIMITATA SEMPLIFICATA</t>
  </si>
  <si>
    <t>02503310746</t>
  </si>
  <si>
    <t>IT02503310746</t>
  </si>
  <si>
    <t>Lecce</t>
  </si>
  <si>
    <t>Puglia</t>
  </si>
  <si>
    <t>4587.</t>
  </si>
  <si>
    <t>MODELLERIA FUSCO S.R.L.</t>
  </si>
  <si>
    <t>06547751211</t>
  </si>
  <si>
    <t>IT06547751211</t>
  </si>
  <si>
    <t>152010</t>
  </si>
  <si>
    <t>4588.</t>
  </si>
  <si>
    <t>MAGLIERIA ITALIA S.R.L.</t>
  </si>
  <si>
    <t>03705080657</t>
  </si>
  <si>
    <t>IT03705080657</t>
  </si>
  <si>
    <t>143900</t>
  </si>
  <si>
    <t>Salerno</t>
  </si>
  <si>
    <t>4589.</t>
  </si>
  <si>
    <t>AD GROUP S.R.L.</t>
  </si>
  <si>
    <t>03987160656</t>
  </si>
  <si>
    <t>IT03987160656</t>
  </si>
  <si>
    <t>141200</t>
  </si>
  <si>
    <t>4590.</t>
  </si>
  <si>
    <t>ACQUARIUM - S.R.L.</t>
  </si>
  <si>
    <t>01023390360</t>
  </si>
  <si>
    <t>IT01023390360</t>
  </si>
  <si>
    <t>Modena</t>
  </si>
  <si>
    <t>4591.</t>
  </si>
  <si>
    <t>WIEVA S.R.L.</t>
  </si>
  <si>
    <t>09339371214</t>
  </si>
  <si>
    <t>IT09339371214</t>
  </si>
  <si>
    <t>4592.</t>
  </si>
  <si>
    <t>FAGGIOLI ATELIER S.R.L.</t>
  </si>
  <si>
    <t>02033880382</t>
  </si>
  <si>
    <t>IT02033880382</t>
  </si>
  <si>
    <t>Ferrara</t>
  </si>
  <si>
    <t>4593.</t>
  </si>
  <si>
    <t>NELLO PACI MANIFATTURE SRL</t>
  </si>
  <si>
    <t>02212630442</t>
  </si>
  <si>
    <t>IT02212630442</t>
  </si>
  <si>
    <t>Fermo</t>
  </si>
  <si>
    <t>4594.</t>
  </si>
  <si>
    <t>SE. AN. SRL</t>
  </si>
  <si>
    <t>02235370273</t>
  </si>
  <si>
    <t>IT02235370273</t>
  </si>
  <si>
    <t>4595.</t>
  </si>
  <si>
    <t>DIGI SERVICE SOCIETA' A RESPONSABILITA' LIMITATA SEMPLIFICATA</t>
  </si>
  <si>
    <t>05582240874</t>
  </si>
  <si>
    <t>IT05582240874</t>
  </si>
  <si>
    <t>Catania</t>
  </si>
  <si>
    <t>Sicilia</t>
  </si>
  <si>
    <t>4596.</t>
  </si>
  <si>
    <t>RVNG-LAB S.R.L.</t>
  </si>
  <si>
    <t>11457800966</t>
  </si>
  <si>
    <t>IT11457800966</t>
  </si>
  <si>
    <t>141929</t>
  </si>
  <si>
    <t>Monza e della Brianza</t>
  </si>
  <si>
    <t>4597.</t>
  </si>
  <si>
    <t>MANIFATTURE SANNINO S.R.L.</t>
  </si>
  <si>
    <t>01450891211</t>
  </si>
  <si>
    <t>05698900635</t>
  </si>
  <si>
    <t>IT05698900635</t>
  </si>
  <si>
    <t>4598.</t>
  </si>
  <si>
    <t>MIGLIO SRL</t>
  </si>
  <si>
    <t>05570961218</t>
  </si>
  <si>
    <t>IT05570961218</t>
  </si>
  <si>
    <t>4599.</t>
  </si>
  <si>
    <t>UEN GUD GUD SOCIETA' A RESPONSABILITA' LIMITATA SEMPLIFICATA</t>
  </si>
  <si>
    <t>09578681216</t>
  </si>
  <si>
    <t>IT09578681216</t>
  </si>
  <si>
    <t>4600.</t>
  </si>
  <si>
    <t>EFFEGI PLAST S.R.L.</t>
  </si>
  <si>
    <t>02644750461</t>
  </si>
  <si>
    <t>IT02644750461</t>
  </si>
  <si>
    <t>Lucca</t>
  </si>
  <si>
    <t>4601.</t>
  </si>
  <si>
    <t>PASSION FURS SRL</t>
  </si>
  <si>
    <t>05228180286</t>
  </si>
  <si>
    <t>IT05228180286</t>
  </si>
  <si>
    <t>142000</t>
  </si>
  <si>
    <t>Padova</t>
  </si>
  <si>
    <t>4602.</t>
  </si>
  <si>
    <t>NEW SIR VIP SRL</t>
  </si>
  <si>
    <t>00854710969</t>
  </si>
  <si>
    <t>07309840150</t>
  </si>
  <si>
    <t>IT07309840150</t>
  </si>
  <si>
    <t>141000</t>
  </si>
  <si>
    <t>4603.</t>
  </si>
  <si>
    <t>L.P. S.R.L.</t>
  </si>
  <si>
    <t>01515220448</t>
  </si>
  <si>
    <t>IT01515220448</t>
  </si>
  <si>
    <t>4604.</t>
  </si>
  <si>
    <t>GRUPPO SILVESTRE SOCIETA' A RESPONSABILITA' LIMITATA SEMPLIFICATA</t>
  </si>
  <si>
    <t>02804750350</t>
  </si>
  <si>
    <t>IT02804750350</t>
  </si>
  <si>
    <t>Reggio nell'Emilia</t>
  </si>
  <si>
    <t>4605.</t>
  </si>
  <si>
    <t>GRASSO S.R.L. ABITI DA LAVORO</t>
  </si>
  <si>
    <t>01976150647</t>
  </si>
  <si>
    <t>IT01976150647</t>
  </si>
  <si>
    <t>Avellino</t>
  </si>
  <si>
    <t>4606.</t>
  </si>
  <si>
    <t>SPORT BRANDS ITALY S.R.L.</t>
  </si>
  <si>
    <t>04847640267</t>
  </si>
  <si>
    <t>IT04847640267</t>
  </si>
  <si>
    <t>Treviso</t>
  </si>
  <si>
    <t>4607.</t>
  </si>
  <si>
    <t>MADE IN SICILY SHOP - SOCIETA' A RESPONSABILITA' LIMITATA SEMPLIFICATA</t>
  </si>
  <si>
    <t>05577990871</t>
  </si>
  <si>
    <t>IT05577990871</t>
  </si>
  <si>
    <t>4608.</t>
  </si>
  <si>
    <t>VALDER S.R.L.</t>
  </si>
  <si>
    <t>09385231213</t>
  </si>
  <si>
    <t>IT09385231213</t>
  </si>
  <si>
    <t>152020</t>
  </si>
  <si>
    <t>Napoli</t>
  </si>
  <si>
    <t>Campania</t>
  </si>
  <si>
    <t>n.d.</t>
  </si>
  <si>
    <t>4609.</t>
  </si>
  <si>
    <t>TREP SOCIETA' A RESPONSABILITA' LIMITATA SEMPLIFICATA</t>
  </si>
  <si>
    <t>06387980821</t>
  </si>
  <si>
    <t>IT06387980821</t>
  </si>
  <si>
    <t>141929</t>
  </si>
  <si>
    <t>Palermo</t>
  </si>
  <si>
    <t>Sicilia</t>
  </si>
  <si>
    <t>4610.</t>
  </si>
  <si>
    <t>MARLENE FUR SRL</t>
  </si>
  <si>
    <t>08731610153</t>
  </si>
  <si>
    <t>IT08731610153</t>
  </si>
  <si>
    <t>142000</t>
  </si>
  <si>
    <t>Milano</t>
  </si>
  <si>
    <t>Lombardia</t>
  </si>
  <si>
    <t>4611.</t>
  </si>
  <si>
    <t>NUOVA RIEM S.R.L.</t>
  </si>
  <si>
    <t>02271230514</t>
  </si>
  <si>
    <t>IT02271230514</t>
  </si>
  <si>
    <t>152010</t>
  </si>
  <si>
    <t>Arezzo</t>
  </si>
  <si>
    <t>Toscana</t>
  </si>
  <si>
    <t>4612.</t>
  </si>
  <si>
    <t>REMO SARTORI SOCIETA' A RESPONSABILITA' LIMITATA SEMPLIFICATA UNIPERSONALE</t>
  </si>
  <si>
    <t>05006250756</t>
  </si>
  <si>
    <t>IT05006250756</t>
  </si>
  <si>
    <t>141910</t>
  </si>
  <si>
    <t>Lecce</t>
  </si>
  <si>
    <t>Puglia</t>
  </si>
  <si>
    <t>4613.</t>
  </si>
  <si>
    <t>GIUCHI S.R.L.S.</t>
  </si>
  <si>
    <t>13896321000</t>
  </si>
  <si>
    <t>IT13896321000</t>
  </si>
  <si>
    <t>Roma</t>
  </si>
  <si>
    <t>Lazio</t>
  </si>
  <si>
    <t>4614.</t>
  </si>
  <si>
    <t>SINK OR SWIM S.R.L.</t>
  </si>
  <si>
    <t>09265210964</t>
  </si>
  <si>
    <t>IT09265210964</t>
  </si>
  <si>
    <t>141400</t>
  </si>
  <si>
    <t>4615.</t>
  </si>
  <si>
    <t>DELLA CORTE SARTORIA S.R.L.</t>
  </si>
  <si>
    <t>01964130684</t>
  </si>
  <si>
    <t>IT01964130684</t>
  </si>
  <si>
    <t>141320</t>
  </si>
  <si>
    <t>Pescara</t>
  </si>
  <si>
    <t>Abruzzo</t>
  </si>
  <si>
    <t>4616.</t>
  </si>
  <si>
    <t>REVEYE' SRL</t>
  </si>
  <si>
    <t>09498940965</t>
  </si>
  <si>
    <t>IT09498940965</t>
  </si>
  <si>
    <t>141310</t>
  </si>
  <si>
    <t>Lodi</t>
  </si>
  <si>
    <t>4617.</t>
  </si>
  <si>
    <t>MIA CARMEN S.R.L.</t>
  </si>
  <si>
    <t>05199431007</t>
  </si>
  <si>
    <t>IT05199431007</t>
  </si>
  <si>
    <t>4618.</t>
  </si>
  <si>
    <t>R.TEX SRL</t>
  </si>
  <si>
    <t>02557370356</t>
  </si>
  <si>
    <t>IT02557370356</t>
  </si>
  <si>
    <t>Reggio nell'Emilia</t>
  </si>
  <si>
    <t>Emilia-Romagna</t>
  </si>
  <si>
    <t>4619.</t>
  </si>
  <si>
    <t>FENIX SRL</t>
  </si>
  <si>
    <t>01624390447</t>
  </si>
  <si>
    <t>IT01624390447</t>
  </si>
  <si>
    <t>151209</t>
  </si>
  <si>
    <t>Fermo</t>
  </si>
  <si>
    <t>Marche</t>
  </si>
  <si>
    <t>4620.</t>
  </si>
  <si>
    <t>SAFIRA S.R.L.</t>
  </si>
  <si>
    <t>03798560128</t>
  </si>
  <si>
    <t>IT03798560128</t>
  </si>
  <si>
    <t>Varese</t>
  </si>
  <si>
    <t>4621.</t>
  </si>
  <si>
    <t>COLORIAGE SOCIETA' COOPERATIVA IMPRESA SOCIALE</t>
  </si>
  <si>
    <t>16012311003</t>
  </si>
  <si>
    <t>IT16012311003</t>
  </si>
  <si>
    <t>4622.</t>
  </si>
  <si>
    <t>CAMG SRL</t>
  </si>
  <si>
    <t>00294910443</t>
  </si>
  <si>
    <t>IT00294910443</t>
  </si>
  <si>
    <t>152000</t>
  </si>
  <si>
    <t>4623.</t>
  </si>
  <si>
    <t>VAL CHIARA DIFFUSION S.R.L.</t>
  </si>
  <si>
    <t>01321580415</t>
  </si>
  <si>
    <t>IT01321580415</t>
  </si>
  <si>
    <t>141000</t>
  </si>
  <si>
    <t>Pesaro e Urbino</t>
  </si>
  <si>
    <t>4624.</t>
  </si>
  <si>
    <t>SARTORIA ALESSANDRO COPPOLA S.R.L.S.</t>
  </si>
  <si>
    <t>05413950659</t>
  </si>
  <si>
    <t>IT05413950659</t>
  </si>
  <si>
    <t>Salerno</t>
  </si>
  <si>
    <t>4625.</t>
  </si>
  <si>
    <t>MARIO COSTANTINO TRIOLO S.R.L.</t>
  </si>
  <si>
    <t>03734590791</t>
  </si>
  <si>
    <t>IT03734590791</t>
  </si>
  <si>
    <t>Catanzaro</t>
  </si>
  <si>
    <t>Calabria</t>
  </si>
  <si>
    <t>4626.</t>
  </si>
  <si>
    <t>CHERI S.R.L.</t>
  </si>
  <si>
    <t>03342090549</t>
  </si>
  <si>
    <t>IT03342090549</t>
  </si>
  <si>
    <t>Perugia</t>
  </si>
  <si>
    <t>Umbria</t>
  </si>
  <si>
    <t>4627.</t>
  </si>
  <si>
    <t>MADE IN SUD SALENTO SOCIETA' COOPERATIVA</t>
  </si>
  <si>
    <t>04707290757</t>
  </si>
  <si>
    <t>IT04707290757</t>
  </si>
  <si>
    <t>4628.</t>
  </si>
  <si>
    <t>FL LAB SOCIETA' A RESPONSABILITA' LIMITATA SEMPLIFICATA</t>
  </si>
  <si>
    <t>02638120747</t>
  </si>
  <si>
    <t>IT02638120747</t>
  </si>
  <si>
    <t>141200</t>
  </si>
  <si>
    <t>Brindisi</t>
  </si>
  <si>
    <t>4629.</t>
  </si>
  <si>
    <t>MADEINMENTE FASHION MOLISE SOCIETA' BENEFIT S.R.L.</t>
  </si>
  <si>
    <t>00973680945</t>
  </si>
  <si>
    <t>IT00973680945</t>
  </si>
  <si>
    <t>Isernia</t>
  </si>
  <si>
    <t>Molise</t>
  </si>
  <si>
    <t>4630.</t>
  </si>
  <si>
    <t>ME PET S.R.L.</t>
  </si>
  <si>
    <t>03966761201</t>
  </si>
  <si>
    <t>IT03966761201</t>
  </si>
  <si>
    <t>Bologna</t>
  </si>
  <si>
    <t>4631.</t>
  </si>
  <si>
    <t>B. PLAIN SOCIETA' A RESPONSABILITA' LIMITATA SEMPLIFICATA</t>
  </si>
  <si>
    <t>08598751215</t>
  </si>
  <si>
    <t>IT08598751215</t>
  </si>
  <si>
    <t>4632.</t>
  </si>
  <si>
    <t>YALI DESIGN S.R.L.</t>
  </si>
  <si>
    <t>11772050966</t>
  </si>
  <si>
    <t>IT11772050966</t>
  </si>
  <si>
    <t>4633.</t>
  </si>
  <si>
    <t>VILLA TERA S.R.L.</t>
  </si>
  <si>
    <t>07436740968</t>
  </si>
  <si>
    <t>IT07436740968</t>
  </si>
  <si>
    <t>4634.</t>
  </si>
  <si>
    <t>PARAFIORITI CONFEZIONI &amp; CO. SRLS UNIPERSONALE</t>
  </si>
  <si>
    <t>04418330405</t>
  </si>
  <si>
    <t>IT04418330405</t>
  </si>
  <si>
    <t>Forlì-Cesena</t>
  </si>
  <si>
    <t>4635.</t>
  </si>
  <si>
    <t>GIOCA SOCIETA' A RESPONSABILITA' LIMITATA SEMPLIFICATA</t>
  </si>
  <si>
    <t>01894370939</t>
  </si>
  <si>
    <t>IT01894370939</t>
  </si>
  <si>
    <t>Pordenone</t>
  </si>
  <si>
    <t>Friuli-Venezia Giulia</t>
  </si>
  <si>
    <t>4636.</t>
  </si>
  <si>
    <t>ATELIER FRANCESCA PILOTTO SRL</t>
  </si>
  <si>
    <t>01165790914</t>
  </si>
  <si>
    <t>IT01165790914</t>
  </si>
  <si>
    <t>Nuoro</t>
  </si>
  <si>
    <t>Sardegna</t>
  </si>
  <si>
    <t>4637.</t>
  </si>
  <si>
    <t>DANZIFICIO PETRECCA S.R.L.</t>
  </si>
  <si>
    <t>05286581219</t>
  </si>
  <si>
    <t>IT05286581219</t>
  </si>
  <si>
    <t>4638.</t>
  </si>
  <si>
    <t>PETRIS S.R.L.</t>
  </si>
  <si>
    <t>00149260432</t>
  </si>
  <si>
    <t>IT00149260432</t>
  </si>
  <si>
    <t>Macerata</t>
  </si>
  <si>
    <t>4639.</t>
  </si>
  <si>
    <t>GI.NA SOCIETA' A RESPONSABILITA' LIMITATA</t>
  </si>
  <si>
    <t>02545470599</t>
  </si>
  <si>
    <t>IT02545470599</t>
  </si>
  <si>
    <t>141100</t>
  </si>
  <si>
    <t>Latina</t>
  </si>
  <si>
    <t>4640.</t>
  </si>
  <si>
    <t>CRISTINA 4 PUNTO 3 SOCIETA' COOPERATIVA</t>
  </si>
  <si>
    <t>06650330829</t>
  </si>
  <si>
    <t>IT06650330829</t>
  </si>
  <si>
    <t>151209</t>
  </si>
  <si>
    <t>Palermo</t>
  </si>
  <si>
    <t>Sicilia</t>
  </si>
  <si>
    <t>n.d.</t>
  </si>
  <si>
    <t>4641.</t>
  </si>
  <si>
    <t>LANZONI &amp; B. - S.R.L.</t>
  </si>
  <si>
    <t>00157750407</t>
  </si>
  <si>
    <t>IT00157750407</t>
  </si>
  <si>
    <t>152010</t>
  </si>
  <si>
    <t>Forlì-Cesena</t>
  </si>
  <si>
    <t>Emilia-Romagna</t>
  </si>
  <si>
    <t>4642.</t>
  </si>
  <si>
    <t>R.A.Y DONALD SRL</t>
  </si>
  <si>
    <t>01367800511</t>
  </si>
  <si>
    <t>IT01367800511</t>
  </si>
  <si>
    <t>141310</t>
  </si>
  <si>
    <t>Arezzo</t>
  </si>
  <si>
    <t>Toscana</t>
  </si>
  <si>
    <t>4643.</t>
  </si>
  <si>
    <t>PELLETTERIA LAURA SOCIETA' A RESPONSABILITA' LIMITATA SEMPLIFICATA</t>
  </si>
  <si>
    <t>02401520974</t>
  </si>
  <si>
    <t>IT02401520974</t>
  </si>
  <si>
    <t>Firenze</t>
  </si>
  <si>
    <t>4644.</t>
  </si>
  <si>
    <t>MAPE FASHION SRL</t>
  </si>
  <si>
    <t>02003680432</t>
  </si>
  <si>
    <t>IT02003680432</t>
  </si>
  <si>
    <t>Macerata</t>
  </si>
  <si>
    <t>Marche</t>
  </si>
  <si>
    <t>4645.</t>
  </si>
  <si>
    <t>MASVERT S.R.L.</t>
  </si>
  <si>
    <t>02222860351</t>
  </si>
  <si>
    <t>IT02222860351</t>
  </si>
  <si>
    <t>Reggio nell'Emilia</t>
  </si>
  <si>
    <t>4646.</t>
  </si>
  <si>
    <t>SURCHERI SRL</t>
  </si>
  <si>
    <t>04853330233</t>
  </si>
  <si>
    <t>IT04853330233</t>
  </si>
  <si>
    <t>Verona</t>
  </si>
  <si>
    <t>Veneto</t>
  </si>
  <si>
    <t>4647.</t>
  </si>
  <si>
    <t>CHARL'S DI LIOTTI CARLO S.R.L.</t>
  </si>
  <si>
    <t>02319120644</t>
  </si>
  <si>
    <t>IT02319120644</t>
  </si>
  <si>
    <t>141100</t>
  </si>
  <si>
    <t>Avellino</t>
  </si>
  <si>
    <t>Campania</t>
  </si>
  <si>
    <t>4648.</t>
  </si>
  <si>
    <t>GAV SPORTSWEAR GROUP SOCIETA' A RESPONSABILITA' LIMITATA SEMPLIFICATA</t>
  </si>
  <si>
    <t>04804750752</t>
  </si>
  <si>
    <t>IT04804750752</t>
  </si>
  <si>
    <t>141929</t>
  </si>
  <si>
    <t>Lecce</t>
  </si>
  <si>
    <t>Puglia</t>
  </si>
  <si>
    <t>4649.</t>
  </si>
  <si>
    <t>EMMEGI S.R.L.</t>
  </si>
  <si>
    <t>01718410333</t>
  </si>
  <si>
    <t>IT01718410333</t>
  </si>
  <si>
    <t>143900</t>
  </si>
  <si>
    <t>Piacenza</t>
  </si>
  <si>
    <t>4650.</t>
  </si>
  <si>
    <t>SCARLETVIRGO S.R.L.</t>
  </si>
  <si>
    <t>08938680967</t>
  </si>
  <si>
    <t>IT08938680967</t>
  </si>
  <si>
    <t>Milano</t>
  </si>
  <si>
    <t>Lombardia</t>
  </si>
  <si>
    <t>4651.</t>
  </si>
  <si>
    <t>COPAR - S.R.L.</t>
  </si>
  <si>
    <t>02062160243</t>
  </si>
  <si>
    <t>IT02062160243</t>
  </si>
  <si>
    <t>151100</t>
  </si>
  <si>
    <t>Vicenza</t>
  </si>
  <si>
    <t>4652.</t>
  </si>
  <si>
    <t>BIANCA SPOSA SOCIETA' A RESPONSABILITA' LIMITATA SEMPLIFICATA</t>
  </si>
  <si>
    <t>08134200727</t>
  </si>
  <si>
    <t>IT08134200727</t>
  </si>
  <si>
    <t>Bari</t>
  </si>
  <si>
    <t>4653.</t>
  </si>
  <si>
    <t>EDYSCAMBI ITALIA S.R.L.</t>
  </si>
  <si>
    <t>00115530933</t>
  </si>
  <si>
    <t>IT00115530933</t>
  </si>
  <si>
    <t>141200</t>
  </si>
  <si>
    <t>Pordenone</t>
  </si>
  <si>
    <t>Friuli-Venezia Giulia</t>
  </si>
  <si>
    <t>4654.</t>
  </si>
  <si>
    <t>ITEX S.R.L.</t>
  </si>
  <si>
    <t>08320870721</t>
  </si>
  <si>
    <t>IT08320870721</t>
  </si>
  <si>
    <t>141320</t>
  </si>
  <si>
    <t>4655.</t>
  </si>
  <si>
    <t>ARIANNA S.R.L.</t>
  </si>
  <si>
    <t>02426210999</t>
  </si>
  <si>
    <t>IT02426210999</t>
  </si>
  <si>
    <t>Genova</t>
  </si>
  <si>
    <t>Liguria</t>
  </si>
  <si>
    <t>4656.</t>
  </si>
  <si>
    <t>MUSCARIELLO INDUSTRIE LUSSO SARTORIALE 1964 S.R.L.</t>
  </si>
  <si>
    <t>01296231218</t>
  </si>
  <si>
    <t>03545920633</t>
  </si>
  <si>
    <t>IT03545920633</t>
  </si>
  <si>
    <t>141400</t>
  </si>
  <si>
    <t>Napoli</t>
  </si>
  <si>
    <t>4657.</t>
  </si>
  <si>
    <t>JASHA S.R.L.</t>
  </si>
  <si>
    <t>08359471219</t>
  </si>
  <si>
    <t>IT08359471219</t>
  </si>
  <si>
    <t>4658.</t>
  </si>
  <si>
    <t>AURILIO SRL</t>
  </si>
  <si>
    <t>03872100122</t>
  </si>
  <si>
    <t>IT03872100122</t>
  </si>
  <si>
    <t>Varese</t>
  </si>
  <si>
    <t>4659.</t>
  </si>
  <si>
    <t>LUMA S.R.L</t>
  </si>
  <si>
    <t>02927650602</t>
  </si>
  <si>
    <t>IT02927650602</t>
  </si>
  <si>
    <t>Frosinone</t>
  </si>
  <si>
    <t>Lazio</t>
  </si>
  <si>
    <t>4660.</t>
  </si>
  <si>
    <t>GREENLAB SHOES SRLS</t>
  </si>
  <si>
    <t>02392630501</t>
  </si>
  <si>
    <t>IT02392630501</t>
  </si>
  <si>
    <t>Pisa</t>
  </si>
  <si>
    <t>4661.</t>
  </si>
  <si>
    <t>PIEFFE STUDIO SOCIETA' A RESPONSABILITA' LIMITATA SEMPLIFICATA UN IPERSONALE</t>
  </si>
  <si>
    <t>06326130488</t>
  </si>
  <si>
    <t>IT06326130488</t>
  </si>
  <si>
    <t>4662.</t>
  </si>
  <si>
    <t>PELLETTERIA DIGITALE SRL</t>
  </si>
  <si>
    <t>02272250503</t>
  </si>
  <si>
    <t>IT02272250503</t>
  </si>
  <si>
    <t>4663.</t>
  </si>
  <si>
    <t>VALGRISA S.R.L.</t>
  </si>
  <si>
    <t>01074620079</t>
  </si>
  <si>
    <t>IT01074620079</t>
  </si>
  <si>
    <t>Valle d'Aosta/Vallée d'Aoste</t>
  </si>
  <si>
    <t>4664.</t>
  </si>
  <si>
    <t>ALPHA SOCIETA' A RESPONSABILITA' LIMITATA SEMPLIFICATA</t>
  </si>
  <si>
    <t>12676900017</t>
  </si>
  <si>
    <t>IT12676900017</t>
  </si>
  <si>
    <t>Torino</t>
  </si>
  <si>
    <t>Piemonte</t>
  </si>
  <si>
    <t>4665.</t>
  </si>
  <si>
    <t>H501 S.R.L.S.</t>
  </si>
  <si>
    <t>10520800961</t>
  </si>
  <si>
    <t>IT10520800961</t>
  </si>
  <si>
    <t>Alessandria</t>
  </si>
  <si>
    <t>4666.</t>
  </si>
  <si>
    <t>BLUE MILANO S.R.L.</t>
  </si>
  <si>
    <t>09943210964</t>
  </si>
  <si>
    <t>IT09943210964</t>
  </si>
  <si>
    <t>141000</t>
  </si>
  <si>
    <t>4667.</t>
  </si>
  <si>
    <t>DUST ITALIA SRL</t>
  </si>
  <si>
    <t>04310110400</t>
  </si>
  <si>
    <t>IT04310110400</t>
  </si>
  <si>
    <t>4668.</t>
  </si>
  <si>
    <t>ATELIER TRAMONTANO S.R.L.S.</t>
  </si>
  <si>
    <t>08273491210</t>
  </si>
  <si>
    <t>IT08273491210</t>
  </si>
  <si>
    <t>4669.</t>
  </si>
  <si>
    <t>NEW BAG LINE - S.R.L.</t>
  </si>
  <si>
    <t>04143671008</t>
  </si>
  <si>
    <t>IT04143671008</t>
  </si>
  <si>
    <t>Roma</t>
  </si>
  <si>
    <t>4670.</t>
  </si>
  <si>
    <t>CINQUANTANOVEA SOCIETA' A RESPONSABILITA' LIMITATA SEMPLIFICATA</t>
  </si>
  <si>
    <t>12325511009</t>
  </si>
  <si>
    <t>IT12325511009</t>
  </si>
  <si>
    <t>141910</t>
  </si>
  <si>
    <t>4671.</t>
  </si>
  <si>
    <t>NUUM S.R.L.</t>
  </si>
  <si>
    <t>04050480369</t>
  </si>
  <si>
    <t>IT04050480369</t>
  </si>
  <si>
    <t>Modena</t>
  </si>
  <si>
    <t>4672.</t>
  </si>
  <si>
    <t>WHITE S.R.L.S.</t>
  </si>
  <si>
    <t>02580470033</t>
  </si>
  <si>
    <t>IT02580470033</t>
  </si>
  <si>
    <t>141400</t>
  </si>
  <si>
    <t>Novara</t>
  </si>
  <si>
    <t>Piemonte</t>
  </si>
  <si>
    <t>4673.</t>
  </si>
  <si>
    <t>EUROCUOIO S.R.L.</t>
  </si>
  <si>
    <t>04583510617</t>
  </si>
  <si>
    <t>IT04583510617</t>
  </si>
  <si>
    <t>151209</t>
  </si>
  <si>
    <t>Caserta</t>
  </si>
  <si>
    <t>Campania</t>
  </si>
  <si>
    <t>4674.</t>
  </si>
  <si>
    <t>PELLETTERIA EASYPELL SOCIETA' COOPERATIVA</t>
  </si>
  <si>
    <t>04007540711</t>
  </si>
  <si>
    <t>IT04007540711</t>
  </si>
  <si>
    <t>Foggia</t>
  </si>
  <si>
    <t>Puglia</t>
  </si>
  <si>
    <t>n.d.</t>
  </si>
  <si>
    <t>4675.</t>
  </si>
  <si>
    <t>VIME S.R.L.</t>
  </si>
  <si>
    <t>02864830423</t>
  </si>
  <si>
    <t>IT02864830423</t>
  </si>
  <si>
    <t>141310</t>
  </si>
  <si>
    <t>Ancona</t>
  </si>
  <si>
    <t>Marche</t>
  </si>
  <si>
    <t>4676.</t>
  </si>
  <si>
    <t>C.A.M. DI MAZZOLA MAURIZIO S.R.L. UNIPERSONALE</t>
  </si>
  <si>
    <t>01165730860</t>
  </si>
  <si>
    <t>IT01165730860</t>
  </si>
  <si>
    <t>Enna</t>
  </si>
  <si>
    <t>Sicilia</t>
  </si>
  <si>
    <t>4677.</t>
  </si>
  <si>
    <t>JUIL S.R.L.</t>
  </si>
  <si>
    <t>07690700963</t>
  </si>
  <si>
    <t>IT07690700963</t>
  </si>
  <si>
    <t>141000</t>
  </si>
  <si>
    <t>Milano</t>
  </si>
  <si>
    <t>Lombardia</t>
  </si>
  <si>
    <t>4678.</t>
  </si>
  <si>
    <t>DELUM S.R.L.</t>
  </si>
  <si>
    <t>02329870972</t>
  </si>
  <si>
    <t>IT02329870972</t>
  </si>
  <si>
    <t>Prato</t>
  </si>
  <si>
    <t>Toscana</t>
  </si>
  <si>
    <t>4679.</t>
  </si>
  <si>
    <t>RITOCCA S.R.L.S - SOCIETA' A RESPONSABILITA' LIMITATA SEMPLIFICATA</t>
  </si>
  <si>
    <t>03654130792</t>
  </si>
  <si>
    <t>IT03654130792</t>
  </si>
  <si>
    <t>141320</t>
  </si>
  <si>
    <t>Vibo Valentia</t>
  </si>
  <si>
    <t>Calabria</t>
  </si>
  <si>
    <t>4680.</t>
  </si>
  <si>
    <t>ROBERTA CENCI EVENTI SRL</t>
  </si>
  <si>
    <t>01812760435</t>
  </si>
  <si>
    <t>IT01812760435</t>
  </si>
  <si>
    <t>152010</t>
  </si>
  <si>
    <t>Macerata</t>
  </si>
  <si>
    <t>4681.</t>
  </si>
  <si>
    <t>STILE VANE SOCIETA' A RESPONSABILITA' LIMITATA SEMPLIFICATA</t>
  </si>
  <si>
    <t>02741820423</t>
  </si>
  <si>
    <t>IT02741820423</t>
  </si>
  <si>
    <t>4682.</t>
  </si>
  <si>
    <t>CLES S.R.L.</t>
  </si>
  <si>
    <t>03967770136</t>
  </si>
  <si>
    <t>IT03967770136</t>
  </si>
  <si>
    <t>141910</t>
  </si>
  <si>
    <t>Como</t>
  </si>
  <si>
    <t>4683.</t>
  </si>
  <si>
    <t>DUE GALLI SRL</t>
  </si>
  <si>
    <t>03284880121</t>
  </si>
  <si>
    <t>IT03284880121</t>
  </si>
  <si>
    <t>Varese</t>
  </si>
  <si>
    <t>4684.</t>
  </si>
  <si>
    <t>GERJ S.R.L.</t>
  </si>
  <si>
    <t>00513640441</t>
  </si>
  <si>
    <t>IT00513640441</t>
  </si>
  <si>
    <t>152020</t>
  </si>
  <si>
    <t>Fermo</t>
  </si>
  <si>
    <t>4685.</t>
  </si>
  <si>
    <t>AFOR COMPANY S.R.L.</t>
  </si>
  <si>
    <t>02073890671</t>
  </si>
  <si>
    <t>IT02073890671</t>
  </si>
  <si>
    <t>Teramo</t>
  </si>
  <si>
    <t>Abruzzo</t>
  </si>
  <si>
    <t>4686.</t>
  </si>
  <si>
    <t>ORIZZONTI S.R.L.</t>
  </si>
  <si>
    <t>05553160721</t>
  </si>
  <si>
    <t>IT05553160721</t>
  </si>
  <si>
    <t>Barletta-Andria-Trani</t>
  </si>
  <si>
    <t>4687.</t>
  </si>
  <si>
    <t>CIRMAR S.R.L.</t>
  </si>
  <si>
    <t>02948631219</t>
  </si>
  <si>
    <t>IT02948631219</t>
  </si>
  <si>
    <t>Napoli</t>
  </si>
  <si>
    <t>4688.</t>
  </si>
  <si>
    <t>FRIEND S.R.L.</t>
  </si>
  <si>
    <t>05093030822</t>
  </si>
  <si>
    <t>IT05093030822</t>
  </si>
  <si>
    <t>141200</t>
  </si>
  <si>
    <t>Palermo</t>
  </si>
  <si>
    <t>4689.</t>
  </si>
  <si>
    <t>FG SPORT S.R.L.</t>
  </si>
  <si>
    <t>06854770960</t>
  </si>
  <si>
    <t>IT06854770960</t>
  </si>
  <si>
    <t>141929</t>
  </si>
  <si>
    <t>Piacenza</t>
  </si>
  <si>
    <t>Emilia-Romagna</t>
  </si>
  <si>
    <t>4690.</t>
  </si>
  <si>
    <t>MD CREAZIONI - SOCIETA' A RESPONSABILITA' LIMITATA SEMPLIFICATA</t>
  </si>
  <si>
    <t>14150951003</t>
  </si>
  <si>
    <t>IT14150951003</t>
  </si>
  <si>
    <t>Roma</t>
  </si>
  <si>
    <t>Lazio</t>
  </si>
  <si>
    <t>4691.</t>
  </si>
  <si>
    <t>MARINI 1899 SOCIETA' A RESPONSABILITA' LIMITATA</t>
  </si>
  <si>
    <t>12756301003</t>
  </si>
  <si>
    <t>IT12756301003</t>
  </si>
  <si>
    <t>4692.</t>
  </si>
  <si>
    <t>MANIFATTURE LUSSO SOCIETA' A RESPONSABILITA' LIMITATA SEMPLIFICATA</t>
  </si>
  <si>
    <t>02224770681</t>
  </si>
  <si>
    <t>IT02224770681</t>
  </si>
  <si>
    <t>Pescara</t>
  </si>
  <si>
    <t>4693.</t>
  </si>
  <si>
    <t>CHLEO' SOCIETA' A RESPONSABILITA' LIMITATA SEMPLIFICATA</t>
  </si>
  <si>
    <t>04235230614</t>
  </si>
  <si>
    <t>IT04235230614</t>
  </si>
  <si>
    <t>4694.</t>
  </si>
  <si>
    <t>SECURESI' SRL</t>
  </si>
  <si>
    <t>03006040301</t>
  </si>
  <si>
    <t>IT03006040301</t>
  </si>
  <si>
    <t>Udine</t>
  </si>
  <si>
    <t>Friuli-Venezia Giulia</t>
  </si>
  <si>
    <t>4695.</t>
  </si>
  <si>
    <t>PATTY B S.R.L.S.</t>
  </si>
  <si>
    <t>16851951000</t>
  </si>
  <si>
    <t>IT16851951000</t>
  </si>
  <si>
    <t>4696.</t>
  </si>
  <si>
    <t>PELLICCERIA FRANCO S.R.L.</t>
  </si>
  <si>
    <t>01440170080</t>
  </si>
  <si>
    <t>IT01440170080</t>
  </si>
  <si>
    <t>142000</t>
  </si>
  <si>
    <t>Imperia</t>
  </si>
  <si>
    <t>Liguria</t>
  </si>
  <si>
    <t>4697.</t>
  </si>
  <si>
    <t>PAIANO S.R.L.</t>
  </si>
  <si>
    <t>05242890753</t>
  </si>
  <si>
    <t>IT05242890753</t>
  </si>
  <si>
    <t>Lecce</t>
  </si>
  <si>
    <t>4698.</t>
  </si>
  <si>
    <t>CALZATURIFICIO CIVITANOVESE S.R.L.</t>
  </si>
  <si>
    <t>01837280435</t>
  </si>
  <si>
    <t>IT01837280435</t>
  </si>
  <si>
    <t>4699.</t>
  </si>
  <si>
    <t>INSIGNIS S.R.L. UNIPERSONALE</t>
  </si>
  <si>
    <t>04955900966</t>
  </si>
  <si>
    <t>IT04955900966</t>
  </si>
  <si>
    <t>Pisa</t>
  </si>
  <si>
    <t>4700.</t>
  </si>
  <si>
    <t>DADO ITALIA S.R.L.</t>
  </si>
  <si>
    <t>09161210969</t>
  </si>
  <si>
    <t>IT09161210969</t>
  </si>
  <si>
    <t>Monza e della Brianza</t>
  </si>
  <si>
    <t>4701.</t>
  </si>
  <si>
    <t>SUPERBRANDS ITALIA SRL</t>
  </si>
  <si>
    <t>01875920686</t>
  </si>
  <si>
    <t>IT01875920686</t>
  </si>
  <si>
    <t>4702.</t>
  </si>
  <si>
    <t>ALBERTO OLIVERO S.R.L.</t>
  </si>
  <si>
    <t>16619021005</t>
  </si>
  <si>
    <t>IT16619021005</t>
  </si>
  <si>
    <t>4703.</t>
  </si>
  <si>
    <t>LUXX INDUSTRY S.R.L.</t>
  </si>
  <si>
    <t>02437740398</t>
  </si>
  <si>
    <t>IT02437740398</t>
  </si>
  <si>
    <t>Ravenna</t>
  </si>
  <si>
    <t>4704.</t>
  </si>
  <si>
    <t>ANNA BUZZI SRL</t>
  </si>
  <si>
    <t>04122750989</t>
  </si>
  <si>
    <t>IT04122750989</t>
  </si>
  <si>
    <t>141100</t>
  </si>
  <si>
    <t>Brescia</t>
  </si>
  <si>
    <t>Lombardia</t>
  </si>
  <si>
    <t>4705.</t>
  </si>
  <si>
    <t>BLACK VENUS SRL UNIPERSONALE</t>
  </si>
  <si>
    <t>01682790447</t>
  </si>
  <si>
    <t>IT01682790447</t>
  </si>
  <si>
    <t>152010</t>
  </si>
  <si>
    <t>Fermo</t>
  </si>
  <si>
    <t>Marche</t>
  </si>
  <si>
    <t>4706.</t>
  </si>
  <si>
    <t>MERMAZING SRL</t>
  </si>
  <si>
    <t>02969460597</t>
  </si>
  <si>
    <t>IT02969460597</t>
  </si>
  <si>
    <t>141910</t>
  </si>
  <si>
    <t>Roma</t>
  </si>
  <si>
    <t>Lazio</t>
  </si>
  <si>
    <t>4707.</t>
  </si>
  <si>
    <t>VARCI - S.R.L.</t>
  </si>
  <si>
    <t>04929760728</t>
  </si>
  <si>
    <t>IT04929760728</t>
  </si>
  <si>
    <t>141310</t>
  </si>
  <si>
    <t>Bari</t>
  </si>
  <si>
    <t>Puglia</t>
  </si>
  <si>
    <t>4708.</t>
  </si>
  <si>
    <t>COSE DI MAGLIA S.R.L.</t>
  </si>
  <si>
    <t>07523941008</t>
  </si>
  <si>
    <t>IT07523941008</t>
  </si>
  <si>
    <t>143900</t>
  </si>
  <si>
    <t>n.d.</t>
  </si>
  <si>
    <t>4709.</t>
  </si>
  <si>
    <t>FEDERICA MAGGIO S.R.L.</t>
  </si>
  <si>
    <t>02484390741</t>
  </si>
  <si>
    <t>IT02484390741</t>
  </si>
  <si>
    <t>141929</t>
  </si>
  <si>
    <t>Brindisi</t>
  </si>
  <si>
    <t>4710.</t>
  </si>
  <si>
    <t>SKUDOMADE.IT S.R.L.</t>
  </si>
  <si>
    <t>12031680015</t>
  </si>
  <si>
    <t>IT12031680015</t>
  </si>
  <si>
    <t>141320</t>
  </si>
  <si>
    <t>Torino</t>
  </si>
  <si>
    <t>Piemonte</t>
  </si>
  <si>
    <t>4711.</t>
  </si>
  <si>
    <t>ATELIER SARTORIALE SOCIETA' A RESPONSABILITA' LIMITATA SEMPLIFICATA</t>
  </si>
  <si>
    <t>01902170933</t>
  </si>
  <si>
    <t>IT01902170933</t>
  </si>
  <si>
    <t>Pordenone</t>
  </si>
  <si>
    <t>Friuli-Venezia Giulia</t>
  </si>
  <si>
    <t>4712.</t>
  </si>
  <si>
    <t>DEMODE' S.R.L.</t>
  </si>
  <si>
    <t>02189930510</t>
  </si>
  <si>
    <t>IT02189930510</t>
  </si>
  <si>
    <t>Arezzo</t>
  </si>
  <si>
    <t>Toscana</t>
  </si>
  <si>
    <t>4713.</t>
  </si>
  <si>
    <t>BLU ITALIAN FASHION S.R.L.S.</t>
  </si>
  <si>
    <t>01892020676</t>
  </si>
  <si>
    <t>IT01892020676</t>
  </si>
  <si>
    <t>151209</t>
  </si>
  <si>
    <t>Teramo</t>
  </si>
  <si>
    <t>Abruzzo</t>
  </si>
  <si>
    <t>4714.</t>
  </si>
  <si>
    <t>FILIAMO SRL</t>
  </si>
  <si>
    <t>01301690325</t>
  </si>
  <si>
    <t>IT01301690325</t>
  </si>
  <si>
    <t>Trieste</t>
  </si>
  <si>
    <t>4715.</t>
  </si>
  <si>
    <t>MISTER ITALIA S.R.L.</t>
  </si>
  <si>
    <t>09548861211</t>
  </si>
  <si>
    <t>IT09548861211</t>
  </si>
  <si>
    <t>Napoli</t>
  </si>
  <si>
    <t>Campania</t>
  </si>
  <si>
    <t>4716.</t>
  </si>
  <si>
    <t>FERDIAM S.R.L.</t>
  </si>
  <si>
    <t>04205590237</t>
  </si>
  <si>
    <t>IT04205590237</t>
  </si>
  <si>
    <t>Verona</t>
  </si>
  <si>
    <t>Veneto</t>
  </si>
  <si>
    <t>4717.</t>
  </si>
  <si>
    <t>SOLUTION FLORENCE S.R.L.</t>
  </si>
  <si>
    <t>07192090483</t>
  </si>
  <si>
    <t>IT07192090483</t>
  </si>
  <si>
    <t>Firenze</t>
  </si>
  <si>
    <t>4718.</t>
  </si>
  <si>
    <t>PENNA GROUP SRL</t>
  </si>
  <si>
    <t>04855060234</t>
  </si>
  <si>
    <t>IT04855060234</t>
  </si>
  <si>
    <t>4719.</t>
  </si>
  <si>
    <t>GEB S.R.L.S. - SOCIETA' UNIPERSONALE</t>
  </si>
  <si>
    <t>08515791211</t>
  </si>
  <si>
    <t>IT08515791211</t>
  </si>
  <si>
    <t>4720.</t>
  </si>
  <si>
    <t>SG INDUSTRY S.R.L.</t>
  </si>
  <si>
    <t>02714790025</t>
  </si>
  <si>
    <t>IT02714790025</t>
  </si>
  <si>
    <t>Biella</t>
  </si>
  <si>
    <t>4721.</t>
  </si>
  <si>
    <t>CAFTANII S.R.L.</t>
  </si>
  <si>
    <t>06432790480</t>
  </si>
  <si>
    <t>IT06432790480</t>
  </si>
  <si>
    <t>4722.</t>
  </si>
  <si>
    <t>BIRILAB S.R.L.</t>
  </si>
  <si>
    <t>12130880011</t>
  </si>
  <si>
    <t>IT12130880011</t>
  </si>
  <si>
    <t>4723.</t>
  </si>
  <si>
    <t>FEDORA MILANO S.R.L.</t>
  </si>
  <si>
    <t>07414130968</t>
  </si>
  <si>
    <t>IT07414130968</t>
  </si>
  <si>
    <t>Milano</t>
  </si>
  <si>
    <t>4724.</t>
  </si>
  <si>
    <t>ORIALI APPAREL S.R.L.S.</t>
  </si>
  <si>
    <t>02350670515</t>
  </si>
  <si>
    <t>IT02350670515</t>
  </si>
  <si>
    <t>141400</t>
  </si>
  <si>
    <t>4725.</t>
  </si>
  <si>
    <t>GINA S.R.L.</t>
  </si>
  <si>
    <t>01612290195</t>
  </si>
  <si>
    <t>IT01612290195</t>
  </si>
  <si>
    <t>Cremona</t>
  </si>
  <si>
    <t>4726.</t>
  </si>
  <si>
    <t>M T M S.R.L.</t>
  </si>
  <si>
    <t>06863890965</t>
  </si>
  <si>
    <t>IT06863890965</t>
  </si>
  <si>
    <t>4727.</t>
  </si>
  <si>
    <t>LABOLSINA S.R.L.</t>
  </si>
  <si>
    <t>09768700966</t>
  </si>
  <si>
    <t>IT09768700966</t>
  </si>
  <si>
    <t>Monza e della Brianza</t>
  </si>
  <si>
    <t>4728.</t>
  </si>
  <si>
    <t>SHEDYR ITALIA S.R.L.</t>
  </si>
  <si>
    <t>10238630965</t>
  </si>
  <si>
    <t>IT10238630965</t>
  </si>
  <si>
    <t>4729.</t>
  </si>
  <si>
    <t>INVERTIKA S.R.L.</t>
  </si>
  <si>
    <t>04747460238</t>
  </si>
  <si>
    <t>IT04747460238</t>
  </si>
  <si>
    <t>4730.</t>
  </si>
  <si>
    <t>CRAFT ROOM S.R.L.</t>
  </si>
  <si>
    <t>04491130615</t>
  </si>
  <si>
    <t>IT04491130615</t>
  </si>
  <si>
    <t>Caserta</t>
  </si>
  <si>
    <t>4731.</t>
  </si>
  <si>
    <t>TEXIL IMPRESIT S.R.L.</t>
  </si>
  <si>
    <t>07537841004</t>
  </si>
  <si>
    <t>IT07537841004</t>
  </si>
  <si>
    <t>4732.</t>
  </si>
  <si>
    <t>SARTORIA DINAMICA S.R.L. SEMPLIFICATA</t>
  </si>
  <si>
    <t>14262751002</t>
  </si>
  <si>
    <t>IT14262751002</t>
  </si>
  <si>
    <t>4733.</t>
  </si>
  <si>
    <t>ATECH S.R.L.</t>
  </si>
  <si>
    <t>02684490028</t>
  </si>
  <si>
    <t>IT02684490028</t>
  </si>
  <si>
    <t>4734.</t>
  </si>
  <si>
    <t>LA NUOVA URIC S.R.L.</t>
  </si>
  <si>
    <t>02172020733</t>
  </si>
  <si>
    <t>IT02172020733</t>
  </si>
  <si>
    <t>141000</t>
  </si>
  <si>
    <t>Taranto</t>
  </si>
  <si>
    <t>4735.</t>
  </si>
  <si>
    <t>LUCA NENCIONI S.R.L.</t>
  </si>
  <si>
    <t>01900650506</t>
  </si>
  <si>
    <t>IT01900650506</t>
  </si>
  <si>
    <t>Pisa</t>
  </si>
  <si>
    <t>4736.</t>
  </si>
  <si>
    <t>THARROS SRL</t>
  </si>
  <si>
    <t>02558080350</t>
  </si>
  <si>
    <t>IT02558080350</t>
  </si>
  <si>
    <t>141310</t>
  </si>
  <si>
    <t>Reggio nell'Emilia</t>
  </si>
  <si>
    <t>Emilia-Romagna</t>
  </si>
  <si>
    <t>n.d.</t>
  </si>
  <si>
    <t>4737.</t>
  </si>
  <si>
    <t>FRANCO GIAZZI S.R.L.</t>
  </si>
  <si>
    <t>10137390968</t>
  </si>
  <si>
    <t>IT10137390968</t>
  </si>
  <si>
    <t>151209</t>
  </si>
  <si>
    <t>Milano</t>
  </si>
  <si>
    <t>Lombardia</t>
  </si>
  <si>
    <t>4738.</t>
  </si>
  <si>
    <t>OGM SCARPE SOCIETA' A RESPONSABILITA' LIMITATA SEMPLIFICATA UNIPERSONALE</t>
  </si>
  <si>
    <t>04272780612</t>
  </si>
  <si>
    <t>IT04272780612</t>
  </si>
  <si>
    <t>152010</t>
  </si>
  <si>
    <t>Caserta</t>
  </si>
  <si>
    <t>Campania</t>
  </si>
  <si>
    <t>4739.</t>
  </si>
  <si>
    <t>ARTEMENKO S.R.L.</t>
  </si>
  <si>
    <t>02794420642</t>
  </si>
  <si>
    <t>IT02794420642</t>
  </si>
  <si>
    <t>151100</t>
  </si>
  <si>
    <t>Avellino</t>
  </si>
  <si>
    <t>4740.</t>
  </si>
  <si>
    <t>A&amp;A SRL</t>
  </si>
  <si>
    <t>03416411209</t>
  </si>
  <si>
    <t>IT03416411209</t>
  </si>
  <si>
    <t>Bologna</t>
  </si>
  <si>
    <t>4741.</t>
  </si>
  <si>
    <t>MANITALY S.R.L.</t>
  </si>
  <si>
    <t>05589400653</t>
  </si>
  <si>
    <t>IT05589400653</t>
  </si>
  <si>
    <t>141200</t>
  </si>
  <si>
    <t>Salerno</t>
  </si>
  <si>
    <t>4742.</t>
  </si>
  <si>
    <t>ANTICO OPIFICIO TOSCANO BISENZIO8 S.R.L.</t>
  </si>
  <si>
    <t>02271940971</t>
  </si>
  <si>
    <t>IT02271940971</t>
  </si>
  <si>
    <t>141910</t>
  </si>
  <si>
    <t>4743.</t>
  </si>
  <si>
    <t>NOIBRAVE S.R.L.</t>
  </si>
  <si>
    <t>08697880725</t>
  </si>
  <si>
    <t>IT08697880725</t>
  </si>
  <si>
    <t>Barletta-Andria-Trani</t>
  </si>
  <si>
    <t>Puglia</t>
  </si>
  <si>
    <t>4744.</t>
  </si>
  <si>
    <t>TRENTA7 S.R.L.</t>
  </si>
  <si>
    <t>13619011003</t>
  </si>
  <si>
    <t>IT13619011003</t>
  </si>
  <si>
    <t>Roma</t>
  </si>
  <si>
    <t>Lazio</t>
  </si>
  <si>
    <t>4745.</t>
  </si>
  <si>
    <t>MICHELANGELO SOCIETA' A RESPONSABILITA' LIMITATA SEMPLIFICATA</t>
  </si>
  <si>
    <t>02837990643</t>
  </si>
  <si>
    <t>IT02837990643</t>
  </si>
  <si>
    <t>141100</t>
  </si>
  <si>
    <t>4746.</t>
  </si>
  <si>
    <t>RI.MA. TESSILE S.R.L.S.</t>
  </si>
  <si>
    <t>09116340960</t>
  </si>
  <si>
    <t>IT09116340960</t>
  </si>
  <si>
    <t>4747.</t>
  </si>
  <si>
    <t>S.C. PROJECT SRL</t>
  </si>
  <si>
    <t>07086841215</t>
  </si>
  <si>
    <t>IT07086841215</t>
  </si>
  <si>
    <t>Napoli</t>
  </si>
  <si>
    <t>4748.</t>
  </si>
  <si>
    <t>GIACOMO BACCI SRL</t>
  </si>
  <si>
    <t>07014660489</t>
  </si>
  <si>
    <t>IT07014660489</t>
  </si>
  <si>
    <t>141320</t>
  </si>
  <si>
    <t>Firenze</t>
  </si>
  <si>
    <t>Toscana</t>
  </si>
  <si>
    <t>4749.</t>
  </si>
  <si>
    <t>SELLBUY S.R.L.</t>
  </si>
  <si>
    <t>06521060720</t>
  </si>
  <si>
    <t>IT06521060720</t>
  </si>
  <si>
    <t>141400</t>
  </si>
  <si>
    <t>Bari</t>
  </si>
  <si>
    <t>4750.</t>
  </si>
  <si>
    <t>FASHION HUNTER S.R.L.</t>
  </si>
  <si>
    <t>03346930138</t>
  </si>
  <si>
    <t>IT03346930138</t>
  </si>
  <si>
    <t>141000</t>
  </si>
  <si>
    <t>Como</t>
  </si>
  <si>
    <t>4751.</t>
  </si>
  <si>
    <t>TOOITALY S.R.L.</t>
  </si>
  <si>
    <t>01554720555</t>
  </si>
  <si>
    <t>IT01554720555</t>
  </si>
  <si>
    <t>Terni</t>
  </si>
  <si>
    <t>Umbria</t>
  </si>
  <si>
    <t>4752.</t>
  </si>
  <si>
    <t>EMILIO BELLAGAMBI S.R.L.</t>
  </si>
  <si>
    <t>05357470482</t>
  </si>
  <si>
    <t>IT05357470482</t>
  </si>
  <si>
    <t>142000</t>
  </si>
  <si>
    <t>4753.</t>
  </si>
  <si>
    <t>RICO SPOSE SOCIETA' COOPERATIVA</t>
  </si>
  <si>
    <t>01723470439</t>
  </si>
  <si>
    <t>IT01723470439</t>
  </si>
  <si>
    <t>Macerata</t>
  </si>
  <si>
    <t>Marche</t>
  </si>
  <si>
    <t>4754.</t>
  </si>
  <si>
    <t>THE FASHION LAB SOCIETA' A RESPONSABILITA' LIMITATA</t>
  </si>
  <si>
    <t>02760290359</t>
  </si>
  <si>
    <t>IT02760290359</t>
  </si>
  <si>
    <t>4755.</t>
  </si>
  <si>
    <t>BRUNIANA S.R.L.</t>
  </si>
  <si>
    <t>05706190724</t>
  </si>
  <si>
    <t>IT05706190724</t>
  </si>
  <si>
    <t>143900</t>
  </si>
  <si>
    <t>4756.</t>
  </si>
  <si>
    <t>MINERVA S.R.L.</t>
  </si>
  <si>
    <t>02386620518</t>
  </si>
  <si>
    <t>IT02386620518</t>
  </si>
  <si>
    <t>Arezzo</t>
  </si>
  <si>
    <t>4757.</t>
  </si>
  <si>
    <t>FILIPPO MATERA S.R.L.</t>
  </si>
  <si>
    <t>04682920725</t>
  </si>
  <si>
    <t>IT04682920725</t>
  </si>
  <si>
    <t>4758.</t>
  </si>
  <si>
    <t>ECOSUM S.R.L.</t>
  </si>
  <si>
    <t>07217010482</t>
  </si>
  <si>
    <t>IT07217010482</t>
  </si>
  <si>
    <t>4759.</t>
  </si>
  <si>
    <t>CASA SANTILLO S.R.L.</t>
  </si>
  <si>
    <t>03567410794</t>
  </si>
  <si>
    <t>IT03567410794</t>
  </si>
  <si>
    <t>Catanzaro</t>
  </si>
  <si>
    <t>Calabria</t>
  </si>
  <si>
    <t>4760.</t>
  </si>
  <si>
    <t>IMARINSOL SOCIETA' A RESPONSABILITA' LIMITATA SEMPLIFICATA</t>
  </si>
  <si>
    <t>03626230126</t>
  </si>
  <si>
    <t>IT03626230126</t>
  </si>
  <si>
    <t>152020</t>
  </si>
  <si>
    <t>Varese</t>
  </si>
  <si>
    <t>4761.</t>
  </si>
  <si>
    <t>INVENTO S.R.L.S.</t>
  </si>
  <si>
    <t>02053540437</t>
  </si>
  <si>
    <t>IT02053540437</t>
  </si>
  <si>
    <t>4762.</t>
  </si>
  <si>
    <t>DIMA SOCIETA' COOPERATIVA</t>
  </si>
  <si>
    <t>10665931001</t>
  </si>
  <si>
    <t>IT10665931001</t>
  </si>
  <si>
    <t>4763.</t>
  </si>
  <si>
    <t>COMVERT S.R.L.</t>
  </si>
  <si>
    <t>13287960150</t>
  </si>
  <si>
    <t>IT13287960150</t>
  </si>
  <si>
    <t>4764.</t>
  </si>
  <si>
    <t>GREENSHOW 2001 S.R.L.</t>
  </si>
  <si>
    <t>06579481000</t>
  </si>
  <si>
    <t>IT06579481000</t>
  </si>
  <si>
    <t>4765.</t>
  </si>
  <si>
    <t>PRODUZIONE &amp; DISTRIBUZIONE ENDERO SOCIETA' A RESPONSABILITA' LIMITATA SEMPLIFICATA</t>
  </si>
  <si>
    <t>08887031212</t>
  </si>
  <si>
    <t>IT08887031212</t>
  </si>
  <si>
    <t>4766.</t>
  </si>
  <si>
    <t>AGAVE SOCIETA' COOPERATIVA SOCIALE</t>
  </si>
  <si>
    <t>05333260288</t>
  </si>
  <si>
    <t>IT05333260288</t>
  </si>
  <si>
    <t>Padova</t>
  </si>
  <si>
    <t>Veneto</t>
  </si>
  <si>
    <t>4767.</t>
  </si>
  <si>
    <t>DOMINIQUE E JACQUELINE-SRL</t>
  </si>
  <si>
    <t>00126190503</t>
  </si>
  <si>
    <t>IT00126190503</t>
  </si>
  <si>
    <t>Pisa</t>
  </si>
  <si>
    <t>4768.</t>
  </si>
  <si>
    <t>ATD S.R.L.</t>
  </si>
  <si>
    <t>10132570960</t>
  </si>
  <si>
    <t>IT10132570960</t>
  </si>
  <si>
    <t>151209</t>
  </si>
  <si>
    <t>Milano</t>
  </si>
  <si>
    <t>Lombardia</t>
  </si>
  <si>
    <t>n.d.</t>
  </si>
  <si>
    <t>4769.</t>
  </si>
  <si>
    <t>SATURNIA S.R.L.</t>
  </si>
  <si>
    <t>01081930503</t>
  </si>
  <si>
    <t>IT01081930503</t>
  </si>
  <si>
    <t>151100</t>
  </si>
  <si>
    <t>Pisa</t>
  </si>
  <si>
    <t>Toscana</t>
  </si>
  <si>
    <t>4770.</t>
  </si>
  <si>
    <t>ALFA SOCIETA' A RESPONSABILITA' LIMITATA SEMPLIFICATA SIGLABILE IN ALFA SRLS</t>
  </si>
  <si>
    <t>03528490042</t>
  </si>
  <si>
    <t>IT03528490042</t>
  </si>
  <si>
    <t>141400</t>
  </si>
  <si>
    <t>Cuneo</t>
  </si>
  <si>
    <t>Piemonte</t>
  </si>
  <si>
    <t>4771.</t>
  </si>
  <si>
    <t>EYELET MILANO S.R.L.</t>
  </si>
  <si>
    <t>08731380963</t>
  </si>
  <si>
    <t>IT08731380963</t>
  </si>
  <si>
    <t>141910</t>
  </si>
  <si>
    <t>4772.</t>
  </si>
  <si>
    <t>TERMODA DUE S.R.L.</t>
  </si>
  <si>
    <t>05236570726</t>
  </si>
  <si>
    <t>IT05236570726</t>
  </si>
  <si>
    <t>152010</t>
  </si>
  <si>
    <t>Bari</t>
  </si>
  <si>
    <t>Puglia</t>
  </si>
  <si>
    <t>4773.</t>
  </si>
  <si>
    <t>CSG S.R.L.</t>
  </si>
  <si>
    <t>12495920154</t>
  </si>
  <si>
    <t>IT12495920154</t>
  </si>
  <si>
    <t>141000</t>
  </si>
  <si>
    <t>4774.</t>
  </si>
  <si>
    <t>PLANET SHOES S.R.L.</t>
  </si>
  <si>
    <t>05806380720</t>
  </si>
  <si>
    <t>IT05806380720</t>
  </si>
  <si>
    <t>Barletta-Andria-Trani</t>
  </si>
  <si>
    <t>4775.</t>
  </si>
  <si>
    <t>PHOTO ALBUM DESIGNER SOCIETA' A RESPONSABILITA' LIMITATA C.R.</t>
  </si>
  <si>
    <t>06206790823</t>
  </si>
  <si>
    <t>IT06206790823</t>
  </si>
  <si>
    <t>Palermo</t>
  </si>
  <si>
    <t>Sicilia</t>
  </si>
  <si>
    <t>4776.</t>
  </si>
  <si>
    <t>MIRO S.R.L.</t>
  </si>
  <si>
    <t>01990820852</t>
  </si>
  <si>
    <t>IT01990820852</t>
  </si>
  <si>
    <t>Caltanissetta</t>
  </si>
  <si>
    <t>4777.</t>
  </si>
  <si>
    <t>EXCLUSIVE SPORT S.R.L.</t>
  </si>
  <si>
    <t>02750210359</t>
  </si>
  <si>
    <t>IT02750210359</t>
  </si>
  <si>
    <t>141929</t>
  </si>
  <si>
    <t>Reggio nell'Emilia</t>
  </si>
  <si>
    <t>Emilia-Romagna</t>
  </si>
  <si>
    <t>4778.</t>
  </si>
  <si>
    <t>T.D.OLD ITALIA SRL</t>
  </si>
  <si>
    <t>03321460960</t>
  </si>
  <si>
    <t>IT03321460960</t>
  </si>
  <si>
    <t>Brescia</t>
  </si>
  <si>
    <t>4779.</t>
  </si>
  <si>
    <t>VM SRL</t>
  </si>
  <si>
    <t>02612820411</t>
  </si>
  <si>
    <t>IT02612820411</t>
  </si>
  <si>
    <t>141310</t>
  </si>
  <si>
    <t>Pesaro e Urbino</t>
  </si>
  <si>
    <t>Marche</t>
  </si>
  <si>
    <t>4780.</t>
  </si>
  <si>
    <t>LAURA ZERO SRLS</t>
  </si>
  <si>
    <t>06725680489</t>
  </si>
  <si>
    <t>IT06725680489</t>
  </si>
  <si>
    <t>Firenze</t>
  </si>
  <si>
    <t>4781.</t>
  </si>
  <si>
    <t>61-PROJECT S.P.A.</t>
  </si>
  <si>
    <t>03129880609</t>
  </si>
  <si>
    <t>IT03129880609</t>
  </si>
  <si>
    <t>Frosinone</t>
  </si>
  <si>
    <t>Lazio</t>
  </si>
  <si>
    <t>4782.</t>
  </si>
  <si>
    <t>CITTA' DELLA PIEVE S.R.L.</t>
  </si>
  <si>
    <t>05983191007</t>
  </si>
  <si>
    <t>IT05983191007</t>
  </si>
  <si>
    <t>141320</t>
  </si>
  <si>
    <t>Roma</t>
  </si>
  <si>
    <t>4783.</t>
  </si>
  <si>
    <t>ANNA MARCHETTI FASHION S.R.L.</t>
  </si>
  <si>
    <t>03815470368</t>
  </si>
  <si>
    <t>IT03815470368</t>
  </si>
  <si>
    <t>Modena</t>
  </si>
  <si>
    <t>4784.</t>
  </si>
  <si>
    <t>CELESTINO S.R.L.</t>
  </si>
  <si>
    <t>14252801007</t>
  </si>
  <si>
    <t>IT14252801007</t>
  </si>
  <si>
    <t>Cosenza</t>
  </si>
  <si>
    <t>Calabria</t>
  </si>
  <si>
    <t>4785.</t>
  </si>
  <si>
    <t>TAILOR'S S.R.L.</t>
  </si>
  <si>
    <t>02012920514</t>
  </si>
  <si>
    <t>IT02012920514</t>
  </si>
  <si>
    <t>Arezzo</t>
  </si>
  <si>
    <t>4786.</t>
  </si>
  <si>
    <t>ROSA PETRELLI SRL</t>
  </si>
  <si>
    <t>04835590722</t>
  </si>
  <si>
    <t>IT04835590722</t>
  </si>
  <si>
    <t>141300</t>
  </si>
  <si>
    <t>4787.</t>
  </si>
  <si>
    <t>MESSORI ITALY S.R.L.</t>
  </si>
  <si>
    <t>00360590368</t>
  </si>
  <si>
    <t>IT00360590368</t>
  </si>
  <si>
    <t>4788.</t>
  </si>
  <si>
    <t>SWEET WATER S.R.L.</t>
  </si>
  <si>
    <t>02753650429</t>
  </si>
  <si>
    <t>IT02753650429</t>
  </si>
  <si>
    <t>Ancona</t>
  </si>
  <si>
    <t>4789.</t>
  </si>
  <si>
    <t>LUMEN S.R.L.</t>
  </si>
  <si>
    <t>16449441001</t>
  </si>
  <si>
    <t>IT16449441001</t>
  </si>
  <si>
    <t>4790.</t>
  </si>
  <si>
    <t>SLEEPWALKER SRL</t>
  </si>
  <si>
    <t>11402830969</t>
  </si>
  <si>
    <t>IT11402830969</t>
  </si>
  <si>
    <t>4791.</t>
  </si>
  <si>
    <t>KILESA SRL SEMPLIFICATA</t>
  </si>
  <si>
    <t>04646320616</t>
  </si>
  <si>
    <t>IT04646320616</t>
  </si>
  <si>
    <t>Caserta</t>
  </si>
  <si>
    <t>Campania</t>
  </si>
  <si>
    <t>4792.</t>
  </si>
  <si>
    <t>MACO' SOCIETA' A RESPONSABILITA' LIMITATA SEMPLIFICATA</t>
  </si>
  <si>
    <t>03383450123</t>
  </si>
  <si>
    <t>IT03383450123</t>
  </si>
  <si>
    <t>Varese</t>
  </si>
  <si>
    <t>4793.</t>
  </si>
  <si>
    <t>TOMMY &amp; GIULIO CARACENI S.R.L.</t>
  </si>
  <si>
    <t>00944521004</t>
  </si>
  <si>
    <t>00937340586</t>
  </si>
  <si>
    <t>IT00937340586</t>
  </si>
  <si>
    <t>4794.</t>
  </si>
  <si>
    <t>SC SRL</t>
  </si>
  <si>
    <t>04233190240</t>
  </si>
  <si>
    <t>IT04233190240</t>
  </si>
  <si>
    <t>Vicenza</t>
  </si>
  <si>
    <t>Veneto</t>
  </si>
  <si>
    <t>4795.</t>
  </si>
  <si>
    <t>GENEVIE'VE S.R.L.</t>
  </si>
  <si>
    <t>02024420693</t>
  </si>
  <si>
    <t>IT02024420693</t>
  </si>
  <si>
    <t>Chieti</t>
  </si>
  <si>
    <t>Abruzzo</t>
  </si>
  <si>
    <t>4796.</t>
  </si>
  <si>
    <t>ROGIAL'S TIE S.R.L.</t>
  </si>
  <si>
    <t>03204480754</t>
  </si>
  <si>
    <t>IT03204480754</t>
  </si>
  <si>
    <t>Lecce</t>
  </si>
  <si>
    <t>4797.</t>
  </si>
  <si>
    <t>SISTERS S.R.L.</t>
  </si>
  <si>
    <t>02645140365</t>
  </si>
  <si>
    <t>IT02645140365</t>
  </si>
  <si>
    <t>4798.</t>
  </si>
  <si>
    <t>CHIMAR S.R.L.</t>
  </si>
  <si>
    <t>01564530549</t>
  </si>
  <si>
    <t>IT01564530549</t>
  </si>
  <si>
    <t>143000</t>
  </si>
  <si>
    <t>Perugia</t>
  </si>
  <si>
    <t>Umbria</t>
  </si>
  <si>
    <t>4799.</t>
  </si>
  <si>
    <t>ELEDOR SOCIETA' A RESPONSABILITA' LIMITATA SEMPLIFICATA</t>
  </si>
  <si>
    <t>05410590284</t>
  </si>
  <si>
    <t>IT05410590284</t>
  </si>
  <si>
    <t>Padova</t>
  </si>
  <si>
    <t>4800.</t>
  </si>
  <si>
    <t>AMG SRL</t>
  </si>
  <si>
    <t>02320650449</t>
  </si>
  <si>
    <t>IT02320650449</t>
  </si>
  <si>
    <t>141320</t>
  </si>
  <si>
    <t>Ascoli Piceno</t>
  </si>
  <si>
    <t>Marche</t>
  </si>
  <si>
    <t>4801.</t>
  </si>
  <si>
    <t>MENGONI ANGELA S.R.L.</t>
  </si>
  <si>
    <t>01483770432</t>
  </si>
  <si>
    <t>IT01483770432</t>
  </si>
  <si>
    <t>152020</t>
  </si>
  <si>
    <t>Macerata</t>
  </si>
  <si>
    <t>4802.</t>
  </si>
  <si>
    <t>MELINA S.R.L.</t>
  </si>
  <si>
    <t>04842000657</t>
  </si>
  <si>
    <t>IT04842000657</t>
  </si>
  <si>
    <t>141100</t>
  </si>
  <si>
    <t>Salerno</t>
  </si>
  <si>
    <t>Campania</t>
  </si>
  <si>
    <t>4803.</t>
  </si>
  <si>
    <t>SARTORIA LA FORENSE SRLS</t>
  </si>
  <si>
    <t>15056811001</t>
  </si>
  <si>
    <t>IT15056811001</t>
  </si>
  <si>
    <t>Roma</t>
  </si>
  <si>
    <t>Lazio</t>
  </si>
  <si>
    <t>4804.</t>
  </si>
  <si>
    <t>MG ALTA MODA SOCIETA' A RESPONSABILITA' LIMITATA SEMPLIFICATA</t>
  </si>
  <si>
    <t>05144120879</t>
  </si>
  <si>
    <t>IT05144120879</t>
  </si>
  <si>
    <t>Catania</t>
  </si>
  <si>
    <t>Sicilia</t>
  </si>
  <si>
    <t>4805.</t>
  </si>
  <si>
    <t>RE49 SOCIETA' BENEFIT S.R.L. IN FORMA ABBREVIATA RE49 SB S.R.L.</t>
  </si>
  <si>
    <t>03029370305</t>
  </si>
  <si>
    <t>IT03029370305</t>
  </si>
  <si>
    <t>152010</t>
  </si>
  <si>
    <t>Udine</t>
  </si>
  <si>
    <t>Friuli-Venezia Giulia</t>
  </si>
  <si>
    <t>4806.</t>
  </si>
  <si>
    <t>REVIVE S.R.L.</t>
  </si>
  <si>
    <t>04292960400</t>
  </si>
  <si>
    <t>IT04292960400</t>
  </si>
  <si>
    <t>141310</t>
  </si>
  <si>
    <t>Forlì-Cesena</t>
  </si>
  <si>
    <t>Emilia-Romagna</t>
  </si>
  <si>
    <t>4807.</t>
  </si>
  <si>
    <t>PACRI SRL</t>
  </si>
  <si>
    <t>02158090965</t>
  </si>
  <si>
    <t>IT02158090965</t>
  </si>
  <si>
    <t>141000</t>
  </si>
  <si>
    <t>Monza e della Brianza</t>
  </si>
  <si>
    <t>Lombardia</t>
  </si>
  <si>
    <t>4808.</t>
  </si>
  <si>
    <t>NARIM - S.R.L.</t>
  </si>
  <si>
    <t>03394930485</t>
  </si>
  <si>
    <t>IT03394930485</t>
  </si>
  <si>
    <t>141400</t>
  </si>
  <si>
    <t>Firenze</t>
  </si>
  <si>
    <t>Toscana</t>
  </si>
  <si>
    <t>n.d.</t>
  </si>
  <si>
    <t>4809.</t>
  </si>
  <si>
    <t>A LIVE S.R.L.</t>
  </si>
  <si>
    <t>04028760363</t>
  </si>
  <si>
    <t>IT04028760363</t>
  </si>
  <si>
    <t>141910</t>
  </si>
  <si>
    <t>Modena</t>
  </si>
  <si>
    <t>4810.</t>
  </si>
  <si>
    <t>ARTIGIANO S.R.L.</t>
  </si>
  <si>
    <t>02365590443</t>
  </si>
  <si>
    <t>IT02365590443</t>
  </si>
  <si>
    <t>4811.</t>
  </si>
  <si>
    <t>RITAGLI DI G SOCIETA' A RESPONSABILITA' LIMITATA SEMPLIFICATA</t>
  </si>
  <si>
    <t>08478510723</t>
  </si>
  <si>
    <t>IT08478510723</t>
  </si>
  <si>
    <t>151209</t>
  </si>
  <si>
    <t>Bari</t>
  </si>
  <si>
    <t>Puglia</t>
  </si>
  <si>
    <t>4812.</t>
  </si>
  <si>
    <t>ZADIR S.R.L.</t>
  </si>
  <si>
    <t>01230000620</t>
  </si>
  <si>
    <t>03390991218</t>
  </si>
  <si>
    <t>IT03390991218</t>
  </si>
  <si>
    <t>Benevento</t>
  </si>
  <si>
    <t>4813.</t>
  </si>
  <si>
    <t>COCOMPANY S.R.L.</t>
  </si>
  <si>
    <t>02446880425</t>
  </si>
  <si>
    <t>IT02446880425</t>
  </si>
  <si>
    <t>Ancona</t>
  </si>
  <si>
    <t>4814.</t>
  </si>
  <si>
    <t>NASHITA SOCIETA' A RESPONSABILITA' LIMITATA SEMPLIFICATA</t>
  </si>
  <si>
    <t>04281060238</t>
  </si>
  <si>
    <t>IT04281060238</t>
  </si>
  <si>
    <t>Verona</t>
  </si>
  <si>
    <t>Veneto</t>
  </si>
  <si>
    <t>4815.</t>
  </si>
  <si>
    <t>LUCKY SKINS S.R.L.</t>
  </si>
  <si>
    <t>01937780649</t>
  </si>
  <si>
    <t>IT01937780649</t>
  </si>
  <si>
    <t>151100</t>
  </si>
  <si>
    <t>Avellino</t>
  </si>
  <si>
    <t>4816.</t>
  </si>
  <si>
    <t>DANZA CREAZIONI SOCIETA' A RESPONSABILITA' LIMITATA SEMPLIFICATA</t>
  </si>
  <si>
    <t>09023901219</t>
  </si>
  <si>
    <t>IT09023901219</t>
  </si>
  <si>
    <t>Napoli</t>
  </si>
  <si>
    <t>4817.</t>
  </si>
  <si>
    <t>SUSANNA BLU SOCIETA' A RESPONSABILITA' LIMITATA SEMPLIFICATA</t>
  </si>
  <si>
    <t>05497060284</t>
  </si>
  <si>
    <t>IT05497060284</t>
  </si>
  <si>
    <t>Padova</t>
  </si>
  <si>
    <t>4818.</t>
  </si>
  <si>
    <t>CLARION LIVING S.R.L.</t>
  </si>
  <si>
    <t>02631140031</t>
  </si>
  <si>
    <t>IT02631140031</t>
  </si>
  <si>
    <t>141200</t>
  </si>
  <si>
    <t>Novara</t>
  </si>
  <si>
    <t>Piemonte</t>
  </si>
  <si>
    <t>4819.</t>
  </si>
  <si>
    <t>GIGI BARON S.R.L.</t>
  </si>
  <si>
    <t>04936960261</t>
  </si>
  <si>
    <t>IT04936960261</t>
  </si>
  <si>
    <t>Treviso</t>
  </si>
  <si>
    <t>4820.</t>
  </si>
  <si>
    <t>MACRILIA LAB S.R.L.</t>
  </si>
  <si>
    <t>14805231009</t>
  </si>
  <si>
    <t>IT14805231009</t>
  </si>
  <si>
    <t>4821.</t>
  </si>
  <si>
    <t>PRIMA SRL</t>
  </si>
  <si>
    <t>05012430285</t>
  </si>
  <si>
    <t>IT05012430285</t>
  </si>
  <si>
    <t>4822.</t>
  </si>
  <si>
    <t>CLAUDIA G SOCIETA' A RESPONSABILITA' LIMITATA SEMPLIFICATA</t>
  </si>
  <si>
    <t>04312310404</t>
  </si>
  <si>
    <t>IT04312310404</t>
  </si>
  <si>
    <t>4823.</t>
  </si>
  <si>
    <t>AMISURADUOMO S.R.L.</t>
  </si>
  <si>
    <t>02000000022</t>
  </si>
  <si>
    <t>IT02000000022</t>
  </si>
  <si>
    <t>Biella</t>
  </si>
  <si>
    <t>4824.</t>
  </si>
  <si>
    <t>MYC - SOCIETA' A RESPONSABILITA' LIMITATA</t>
  </si>
  <si>
    <t>06950481215</t>
  </si>
  <si>
    <t>IT06950481215</t>
  </si>
  <si>
    <t>4825.</t>
  </si>
  <si>
    <t>VI SOCIETA' A RESPONSABILITA' LIMITATA</t>
  </si>
  <si>
    <t>03151600594</t>
  </si>
  <si>
    <t>IT03151600594</t>
  </si>
  <si>
    <t>4826.</t>
  </si>
  <si>
    <t>PRO FUT S.R.L.</t>
  </si>
  <si>
    <t>05079190269</t>
  </si>
  <si>
    <t>IT05079190269</t>
  </si>
  <si>
    <t>4827.</t>
  </si>
  <si>
    <t>RECOPEL S.R.L. SOCIETA' BENEFIT</t>
  </si>
  <si>
    <t>07185300485</t>
  </si>
  <si>
    <t>IT07185300485</t>
  </si>
  <si>
    <t>4828.</t>
  </si>
  <si>
    <t>TONTI ART'S SRLS</t>
  </si>
  <si>
    <t>03800870549</t>
  </si>
  <si>
    <t>IT03800870549</t>
  </si>
  <si>
    <t>Perugia</t>
  </si>
  <si>
    <t>Umbria</t>
  </si>
  <si>
    <t>4829.</t>
  </si>
  <si>
    <t>SOCIETA' COOPERATIVA ARTIGIANA DI PRODUZIONE E LAVORO S.M.A.C. (S ARTORIA-MAGLIERIA-ABBIGLIAMENTO-CONFEZIONI)</t>
  </si>
  <si>
    <t>00230150823</t>
  </si>
  <si>
    <t>IT00230150823</t>
  </si>
  <si>
    <t>143900</t>
  </si>
  <si>
    <t>Palermo</t>
  </si>
  <si>
    <t>4830.</t>
  </si>
  <si>
    <t>YOU WEAR S.R.L. START-UP COSTITUITA A NORMA DELL'ART. 4 COMMA 10 BIS DEL DECRETO LEGGE 24 GENNAIO 2015 N. 3</t>
  </si>
  <si>
    <t>09702011215</t>
  </si>
  <si>
    <t>IT09702011215</t>
  </si>
  <si>
    <t>4831.</t>
  </si>
  <si>
    <t>TECNO TESSUTI 2.0 S.R.L.</t>
  </si>
  <si>
    <t>03302260736</t>
  </si>
  <si>
    <t>IT03302260736</t>
  </si>
  <si>
    <t>Taranto</t>
  </si>
  <si>
    <t>www. tecnotessuti.eu</t>
  </si>
  <si>
    <t>4832.</t>
  </si>
  <si>
    <t>L'ISOLANA DOC SOCIETA' A RESPONSABILITA' LIMITATA SEMPLIFICATA A SOCIO UNICO</t>
  </si>
  <si>
    <t>03279750834</t>
  </si>
  <si>
    <t>IT03279750834</t>
  </si>
  <si>
    <t>141000</t>
  </si>
  <si>
    <t>Messina</t>
  </si>
  <si>
    <t>Sicilia</t>
  </si>
  <si>
    <t>n.d.</t>
  </si>
  <si>
    <t>4833.</t>
  </si>
  <si>
    <t>EFFEGI SRL</t>
  </si>
  <si>
    <t>03120760594</t>
  </si>
  <si>
    <t>IT03120760594</t>
  </si>
  <si>
    <t>141929</t>
  </si>
  <si>
    <t>Latina</t>
  </si>
  <si>
    <t>Lazio</t>
  </si>
  <si>
    <t>4834.</t>
  </si>
  <si>
    <t>COMUNITA' DI SESTU COOPERATIVA SOCIALE A R.L.</t>
  </si>
  <si>
    <t>00472350925</t>
  </si>
  <si>
    <t>IT00472350925</t>
  </si>
  <si>
    <t>143000</t>
  </si>
  <si>
    <t>Cagliari</t>
  </si>
  <si>
    <t>Sardegna</t>
  </si>
  <si>
    <t>4835.</t>
  </si>
  <si>
    <t>INPELLE S.R.L.</t>
  </si>
  <si>
    <t>02908290782</t>
  </si>
  <si>
    <t>IT02908290782</t>
  </si>
  <si>
    <t>151100</t>
  </si>
  <si>
    <t>Cosenza</t>
  </si>
  <si>
    <t>Calabria</t>
  </si>
  <si>
    <t>4836.</t>
  </si>
  <si>
    <t>CAR.LO MANIFATTURE S.R.L.</t>
  </si>
  <si>
    <t>00813260676</t>
  </si>
  <si>
    <t>IT00813260676</t>
  </si>
  <si>
    <t>151200</t>
  </si>
  <si>
    <t>Teramo</t>
  </si>
  <si>
    <t>Abruzzo</t>
  </si>
  <si>
    <t>4837.</t>
  </si>
  <si>
    <t>MIMU' SRLS</t>
  </si>
  <si>
    <t>04979660265</t>
  </si>
  <si>
    <t>IT04979660265</t>
  </si>
  <si>
    <t>141910</t>
  </si>
  <si>
    <t>Treviso</t>
  </si>
  <si>
    <t>Veneto</t>
  </si>
  <si>
    <t>4838.</t>
  </si>
  <si>
    <t>MANIFATTURE NOBILE S.R.L.</t>
  </si>
  <si>
    <t>01165310770</t>
  </si>
  <si>
    <t>IT01165310770</t>
  </si>
  <si>
    <t>Matera</t>
  </si>
  <si>
    <t>Basilicata</t>
  </si>
  <si>
    <t>4839.</t>
  </si>
  <si>
    <t>BEBOLD S.R.L.S.</t>
  </si>
  <si>
    <t>05148840266</t>
  </si>
  <si>
    <t>IT05148840266</t>
  </si>
  <si>
    <t>151209</t>
  </si>
  <si>
    <t>4840.</t>
  </si>
  <si>
    <t>DP FASHION ART SRL</t>
  </si>
  <si>
    <t>01890980673</t>
  </si>
  <si>
    <t>IT01890980673</t>
  </si>
  <si>
    <t>141310</t>
  </si>
  <si>
    <t>4841.</t>
  </si>
  <si>
    <t>NEMEA S.R.L.</t>
  </si>
  <si>
    <t>04339130405</t>
  </si>
  <si>
    <t>IT04339130405</t>
  </si>
  <si>
    <t>152020</t>
  </si>
  <si>
    <t>Rimini</t>
  </si>
  <si>
    <t>Emilia-Romagna</t>
  </si>
  <si>
    <t>4842.</t>
  </si>
  <si>
    <t>CONCERIA GARDENIA S.R.L. - IN LIQUIDAZIONE</t>
  </si>
  <si>
    <t>01397230440</t>
  </si>
  <si>
    <t>IT01397230440</t>
  </si>
  <si>
    <t>Fermo</t>
  </si>
  <si>
    <t>Marche</t>
  </si>
  <si>
    <t>4843.</t>
  </si>
  <si>
    <t>MOALTO SRL</t>
  </si>
  <si>
    <t>01643190430</t>
  </si>
  <si>
    <t>IT01643190430</t>
  </si>
  <si>
    <t>152010</t>
  </si>
  <si>
    <t>Macerata</t>
  </si>
  <si>
    <t>4844.</t>
  </si>
  <si>
    <t>RE-HUB S.R.L.</t>
  </si>
  <si>
    <t>02933330421</t>
  </si>
  <si>
    <t>IT02933330421</t>
  </si>
  <si>
    <t>Ancona</t>
  </si>
  <si>
    <t>4845.</t>
  </si>
  <si>
    <t>HER S.R.L.</t>
  </si>
  <si>
    <t>11282590964</t>
  </si>
  <si>
    <t>IT11282590964</t>
  </si>
  <si>
    <t>141400</t>
  </si>
  <si>
    <t>Milano</t>
  </si>
  <si>
    <t>Lombardia</t>
  </si>
  <si>
    <t>4846.</t>
  </si>
  <si>
    <t>LA L+++SAC SRL</t>
  </si>
  <si>
    <t>02778180188</t>
  </si>
  <si>
    <t>IT02778180188</t>
  </si>
  <si>
    <t>Pavia</t>
  </si>
  <si>
    <t>4847.</t>
  </si>
  <si>
    <t>CONCERIA GUANACO S.R.L.</t>
  </si>
  <si>
    <t>00245270509</t>
  </si>
  <si>
    <t>IT00245270509</t>
  </si>
  <si>
    <t>Pisa</t>
  </si>
  <si>
    <t>Toscana</t>
  </si>
  <si>
    <t>4848.</t>
  </si>
  <si>
    <t>VALCASHMERE S.R.L.</t>
  </si>
  <si>
    <t>01950780476</t>
  </si>
  <si>
    <t>IT01950780476</t>
  </si>
  <si>
    <t>Pistoia</t>
  </si>
  <si>
    <t>4849.</t>
  </si>
  <si>
    <t>PALINGEN S.R.L.</t>
  </si>
  <si>
    <t>09394051214</t>
  </si>
  <si>
    <t>IT09394051214</t>
  </si>
  <si>
    <t>Napoli</t>
  </si>
  <si>
    <t>Campania</t>
  </si>
  <si>
    <t>4850.</t>
  </si>
  <si>
    <t>LABORATORIO CAVALLACCIO SOCIETA' A RESPONSABILITA' LIMITATA SEMPLIFICATA</t>
  </si>
  <si>
    <t>04624360618</t>
  </si>
  <si>
    <t>IT04624360618</t>
  </si>
  <si>
    <t>Caserta</t>
  </si>
  <si>
    <t>4851.</t>
  </si>
  <si>
    <t>JANE FASHION S.R.L.</t>
  </si>
  <si>
    <t>00639870120</t>
  </si>
  <si>
    <t>IT00639870120</t>
  </si>
  <si>
    <t>Varese</t>
  </si>
  <si>
    <t>4852.</t>
  </si>
  <si>
    <t>GARMAN GROUP S.R.L.</t>
  </si>
  <si>
    <t>02736270980</t>
  </si>
  <si>
    <t>IT02736270980</t>
  </si>
  <si>
    <t>Brescia</t>
  </si>
  <si>
    <t>4853.</t>
  </si>
  <si>
    <t>POP CORN BOLOGNA SRL</t>
  </si>
  <si>
    <t>11714570154</t>
  </si>
  <si>
    <t>09270270151</t>
  </si>
  <si>
    <t>IT09270270151</t>
  </si>
  <si>
    <t>4854.</t>
  </si>
  <si>
    <t>ELEONORA GIAMBERDUCA S.R.L.S.</t>
  </si>
  <si>
    <t>16012321002</t>
  </si>
  <si>
    <t>IT16012321002</t>
  </si>
  <si>
    <t>141320</t>
  </si>
  <si>
    <t>Roma</t>
  </si>
  <si>
    <t>4855.</t>
  </si>
  <si>
    <t>DPO SRL</t>
  </si>
  <si>
    <t>02128480445</t>
  </si>
  <si>
    <t>IT02128480445</t>
  </si>
  <si>
    <t>4856.</t>
  </si>
  <si>
    <t>ARIA S.R.L.</t>
  </si>
  <si>
    <t>06601380485</t>
  </si>
  <si>
    <t>IT06601380485</t>
  </si>
  <si>
    <t>141100</t>
  </si>
  <si>
    <t>Firenze</t>
  </si>
  <si>
    <t>4857.</t>
  </si>
  <si>
    <t>AMRITA DESIGN SOCIETA' A RESPONSABILITA' LIMITATA SEMPLIFICATA</t>
  </si>
  <si>
    <t>12052380016</t>
  </si>
  <si>
    <t>IT12052380016</t>
  </si>
  <si>
    <t>141200</t>
  </si>
  <si>
    <t>Torino</t>
  </si>
  <si>
    <t>Piemonte</t>
  </si>
  <si>
    <t>4858.</t>
  </si>
  <si>
    <t>LE MANZ S.R.L.</t>
  </si>
  <si>
    <t>06662820825</t>
  </si>
  <si>
    <t>IT06662820825</t>
  </si>
  <si>
    <t>Palermo</t>
  </si>
  <si>
    <t>4859.</t>
  </si>
  <si>
    <t>ERREDIGI - SOCIETA' A RESPONSABILITA' LIMITATA</t>
  </si>
  <si>
    <t>01421490432</t>
  </si>
  <si>
    <t>05381121002</t>
  </si>
  <si>
    <t>IT05381121002</t>
  </si>
  <si>
    <t>4860.</t>
  </si>
  <si>
    <t>ACCYOURATE GROUP S.P.A.</t>
  </si>
  <si>
    <t>02062020660</t>
  </si>
  <si>
    <t>IT02062020660</t>
  </si>
  <si>
    <t>L'Aquila</t>
  </si>
  <si>
    <t>4861.</t>
  </si>
  <si>
    <t>POKER S.R.L.</t>
  </si>
  <si>
    <t>03280590724</t>
  </si>
  <si>
    <t>IT03280590724</t>
  </si>
  <si>
    <t>Barletta-Andria-Trani</t>
  </si>
  <si>
    <t>Puglia</t>
  </si>
  <si>
    <t>4862.</t>
  </si>
  <si>
    <t>ANTICA TESSITURA VENETA SRL</t>
  </si>
  <si>
    <t>04436180279</t>
  </si>
  <si>
    <t>IT04436180279</t>
  </si>
  <si>
    <t>143900</t>
  </si>
  <si>
    <t>Venezia</t>
  </si>
  <si>
    <t>4863.</t>
  </si>
  <si>
    <t>AED GROUP SRL</t>
  </si>
  <si>
    <t>03269670737</t>
  </si>
  <si>
    <t>IT03269670737</t>
  </si>
  <si>
    <t>Taranto</t>
  </si>
  <si>
    <t>4864.</t>
  </si>
  <si>
    <t>EDOARDO &amp; LORENZO - S.R.L.</t>
  </si>
  <si>
    <t>04858390489</t>
  </si>
  <si>
    <t>IT04858390489</t>
  </si>
  <si>
    <t>152010</t>
  </si>
  <si>
    <t>Firenze</t>
  </si>
  <si>
    <t>Toscana</t>
  </si>
  <si>
    <t>n.d.</t>
  </si>
  <si>
    <t>4865.</t>
  </si>
  <si>
    <t>BEST BEFORE S.R.L.</t>
  </si>
  <si>
    <t>06747961214</t>
  </si>
  <si>
    <t>IT06747961214</t>
  </si>
  <si>
    <t>141310</t>
  </si>
  <si>
    <t>Napoli</t>
  </si>
  <si>
    <t>Campania</t>
  </si>
  <si>
    <t>4866.</t>
  </si>
  <si>
    <t>ENEA CASHMERE SOCIETA' A RESPONSABILITA' LIMITATA SEMPLIFICATA PER BREVITA' ENEA</t>
  </si>
  <si>
    <t>03686250543</t>
  </si>
  <si>
    <t>IT03686250543</t>
  </si>
  <si>
    <t>143900</t>
  </si>
  <si>
    <t>Perugia</t>
  </si>
  <si>
    <t>Umbria</t>
  </si>
  <si>
    <t>4867.</t>
  </si>
  <si>
    <t>CAPRI TAILORS SRL</t>
  </si>
  <si>
    <t>09316371211</t>
  </si>
  <si>
    <t>IT09316371211</t>
  </si>
  <si>
    <t>141320</t>
  </si>
  <si>
    <t>4868.</t>
  </si>
  <si>
    <t>VEXELL S.R.L.</t>
  </si>
  <si>
    <t>00191820265</t>
  </si>
  <si>
    <t>IT00191820265</t>
  </si>
  <si>
    <t>Treviso</t>
  </si>
  <si>
    <t>Veneto</t>
  </si>
  <si>
    <t>4869.</t>
  </si>
  <si>
    <t>VICO LAB SRL</t>
  </si>
  <si>
    <t>02334980444</t>
  </si>
  <si>
    <t>IT02334980444</t>
  </si>
  <si>
    <t>Fermo</t>
  </si>
  <si>
    <t>Marche</t>
  </si>
  <si>
    <t>4870.</t>
  </si>
  <si>
    <t>LURA SRL</t>
  </si>
  <si>
    <t>02027470430</t>
  </si>
  <si>
    <t>IT02027470430</t>
  </si>
  <si>
    <t>151209</t>
  </si>
  <si>
    <t>Macerata</t>
  </si>
  <si>
    <t>4871.</t>
  </si>
  <si>
    <t>SIMON S.R.L.</t>
  </si>
  <si>
    <t>01992370641</t>
  </si>
  <si>
    <t>IT01992370641</t>
  </si>
  <si>
    <t>141000</t>
  </si>
  <si>
    <t>Avellino</t>
  </si>
  <si>
    <t>4872.</t>
  </si>
  <si>
    <t>UNICA SRL</t>
  </si>
  <si>
    <t>02288130442</t>
  </si>
  <si>
    <t>IT02288130442</t>
  </si>
  <si>
    <t>141910</t>
  </si>
  <si>
    <t>4873.</t>
  </si>
  <si>
    <t>G.A.P. SOCIETA' A RESPONSABILITA' LIMITATA SEMPLIFICATA</t>
  </si>
  <si>
    <t>16366511000</t>
  </si>
  <si>
    <t>IT16366511000</t>
  </si>
  <si>
    <t>Roma</t>
  </si>
  <si>
    <t>Lazio</t>
  </si>
  <si>
    <t>4874.</t>
  </si>
  <si>
    <t>PELLETTERIE S.I.M. SOCIETA' A RESPONSABILITA' LIMITATA</t>
  </si>
  <si>
    <t>06384710486</t>
  </si>
  <si>
    <t>IT06384710486</t>
  </si>
  <si>
    <t>4875.</t>
  </si>
  <si>
    <t>GENNAI S.R.L.</t>
  </si>
  <si>
    <t>02369810979</t>
  </si>
  <si>
    <t>IT02369810979</t>
  </si>
  <si>
    <t>4876.</t>
  </si>
  <si>
    <t>DESACRE' SOCIETA' COOPERATIVA SOCIALE E.T.S.</t>
  </si>
  <si>
    <t>01546420918</t>
  </si>
  <si>
    <t>IT01546420918</t>
  </si>
  <si>
    <t>Nuoro</t>
  </si>
  <si>
    <t>Sardegna</t>
  </si>
  <si>
    <t>4877.</t>
  </si>
  <si>
    <t>TECNO.CO.INN. S.R.L.</t>
  </si>
  <si>
    <t>02988420648</t>
  </si>
  <si>
    <t>IT02988420648</t>
  </si>
  <si>
    <t>151100</t>
  </si>
  <si>
    <t>4878.</t>
  </si>
  <si>
    <t>CAMITALY S.R.L.</t>
  </si>
  <si>
    <t>08731910728</t>
  </si>
  <si>
    <t>IT08731910728</t>
  </si>
  <si>
    <t>141400</t>
  </si>
  <si>
    <t>Barletta-Andria-Trani</t>
  </si>
  <si>
    <t>Puglia</t>
  </si>
  <si>
    <t>4879.</t>
  </si>
  <si>
    <t>CONCERIA IRPEL S.R.L.</t>
  </si>
  <si>
    <t>00507680643</t>
  </si>
  <si>
    <t>IT00507680643</t>
  </si>
  <si>
    <t>4880.</t>
  </si>
  <si>
    <t>NUOVA CENTAURO S.R.L. - IN LIQUIDAZIONE</t>
  </si>
  <si>
    <t>00998620447</t>
  </si>
  <si>
    <t>IT00998620447</t>
  </si>
  <si>
    <t>4881.</t>
  </si>
  <si>
    <t>STARLIGHT 90 S.R.L.</t>
  </si>
  <si>
    <t>02422030243</t>
  </si>
  <si>
    <t>IT02422030243</t>
  </si>
  <si>
    <t>Vicenza</t>
  </si>
  <si>
    <t>4882.</t>
  </si>
  <si>
    <t>TACCHIFICIO FIDIA S.R.L. IN LIQUIDAZIONE</t>
  </si>
  <si>
    <t>00113750509</t>
  </si>
  <si>
    <t>IT00113750509</t>
  </si>
  <si>
    <t>152000</t>
  </si>
  <si>
    <t>Pisa</t>
  </si>
  <si>
    <t>4883.</t>
  </si>
  <si>
    <t>DORATEX S.R.L. - IN LIQUIDAZIONE</t>
  </si>
  <si>
    <t>00553450982</t>
  </si>
  <si>
    <t>00304250178</t>
  </si>
  <si>
    <t>IT00304250178</t>
  </si>
  <si>
    <t>Brescia</t>
  </si>
  <si>
    <t>Lombardia</t>
  </si>
  <si>
    <t>4884.</t>
  </si>
  <si>
    <t>REYTEL S.R.L.</t>
  </si>
  <si>
    <t>04877180820</t>
  </si>
  <si>
    <t>IT04877180820</t>
  </si>
  <si>
    <t>Palermo</t>
  </si>
  <si>
    <t>Sicilia</t>
  </si>
  <si>
    <t>4885.</t>
  </si>
  <si>
    <t>ENNBISI SOCIETA' A RESPONSABILITA' LIMITATA SEMPLIFICATA</t>
  </si>
  <si>
    <t>11046670961</t>
  </si>
  <si>
    <t>IT11046670961</t>
  </si>
  <si>
    <t>Milano</t>
  </si>
  <si>
    <t>4886.</t>
  </si>
  <si>
    <t>NG SMART TECH S.R.L</t>
  </si>
  <si>
    <t>05190970268</t>
  </si>
  <si>
    <t>IT05190970268</t>
  </si>
  <si>
    <t>4887.</t>
  </si>
  <si>
    <t>BREMBATI SRL</t>
  </si>
  <si>
    <t>00960050946</t>
  </si>
  <si>
    <t>IT00960050946</t>
  </si>
  <si>
    <t>4888.</t>
  </si>
  <si>
    <t>POLVIT BAGS S.R.L.S.</t>
  </si>
  <si>
    <t>09846791219</t>
  </si>
  <si>
    <t>IT09846791219</t>
  </si>
  <si>
    <t>4889.</t>
  </si>
  <si>
    <t>ARAGO S.R.L.</t>
  </si>
  <si>
    <t>02825971209</t>
  </si>
  <si>
    <t>IT02825971209</t>
  </si>
  <si>
    <t>Bologna</t>
  </si>
  <si>
    <t>Emilia-Romagna</t>
  </si>
  <si>
    <t>4890.</t>
  </si>
  <si>
    <t>CASA PRETI S.R.L.</t>
  </si>
  <si>
    <t>06629600823</t>
  </si>
  <si>
    <t>IT06629600823</t>
  </si>
  <si>
    <t>4891.</t>
  </si>
  <si>
    <t>ANTONELLA D'AURIA SOCIETA' A RESPONSABILITA' LIMITATA SEMPLIFICA TA</t>
  </si>
  <si>
    <t>09892541211</t>
  </si>
  <si>
    <t>IT09892541211</t>
  </si>
  <si>
    <t>4892.</t>
  </si>
  <si>
    <t>MELITA MAISON S.R.L.</t>
  </si>
  <si>
    <t>05175490282</t>
  </si>
  <si>
    <t>IT05175490282</t>
  </si>
  <si>
    <t>Padova</t>
  </si>
  <si>
    <t>4893.</t>
  </si>
  <si>
    <t>FARWAY MILANO SRL</t>
  </si>
  <si>
    <t>11688770962</t>
  </si>
  <si>
    <t>IT11688770962</t>
  </si>
  <si>
    <t>4894.</t>
  </si>
  <si>
    <t>LOSA 1960 S.R.L.</t>
  </si>
  <si>
    <t>11485050964</t>
  </si>
  <si>
    <t>IT11485050964</t>
  </si>
  <si>
    <t>141929</t>
  </si>
  <si>
    <t>4895.</t>
  </si>
  <si>
    <t>CDC STUDIO S.R.L.</t>
  </si>
  <si>
    <t>02376040503</t>
  </si>
  <si>
    <t>IT02376040503</t>
  </si>
  <si>
    <t>4896.</t>
  </si>
  <si>
    <t>ESSERE S.R.L.S.</t>
  </si>
  <si>
    <t>02710690906</t>
  </si>
  <si>
    <t>IT02710690906</t>
  </si>
  <si>
    <t>141910</t>
  </si>
  <si>
    <t>Sassari</t>
  </si>
  <si>
    <t>Sardegna</t>
  </si>
  <si>
    <t>n.d.</t>
  </si>
  <si>
    <t>4897.</t>
  </si>
  <si>
    <t>MYANAMI' S.R.L.</t>
  </si>
  <si>
    <t>12394780964</t>
  </si>
  <si>
    <t>IT12394780964</t>
  </si>
  <si>
    <t>141310</t>
  </si>
  <si>
    <t>Milano</t>
  </si>
  <si>
    <t>Lombardia</t>
  </si>
  <si>
    <t>4898.</t>
  </si>
  <si>
    <t>SCHEDONI LUXURY GOODS SRL</t>
  </si>
  <si>
    <t>03793410360</t>
  </si>
  <si>
    <t>IT03793410360</t>
  </si>
  <si>
    <t>151209</t>
  </si>
  <si>
    <t>Modena</t>
  </si>
  <si>
    <t>Emilia-Romagna</t>
  </si>
  <si>
    <t>4899.</t>
  </si>
  <si>
    <t>SLOW CLOTHING S.R.L.</t>
  </si>
  <si>
    <t>03961540246</t>
  </si>
  <si>
    <t>IT03961540246</t>
  </si>
  <si>
    <t>141320</t>
  </si>
  <si>
    <t>Vicenza</t>
  </si>
  <si>
    <t>Veneto</t>
  </si>
  <si>
    <t>4900.</t>
  </si>
  <si>
    <t>DE MORI S.R.L.</t>
  </si>
  <si>
    <t>04329850160</t>
  </si>
  <si>
    <t>IT04329850160</t>
  </si>
  <si>
    <t>143900</t>
  </si>
  <si>
    <t>Bergamo</t>
  </si>
  <si>
    <t>4901.</t>
  </si>
  <si>
    <t>ESSEX SOCIETA' A RESPONSABILITA' LIMITATA</t>
  </si>
  <si>
    <t>02921280349</t>
  </si>
  <si>
    <t>IT02921280349</t>
  </si>
  <si>
    <t>141000</t>
  </si>
  <si>
    <t>Parma</t>
  </si>
  <si>
    <t>4902.</t>
  </si>
  <si>
    <t>ARTEINVESTE S.R.L.</t>
  </si>
  <si>
    <t>03821090986</t>
  </si>
  <si>
    <t>IT03821090986</t>
  </si>
  <si>
    <t>141400</t>
  </si>
  <si>
    <t>Brescia</t>
  </si>
  <si>
    <t>4903.</t>
  </si>
  <si>
    <t>MARIGROUP S.R.L.</t>
  </si>
  <si>
    <t>01556740502</t>
  </si>
  <si>
    <t>IT01556740502</t>
  </si>
  <si>
    <t>Pisa</t>
  </si>
  <si>
    <t>Toscana</t>
  </si>
  <si>
    <t>4904.</t>
  </si>
  <si>
    <t>ICONICA SRL</t>
  </si>
  <si>
    <t>02545480978</t>
  </si>
  <si>
    <t>IT02545480978</t>
  </si>
  <si>
    <t>Prato</t>
  </si>
  <si>
    <t>4905.</t>
  </si>
  <si>
    <t>ST. MARTIN'S S.R.L.</t>
  </si>
  <si>
    <t>01578050930</t>
  </si>
  <si>
    <t>IT01578050930</t>
  </si>
  <si>
    <t>Pordenone</t>
  </si>
  <si>
    <t>Friuli-Venezia Giulia</t>
  </si>
  <si>
    <t>4906.</t>
  </si>
  <si>
    <t>DIBEN LINGERIE S.R.L.</t>
  </si>
  <si>
    <t>03209730724</t>
  </si>
  <si>
    <t>IT03209730724</t>
  </si>
  <si>
    <t>Barletta-Andria-Trani</t>
  </si>
  <si>
    <t>Puglia</t>
  </si>
  <si>
    <t>4907.</t>
  </si>
  <si>
    <t>VIA NAPOLI S.R.L.</t>
  </si>
  <si>
    <t>06691030636</t>
  </si>
  <si>
    <t>IT06691030636</t>
  </si>
  <si>
    <t>141100</t>
  </si>
  <si>
    <t>Napoli</t>
  </si>
  <si>
    <t>Campania</t>
  </si>
  <si>
    <t>4908.</t>
  </si>
  <si>
    <t>ITALIAN LINES SOCIETA' A RESPONSABILITA' LIMITATA SEMPLIFICATA</t>
  </si>
  <si>
    <t>06601060483</t>
  </si>
  <si>
    <t>IT06601060483</t>
  </si>
  <si>
    <t>Firenze</t>
  </si>
  <si>
    <t>4909.</t>
  </si>
  <si>
    <t>METODLAB SOCIETA' A RESPONSABILITA' LIMITATA SEMPLIFICATA</t>
  </si>
  <si>
    <t>04872450269</t>
  </si>
  <si>
    <t>IT04872450269</t>
  </si>
  <si>
    <t>141929</t>
  </si>
  <si>
    <t>Treviso</t>
  </si>
  <si>
    <t>4910.</t>
  </si>
  <si>
    <t>SVETA MILANO S.R.L.</t>
  </si>
  <si>
    <t>08213450961</t>
  </si>
  <si>
    <t>IT08213450961</t>
  </si>
  <si>
    <t>4911.</t>
  </si>
  <si>
    <t>SECOND LIFE FEATHERS SRL</t>
  </si>
  <si>
    <t>07075600481</t>
  </si>
  <si>
    <t>IT07075600481</t>
  </si>
  <si>
    <t>4912.</t>
  </si>
  <si>
    <t>BEFOR2050 S.R.L.</t>
  </si>
  <si>
    <t>05046970264</t>
  </si>
  <si>
    <t>IT05046970264</t>
  </si>
  <si>
    <t>4913.</t>
  </si>
  <si>
    <t>FORTUNALE SRL BENEFIT</t>
  </si>
  <si>
    <t>08594910724</t>
  </si>
  <si>
    <t>IT08594910724</t>
  </si>
  <si>
    <t>Bari</t>
  </si>
  <si>
    <t>4914.</t>
  </si>
  <si>
    <t>GAIAVITTORIA S.R.L.</t>
  </si>
  <si>
    <t>01374550323</t>
  </si>
  <si>
    <t>IT01374550323</t>
  </si>
  <si>
    <t>Trieste</t>
  </si>
  <si>
    <t>4915.</t>
  </si>
  <si>
    <t>BORSA VENETA S.R.L.</t>
  </si>
  <si>
    <t>05216030287</t>
  </si>
  <si>
    <t>IT05216030287</t>
  </si>
  <si>
    <t>Padova</t>
  </si>
  <si>
    <t>4916.</t>
  </si>
  <si>
    <t>DAEMA S.R.L.</t>
  </si>
  <si>
    <t>04446000160</t>
  </si>
  <si>
    <t>IT04446000160</t>
  </si>
  <si>
    <t>4917.</t>
  </si>
  <si>
    <t>GAITTECH S.R.L.</t>
  </si>
  <si>
    <t>03890830361</t>
  </si>
  <si>
    <t>IT03890830361</t>
  </si>
  <si>
    <t>152020</t>
  </si>
  <si>
    <t>4918.</t>
  </si>
  <si>
    <t>SOLFO SRL SEMPLIFICATA</t>
  </si>
  <si>
    <t>04027270364</t>
  </si>
  <si>
    <t>IT04027270364</t>
  </si>
  <si>
    <t>4919.</t>
  </si>
  <si>
    <t>CAPRICE BESPOKE S.R.L.</t>
  </si>
  <si>
    <t>01866020702</t>
  </si>
  <si>
    <t>IT01866020702</t>
  </si>
  <si>
    <t>Campobasso</t>
  </si>
  <si>
    <t>Molise</t>
  </si>
  <si>
    <t>4920.</t>
  </si>
  <si>
    <t>PUGNETTI PARMA S.R.L.</t>
  </si>
  <si>
    <t>02951600341</t>
  </si>
  <si>
    <t>IT02951600341</t>
  </si>
  <si>
    <t>4921.</t>
  </si>
  <si>
    <t>DZOYE' S.R.L.</t>
  </si>
  <si>
    <t>09001130963</t>
  </si>
  <si>
    <t>IT09001130963</t>
  </si>
  <si>
    <t>152010</t>
  </si>
  <si>
    <t>4922.</t>
  </si>
  <si>
    <t>BATTE IL CUORE SRL</t>
  </si>
  <si>
    <t>02813730369</t>
  </si>
  <si>
    <t>IT02813730369</t>
  </si>
  <si>
    <t>4923.</t>
  </si>
  <si>
    <t>MF LEATHER PROJECT SOCIETA' A RESPONSABILITA' LIMITATA SEMPLIFICATA</t>
  </si>
  <si>
    <t>03107110649</t>
  </si>
  <si>
    <t>IT03107110649</t>
  </si>
  <si>
    <t>Avellino</t>
  </si>
  <si>
    <t>4924.</t>
  </si>
  <si>
    <t>CALZATURIFICIO GRAVATI S.R.L.</t>
  </si>
  <si>
    <t>00343800181</t>
  </si>
  <si>
    <t>IT00343800181</t>
  </si>
  <si>
    <t>Pavia</t>
  </si>
  <si>
    <t>4925.</t>
  </si>
  <si>
    <t>RE3 SRL SOCIETA' BENEFIT</t>
  </si>
  <si>
    <t>04403200241</t>
  </si>
  <si>
    <t>IT04403200241</t>
  </si>
  <si>
    <t>4926.</t>
  </si>
  <si>
    <t>EXTRO'S S.R.L.</t>
  </si>
  <si>
    <t>03504500715</t>
  </si>
  <si>
    <t>IT03504500715</t>
  </si>
  <si>
    <t>141300</t>
  </si>
  <si>
    <t>4927.</t>
  </si>
  <si>
    <t>B &amp; B S.R.L.</t>
  </si>
  <si>
    <t>03633700244</t>
  </si>
  <si>
    <t>IT03633700244</t>
  </si>
  <si>
    <t>151100</t>
  </si>
  <si>
    <t>4928.</t>
  </si>
  <si>
    <t>SMART MATERIALS S.R.L.</t>
  </si>
  <si>
    <t>02471380200</t>
  </si>
  <si>
    <t>IT02471380200</t>
  </si>
  <si>
    <t>151100</t>
  </si>
  <si>
    <t>Padova</t>
  </si>
  <si>
    <t>Veneto</t>
  </si>
  <si>
    <t>4929.</t>
  </si>
  <si>
    <t>INSUGHERO S.R.L.</t>
  </si>
  <si>
    <t>04643970272</t>
  </si>
  <si>
    <t>IT04643970272</t>
  </si>
  <si>
    <t>151209</t>
  </si>
  <si>
    <t>Venezia</t>
  </si>
  <si>
    <t>n.d.</t>
  </si>
  <si>
    <t>4930.</t>
  </si>
  <si>
    <t>DISIX S.R.L.</t>
  </si>
  <si>
    <t>12636620010</t>
  </si>
  <si>
    <t>IT12636620010</t>
  </si>
  <si>
    <t>Torino</t>
  </si>
  <si>
    <t>Piemonte</t>
  </si>
  <si>
    <t>4931.</t>
  </si>
  <si>
    <t>20ZERO1 S.R.L.</t>
  </si>
  <si>
    <t>11674880965</t>
  </si>
  <si>
    <t>IT11674880965</t>
  </si>
  <si>
    <t>152010</t>
  </si>
  <si>
    <t>Milano</t>
  </si>
  <si>
    <t>Lombardia</t>
  </si>
  <si>
    <t>4932.</t>
  </si>
  <si>
    <t>FDL S.R.L.</t>
  </si>
  <si>
    <t>07106470482</t>
  </si>
  <si>
    <t>IT07106470482</t>
  </si>
  <si>
    <t>Firenze</t>
  </si>
  <si>
    <t>Toscana</t>
  </si>
  <si>
    <t>4933.</t>
  </si>
  <si>
    <t>FIDELIO S.R.L.</t>
  </si>
  <si>
    <t>02662340039</t>
  </si>
  <si>
    <t>IT02662340039</t>
  </si>
  <si>
    <t>Novara</t>
  </si>
  <si>
    <t>4934.</t>
  </si>
  <si>
    <t>NIMA S.R.L.</t>
  </si>
  <si>
    <t>04323920985</t>
  </si>
  <si>
    <t>IT04323920985</t>
  </si>
  <si>
    <t>Brescia</t>
  </si>
  <si>
    <t>4935.</t>
  </si>
  <si>
    <t>OSA &amp; CO SRL</t>
  </si>
  <si>
    <t>02630300909</t>
  </si>
  <si>
    <t>IT02630300909</t>
  </si>
  <si>
    <t>141929</t>
  </si>
  <si>
    <t>Sassari</t>
  </si>
  <si>
    <t>Sardegna</t>
  </si>
  <si>
    <t>4936.</t>
  </si>
  <si>
    <t>OL JIMMY SHOES SOCIETA' A RESPONSABILITA' LIMITATA A CAPITALE RIDOTTO</t>
  </si>
  <si>
    <t>04593460266</t>
  </si>
  <si>
    <t>IT04593460266</t>
  </si>
  <si>
    <t>Treviso</t>
  </si>
  <si>
    <t>4937.</t>
  </si>
  <si>
    <t>NABOT S.R.L.</t>
  </si>
  <si>
    <t>03321190542</t>
  </si>
  <si>
    <t>IT03321190542</t>
  </si>
  <si>
    <t>141310</t>
  </si>
  <si>
    <t>Perugia</t>
  </si>
  <si>
    <t>Umbria</t>
  </si>
  <si>
    <t>4938.</t>
  </si>
  <si>
    <t>LIMYE' S.R.L. SEMPLIFICATA</t>
  </si>
  <si>
    <t>02784330421</t>
  </si>
  <si>
    <t>IT02784330421</t>
  </si>
  <si>
    <t>141320</t>
  </si>
  <si>
    <t>Ancona</t>
  </si>
  <si>
    <t>Marche</t>
  </si>
  <si>
    <t>4939.</t>
  </si>
  <si>
    <t>PINK MOOD SOCIETA' A RESPONSABILITA' LIMITATA SEMPLIFICATA</t>
  </si>
  <si>
    <t>09697621218</t>
  </si>
  <si>
    <t>IT09697621218</t>
  </si>
  <si>
    <t>Napoli</t>
  </si>
  <si>
    <t>Campania</t>
  </si>
  <si>
    <t>4940.</t>
  </si>
  <si>
    <t>MARIANI S.R.L.S.</t>
  </si>
  <si>
    <t>02243400518</t>
  </si>
  <si>
    <t>IT02243400518</t>
  </si>
  <si>
    <t>141910</t>
  </si>
  <si>
    <t>Arezzo</t>
  </si>
  <si>
    <t>4941.</t>
  </si>
  <si>
    <t>SET FLORENCE SRL</t>
  </si>
  <si>
    <t>03103650648</t>
  </si>
  <si>
    <t>IT03103650648</t>
  </si>
  <si>
    <t>Avellino</t>
  </si>
  <si>
    <t>4942.</t>
  </si>
  <si>
    <t>SALVATORE PISANO S.P.A.</t>
  </si>
  <si>
    <t>01486940610</t>
  </si>
  <si>
    <t>IT01486940610</t>
  </si>
  <si>
    <t>Caserta</t>
  </si>
  <si>
    <t>4943.</t>
  </si>
  <si>
    <t>CLUTCH-E BAG S.R.L.</t>
  </si>
  <si>
    <t>03691760544</t>
  </si>
  <si>
    <t>IT03691760544</t>
  </si>
  <si>
    <t>4944.</t>
  </si>
  <si>
    <t>YLYA SRLS</t>
  </si>
  <si>
    <t>02439230505</t>
  </si>
  <si>
    <t>IT02439230505</t>
  </si>
  <si>
    <t>152020</t>
  </si>
  <si>
    <t>Pisa</t>
  </si>
  <si>
    <t>4945.</t>
  </si>
  <si>
    <t>WVENICE S.R.L.</t>
  </si>
  <si>
    <t>04712450271</t>
  </si>
  <si>
    <t>IT04712450271</t>
  </si>
  <si>
    <t>4946.</t>
  </si>
  <si>
    <t>LONGHI ITALIAN FASHION S.R.L.</t>
  </si>
  <si>
    <t>04528030168</t>
  </si>
  <si>
    <t>IT04528030168</t>
  </si>
  <si>
    <t>Bergamo</t>
  </si>
  <si>
    <t>4947.</t>
  </si>
  <si>
    <t>WEB PLANET SRL</t>
  </si>
  <si>
    <t>07174770482</t>
  </si>
  <si>
    <t>IT07174770482</t>
  </si>
  <si>
    <t>4948.</t>
  </si>
  <si>
    <t>LIBERTY OF CREATION SRL</t>
  </si>
  <si>
    <t>02304510502</t>
  </si>
  <si>
    <t>IT02304510502</t>
  </si>
  <si>
    <t>141100</t>
  </si>
  <si>
    <t>4949.</t>
  </si>
  <si>
    <t>ATELIER SANNINO SOCIETA' A RESPONSABILITA' LIMITATA SEMPLIFICATA</t>
  </si>
  <si>
    <t>11208380961</t>
  </si>
  <si>
    <t>IT11208380961</t>
  </si>
  <si>
    <t>4950.</t>
  </si>
  <si>
    <t>CAPABLE S.R.L.</t>
  </si>
  <si>
    <t>12726880011</t>
  </si>
  <si>
    <t>IT12726880011</t>
  </si>
  <si>
    <t>143900</t>
  </si>
  <si>
    <t>4951.</t>
  </si>
  <si>
    <t>TOSCHI PELLICCERIE S.R.L.</t>
  </si>
  <si>
    <t>00813170289</t>
  </si>
  <si>
    <t>IT00813170289</t>
  </si>
  <si>
    <t>142000</t>
  </si>
  <si>
    <t>4952.</t>
  </si>
  <si>
    <t>BALDUCCI S.P.A. IN LIQUIDAZIONE</t>
  </si>
  <si>
    <t>00087730479</t>
  </si>
  <si>
    <t>IT00087730479</t>
  </si>
  <si>
    <t>Pistoia</t>
  </si>
  <si>
    <t>4953.</t>
  </si>
  <si>
    <t>BOLAMI' S.R.L.</t>
  </si>
  <si>
    <t>03695201206</t>
  </si>
  <si>
    <t>IT03695201206</t>
  </si>
  <si>
    <t>Bologna</t>
  </si>
  <si>
    <t>Emilia-Romagna</t>
  </si>
  <si>
    <t>4954.</t>
  </si>
  <si>
    <t>VETERE STYLE - SOCIETA' A RESPONSABILITA' LIMITATA SEMPLIFICATA</t>
  </si>
  <si>
    <t>02783150812</t>
  </si>
  <si>
    <t>IT02783150812</t>
  </si>
  <si>
    <t>Trapani</t>
  </si>
  <si>
    <t>Sicilia</t>
  </si>
  <si>
    <t>4955.</t>
  </si>
  <si>
    <t>FLAWLESS S.R.L.S.</t>
  </si>
  <si>
    <t>16508931009</t>
  </si>
  <si>
    <t>IT16508931009</t>
  </si>
  <si>
    <t>Roma</t>
  </si>
  <si>
    <t>Lazio</t>
  </si>
  <si>
    <t>4956.</t>
  </si>
  <si>
    <t>LAWLEY FACTORY - S.R.L.</t>
  </si>
  <si>
    <t>06178520489</t>
  </si>
  <si>
    <t>IT06178520489</t>
  </si>
  <si>
    <t>4957.</t>
  </si>
  <si>
    <t>E.F. SRL IN LIQUIDAZIONE</t>
  </si>
  <si>
    <t>02116700390</t>
  </si>
  <si>
    <t>IT02116700390</t>
  </si>
  <si>
    <t>Ravenna</t>
  </si>
  <si>
    <t>4958.</t>
  </si>
  <si>
    <t>LOCAL S.R.L.S.</t>
  </si>
  <si>
    <t>05094560280</t>
  </si>
  <si>
    <t>IT05094560280</t>
  </si>
  <si>
    <t>4959.</t>
  </si>
  <si>
    <t>NOTHINK S.R.L.</t>
  </si>
  <si>
    <t>04608640167</t>
  </si>
  <si>
    <t>IT04608640167</t>
  </si>
  <si>
    <t>4960.</t>
  </si>
  <si>
    <t>LIGIAN S.R.L.</t>
  </si>
  <si>
    <t>00898600507</t>
  </si>
  <si>
    <t>IT00898600507</t>
  </si>
  <si>
    <t>152020</t>
  </si>
  <si>
    <t>Pisa</t>
  </si>
  <si>
    <t>Toscana</t>
  </si>
  <si>
    <t>4961.</t>
  </si>
  <si>
    <t>WORLDING S.R.L.</t>
  </si>
  <si>
    <t>01637320555</t>
  </si>
  <si>
    <t>IT01637320555</t>
  </si>
  <si>
    <t>151209</t>
  </si>
  <si>
    <t>Terni</t>
  </si>
  <si>
    <t>Umbria</t>
  </si>
  <si>
    <t>4962.</t>
  </si>
  <si>
    <t>CALZATURIFICIO FARFALLA S.R.L.</t>
  </si>
  <si>
    <t>00143650463</t>
  </si>
  <si>
    <t>IT00143650463</t>
  </si>
  <si>
    <t>152000</t>
  </si>
  <si>
    <t>Lucca</t>
  </si>
  <si>
    <t>sicurezza postale</t>
  </si>
  <si>
    <t>n.d.</t>
  </si>
  <si>
    <t>4963.</t>
  </si>
  <si>
    <t>SPOOL SRL</t>
  </si>
  <si>
    <t>11642050964</t>
  </si>
  <si>
    <t>IT11642050964</t>
  </si>
  <si>
    <t>141310</t>
  </si>
  <si>
    <t>Milano</t>
  </si>
  <si>
    <t>Lombardia</t>
  </si>
  <si>
    <t>4964.</t>
  </si>
  <si>
    <t>POLSYLE S.R.L. START-UP COSTITUITA A NORMA DELL'ART. 4 COMMA 10 BIS DEL DECRETO LEGGE 24 GENNAIO 2015 N. 3</t>
  </si>
  <si>
    <t>09544181218</t>
  </si>
  <si>
    <t>IT09544181218</t>
  </si>
  <si>
    <t>141910</t>
  </si>
  <si>
    <t>Napoli</t>
  </si>
  <si>
    <t>Campania</t>
  </si>
  <si>
    <t>4965.</t>
  </si>
  <si>
    <t>TRADINNOVAZIONE S.R.L.</t>
  </si>
  <si>
    <t>04419790235</t>
  </si>
  <si>
    <t>IT04419790235</t>
  </si>
  <si>
    <t>152010</t>
  </si>
  <si>
    <t>Verona</t>
  </si>
  <si>
    <t>Veneto</t>
  </si>
  <si>
    <t>4966.</t>
  </si>
  <si>
    <t>GRUPPO FLORENCE S.R.L.</t>
  </si>
  <si>
    <t>12556510969</t>
  </si>
  <si>
    <t>IT12556510969</t>
  </si>
  <si>
    <t>4967.</t>
  </si>
  <si>
    <t>LUNA ROSSA LEATHERS SRL</t>
  </si>
  <si>
    <t>04435410248</t>
  </si>
  <si>
    <t>IT04435410248</t>
  </si>
  <si>
    <t>151100</t>
  </si>
  <si>
    <t>Vicenza</t>
  </si>
  <si>
    <t>4968.</t>
  </si>
  <si>
    <t>ZINGONI COUNTERS FOR FOOTWEAR SOCIETA' A RESPONSABILITA' LIMITATA</t>
  </si>
  <si>
    <t>02389590502</t>
  </si>
  <si>
    <t>IT02389590502</t>
  </si>
  <si>
    <t>4969.</t>
  </si>
  <si>
    <t>MANIFATTURA ITALIANA PELLETTERIE SOCIETA' A RESPONSABILITA' LIMIT ATA SEMPLIFICATA</t>
  </si>
  <si>
    <t>07229820480</t>
  </si>
  <si>
    <t>IT07229820480</t>
  </si>
  <si>
    <t>Firenze</t>
  </si>
  <si>
    <t>4970.</t>
  </si>
  <si>
    <t>CONCERIA DEGI SRL</t>
  </si>
  <si>
    <t>05803870657</t>
  </si>
  <si>
    <t>IT05803870657</t>
  </si>
  <si>
    <t>Salerno</t>
  </si>
  <si>
    <t>4971.</t>
  </si>
  <si>
    <t>CITY DUE S.R.L.</t>
  </si>
  <si>
    <t>07422440722</t>
  </si>
  <si>
    <t>IT07422440722</t>
  </si>
  <si>
    <t>4972.</t>
  </si>
  <si>
    <t>RISORGIMENTO S.R.L.</t>
  </si>
  <si>
    <t>16906951005</t>
  </si>
  <si>
    <t>IT16906951005</t>
  </si>
  <si>
    <t>141400</t>
  </si>
  <si>
    <t>Roma</t>
  </si>
  <si>
    <t>Lazio</t>
  </si>
  <si>
    <t>4973.</t>
  </si>
  <si>
    <t>PRETTY MODE SRL</t>
  </si>
  <si>
    <t>02688110366</t>
  </si>
  <si>
    <t>IT02688110366</t>
  </si>
  <si>
    <t>141100</t>
  </si>
  <si>
    <t>Modena</t>
  </si>
  <si>
    <t>Emilia-Romagna</t>
  </si>
  <si>
    <t>4974.</t>
  </si>
  <si>
    <t>EFFECI' S.R.L.</t>
  </si>
  <si>
    <t>01687950558</t>
  </si>
  <si>
    <t>IT01687950558</t>
  </si>
  <si>
    <t>143900</t>
  </si>
  <si>
    <t>4975.</t>
  </si>
  <si>
    <t>GM WORLD SOCIETA' A RESPONSABILITA' LIMITATA SEMPLIFICATA</t>
  </si>
  <si>
    <t>05205930752</t>
  </si>
  <si>
    <t>IT05205930752</t>
  </si>
  <si>
    <t>Lecce</t>
  </si>
  <si>
    <t>Puglia</t>
  </si>
  <si>
    <t>4976.</t>
  </si>
  <si>
    <t>VAEL S.R.L.</t>
  </si>
  <si>
    <t>10172841214</t>
  </si>
  <si>
    <t>IT10172841214</t>
  </si>
  <si>
    <t>141929</t>
  </si>
  <si>
    <t>4977.</t>
  </si>
  <si>
    <t>GALA &amp; CO. S.R.L.</t>
  </si>
  <si>
    <t>01152640288</t>
  </si>
  <si>
    <t>IT01152640288</t>
  </si>
  <si>
    <t>Padova</t>
  </si>
  <si>
    <t>4978.</t>
  </si>
  <si>
    <t>IMATEX S.R.L.</t>
  </si>
  <si>
    <t>01942190362</t>
  </si>
  <si>
    <t>IT01942190362</t>
  </si>
  <si>
    <t>4979.</t>
  </si>
  <si>
    <t>T.E.S. TESSUTI EDOARDO SCACCABAROZZI S.R.L. IN BREVE T.E.S. S.R.L IN LIQUIDAZIONE</t>
  </si>
  <si>
    <t>12490000150</t>
  </si>
  <si>
    <t>IT12490000150</t>
  </si>
  <si>
    <t>Como</t>
  </si>
  <si>
    <t>4980.</t>
  </si>
  <si>
    <t>MANERA S.R.L.S.</t>
  </si>
  <si>
    <t>06124130656</t>
  </si>
  <si>
    <t>IT06124130656</t>
  </si>
  <si>
    <t>4981.</t>
  </si>
  <si>
    <t>RABIDI MORES SRL</t>
  </si>
  <si>
    <t>04278120987</t>
  </si>
  <si>
    <t>IT04278120987</t>
  </si>
  <si>
    <t>Brescia</t>
  </si>
  <si>
    <t>4982.</t>
  </si>
  <si>
    <t>CATEDIANAGIOTTI S.R.L.</t>
  </si>
  <si>
    <t>07029830481</t>
  </si>
  <si>
    <t>IT07029830481</t>
  </si>
  <si>
    <t>4983.</t>
  </si>
  <si>
    <t>HARD &amp; GUARD INDUSTRIES S.R.L.</t>
  </si>
  <si>
    <t>02060030679</t>
  </si>
  <si>
    <t>IT02060030679</t>
  </si>
  <si>
    <t>Teramo</t>
  </si>
  <si>
    <t>Abruzzo</t>
  </si>
  <si>
    <t>4984.</t>
  </si>
  <si>
    <t>PIUMENO S.R.L.</t>
  </si>
  <si>
    <t>11673550965</t>
  </si>
  <si>
    <t>IT11673550965</t>
  </si>
  <si>
    <t>4985.</t>
  </si>
  <si>
    <t>FOULON S.R.L.</t>
  </si>
  <si>
    <t>12503550969</t>
  </si>
  <si>
    <t>IT12503550969</t>
  </si>
  <si>
    <t>141000</t>
  </si>
  <si>
    <t>4986.</t>
  </si>
  <si>
    <t>MAURO PRODUZIONE PELLETTERIE S.R.L.</t>
  </si>
  <si>
    <t>09022731211</t>
  </si>
  <si>
    <t>IT09022731211</t>
  </si>
  <si>
    <t>4987.</t>
  </si>
  <si>
    <t>HUB SRL</t>
  </si>
  <si>
    <t>02462490448</t>
  </si>
  <si>
    <t>IT02462490448</t>
  </si>
  <si>
    <t>Fermo</t>
  </si>
  <si>
    <t>Marche</t>
  </si>
  <si>
    <t>4988.</t>
  </si>
  <si>
    <t>MAGOR S.R.L.</t>
  </si>
  <si>
    <t>00880690706</t>
  </si>
  <si>
    <t>IT00880690706</t>
  </si>
  <si>
    <t>Campobasso</t>
  </si>
  <si>
    <t>Molise</t>
  </si>
  <si>
    <t>4989.</t>
  </si>
  <si>
    <t>GRIMALDI WEDDING GROUP SOCIETA' A RESPONSABILITA' LIMITATA</t>
  </si>
  <si>
    <t>03187810597</t>
  </si>
  <si>
    <t>IT03187810597</t>
  </si>
  <si>
    <t>4990.</t>
  </si>
  <si>
    <t>CARLOS S.R.L.</t>
  </si>
  <si>
    <t>05523040482</t>
  </si>
  <si>
    <t>IT05523040482</t>
  </si>
  <si>
    <t>4991.</t>
  </si>
  <si>
    <t>CALZATURIFICIO BOBO SHOES S.R.L. --- IN LIQUIDAZIONE ---</t>
  </si>
  <si>
    <t>01232210474</t>
  </si>
  <si>
    <t>IT01232210474</t>
  </si>
  <si>
    <t>Pistoia</t>
  </si>
  <si>
    <t>4992.</t>
  </si>
  <si>
    <t>BECH MILANO SRLS</t>
  </si>
  <si>
    <t>08377420727</t>
  </si>
  <si>
    <t>IT08377420727</t>
  </si>
  <si>
    <t>141310</t>
  </si>
  <si>
    <t>Bari</t>
  </si>
  <si>
    <t>Puglia</t>
  </si>
  <si>
    <t>4993.</t>
  </si>
  <si>
    <t>MNK SRL</t>
  </si>
  <si>
    <t>07517020967</t>
  </si>
  <si>
    <t>IT07517020967</t>
  </si>
  <si>
    <t>141000</t>
  </si>
  <si>
    <t>Milano</t>
  </si>
  <si>
    <t>Lombardia</t>
  </si>
  <si>
    <t>4994.</t>
  </si>
  <si>
    <t>MONDO SPOSA S.R.L.</t>
  </si>
  <si>
    <t>02966060796</t>
  </si>
  <si>
    <t>IT02966060796</t>
  </si>
  <si>
    <t>141320</t>
  </si>
  <si>
    <t>Vibo Valentia</t>
  </si>
  <si>
    <t>Calabria</t>
  </si>
  <si>
    <t>4995.</t>
  </si>
  <si>
    <t>NUOVA SALUTE E BENESSERE S.R.L</t>
  </si>
  <si>
    <t>04641500238</t>
  </si>
  <si>
    <t>IT04641500238</t>
  </si>
  <si>
    <t>151209</t>
  </si>
  <si>
    <t>Verona</t>
  </si>
  <si>
    <t>Veneto</t>
  </si>
  <si>
    <t>4996.</t>
  </si>
  <si>
    <t>STILMAN FOOTWEAR S.R.L. IN LIQUIDAZIONE</t>
  </si>
  <si>
    <t>02488820230</t>
  </si>
  <si>
    <t>IT02488820230</t>
  </si>
  <si>
    <t>152010</t>
  </si>
  <si>
    <t>4997.</t>
  </si>
  <si>
    <t>GRUPPO FRANCO ZICHE S.R.L. - IN LIQUIDAZIONE IN CONCORDATO PREVENTIVO</t>
  </si>
  <si>
    <t>03089120244</t>
  </si>
  <si>
    <t>IT03089120244</t>
  </si>
  <si>
    <t>Vicenza</t>
  </si>
  <si>
    <t>4998.</t>
  </si>
  <si>
    <t>VERA PELLAMI S.R.L.</t>
  </si>
  <si>
    <t>02299480240</t>
  </si>
  <si>
    <t>IT02299480240</t>
  </si>
  <si>
    <t>151100</t>
  </si>
  <si>
    <t>4999.</t>
  </si>
  <si>
    <t>CONCERIA AMBRA S.R.L.- IN LIQUIDAZIONE - IN CONCORDATO PREVENTIVO</t>
  </si>
  <si>
    <t>01824330243</t>
  </si>
  <si>
    <t>IT01824330243</t>
  </si>
  <si>
    <t>5000.</t>
  </si>
  <si>
    <t>CONCERIA TIGRE S.R.L. - IN LIQUIDAZIONE - - IN CONCORDATO PREVENTIVO -</t>
  </si>
  <si>
    <t>00282340249</t>
  </si>
  <si>
    <t>IT00282340249</t>
  </si>
  <si>
    <t>5001.</t>
  </si>
  <si>
    <t>IMG SRL - IN LIQUIDAZIONE</t>
  </si>
  <si>
    <t>00219760121</t>
  </si>
  <si>
    <t>IT00219760121</t>
  </si>
  <si>
    <t>143900</t>
  </si>
  <si>
    <t>Varese</t>
  </si>
  <si>
    <t>5002.</t>
  </si>
  <si>
    <t>NST SRL</t>
  </si>
  <si>
    <t>04422510265</t>
  </si>
  <si>
    <t>IT04422510265</t>
  </si>
  <si>
    <t>Treviso</t>
  </si>
  <si>
    <t>5003.</t>
  </si>
  <si>
    <t>DRESSING S.R.L. IN LIQUIDAZIONE</t>
  </si>
  <si>
    <t>01220150260</t>
  </si>
  <si>
    <t>IT01220150260</t>
  </si>
  <si>
    <t>5004.</t>
  </si>
  <si>
    <t>DIA 1 S.R.L. IN LIQUIDAZIONE</t>
  </si>
  <si>
    <t>00323160267</t>
  </si>
  <si>
    <t>IT00323160267</t>
  </si>
  <si>
    <t>5005.</t>
  </si>
  <si>
    <t>EGO S.R.L.S.</t>
  </si>
  <si>
    <t>12436270016</t>
  </si>
  <si>
    <t>IT12436270016</t>
  </si>
  <si>
    <t>141910</t>
  </si>
  <si>
    <t>Torino</t>
  </si>
  <si>
    <t>Piemonte</t>
  </si>
  <si>
    <t>5006.</t>
  </si>
  <si>
    <t>BLU ICE SOCIETA' A RESPONSABILITA' LIMITATA SEMPLIFICATA</t>
  </si>
  <si>
    <t>02421140225</t>
  </si>
  <si>
    <t>IT02421140225</t>
  </si>
  <si>
    <t>141929</t>
  </si>
  <si>
    <t>Trento</t>
  </si>
  <si>
    <t>Trentino-Alto Adige/Südtirol</t>
  </si>
  <si>
    <t>5007.</t>
  </si>
  <si>
    <t>GI.EFFE MODA S.P.A.</t>
  </si>
  <si>
    <t>00766200679</t>
  </si>
  <si>
    <t>IT00766200679</t>
  </si>
  <si>
    <t>Teramo</t>
  </si>
  <si>
    <t>Abruzzo</t>
  </si>
  <si>
    <t>5008.</t>
  </si>
  <si>
    <t>DIELLE MANIFATTURE S.R.L.</t>
  </si>
  <si>
    <t>00654930676</t>
  </si>
  <si>
    <t>IT00654930676</t>
  </si>
  <si>
    <t>151200</t>
  </si>
  <si>
    <t>5009.</t>
  </si>
  <si>
    <t>SELENA NEI LUX S.R.L.</t>
  </si>
  <si>
    <t>03322150735</t>
  </si>
  <si>
    <t>IT03322150735</t>
  </si>
  <si>
    <t>Taranto</t>
  </si>
  <si>
    <t>5010.</t>
  </si>
  <si>
    <t>GI. EMME GI. S.R.L.</t>
  </si>
  <si>
    <t>02222710739</t>
  </si>
  <si>
    <t>IT02222710739</t>
  </si>
  <si>
    <t>5011.</t>
  </si>
  <si>
    <t>WHITE ROADS S.R.L.S. SOCIETA' A RESPONSABILITA' LIMITATA SEMPLIFICATA</t>
  </si>
  <si>
    <t>01409070529</t>
  </si>
  <si>
    <t>IT01409070529</t>
  </si>
  <si>
    <t>Siena</t>
  </si>
  <si>
    <t>Toscana</t>
  </si>
  <si>
    <t>n.d.</t>
  </si>
  <si>
    <t>5012.</t>
  </si>
  <si>
    <t>GRECOTEX S.R.L. IN LIQUIDAZIONE</t>
  </si>
  <si>
    <t>00834650293</t>
  </si>
  <si>
    <t>IT00834650293</t>
  </si>
  <si>
    <t>143000</t>
  </si>
  <si>
    <t>Rovigo</t>
  </si>
  <si>
    <t>5013.</t>
  </si>
  <si>
    <t>DYNAMIC CLEATS SRL</t>
  </si>
  <si>
    <t>15874151002</t>
  </si>
  <si>
    <t>IT15874151002</t>
  </si>
  <si>
    <t>Roma</t>
  </si>
  <si>
    <t>Lazio</t>
  </si>
  <si>
    <t>5014.</t>
  </si>
  <si>
    <t>BRIAN BROME S.R.L.</t>
  </si>
  <si>
    <t>15815711005</t>
  </si>
  <si>
    <t>IT15815711005</t>
  </si>
  <si>
    <t>5015.</t>
  </si>
  <si>
    <t>BE TWIN - S.R.L.</t>
  </si>
  <si>
    <t>15620481000</t>
  </si>
  <si>
    <t>IT15620481000</t>
  </si>
  <si>
    <t>5016.</t>
  </si>
  <si>
    <t>AVIA SOCIETA' A RESPONSABILITA' LIMITATA</t>
  </si>
  <si>
    <t>12623131005</t>
  </si>
  <si>
    <t>IT12623131005</t>
  </si>
  <si>
    <t>5017.</t>
  </si>
  <si>
    <t>DUBIN S.R.L. - IN LIQUIDAZIONE</t>
  </si>
  <si>
    <t>01480590478</t>
  </si>
  <si>
    <t>IT01480590478</t>
  </si>
  <si>
    <t>Pistoia</t>
  </si>
  <si>
    <t>5018.</t>
  </si>
  <si>
    <t>P&amp;M MODA SRL SEMPLIFICATA</t>
  </si>
  <si>
    <t>02751840410</t>
  </si>
  <si>
    <t>IT02751840410</t>
  </si>
  <si>
    <t>Pesaro e Urbino</t>
  </si>
  <si>
    <t>Marche</t>
  </si>
  <si>
    <t>5019.</t>
  </si>
  <si>
    <t>ITALIAN FASHION S.R.L. - IN LIQUIDAZIONE</t>
  </si>
  <si>
    <t>00881270417</t>
  </si>
  <si>
    <t>IT00881270417</t>
  </si>
  <si>
    <t>5020.</t>
  </si>
  <si>
    <t>DRESS-NATURAL S.R.L.</t>
  </si>
  <si>
    <t>02913580342</t>
  </si>
  <si>
    <t>IT02913580342</t>
  </si>
  <si>
    <t>Parma</t>
  </si>
  <si>
    <t>Emilia-Romagna</t>
  </si>
  <si>
    <t>5021.</t>
  </si>
  <si>
    <t>FULL UP SRL</t>
  </si>
  <si>
    <t>02499170971</t>
  </si>
  <si>
    <t>IT02499170971</t>
  </si>
  <si>
    <t>Prato</t>
  </si>
  <si>
    <t>5022.</t>
  </si>
  <si>
    <t>G.P.S. TRICOT S.R.L.</t>
  </si>
  <si>
    <t>01769890979</t>
  </si>
  <si>
    <t>IT01769890979</t>
  </si>
  <si>
    <t>5023.</t>
  </si>
  <si>
    <t>GIAMA SOCIETA' A RESPONSABILITA' LIMITATA IN FORMA ABBREVIATA GIAMA S.R.L.</t>
  </si>
  <si>
    <t>01719290973</t>
  </si>
  <si>
    <t>IT01719290973</t>
  </si>
  <si>
    <t>5024.</t>
  </si>
  <si>
    <t>LOBELIA S.R.L. IN LIQUIDAZIONE</t>
  </si>
  <si>
    <t>01538780972</t>
  </si>
  <si>
    <t>IT01538780972</t>
  </si>
  <si>
    <t>141000</t>
  </si>
  <si>
    <t>Prato</t>
  </si>
  <si>
    <t>Toscana</t>
  </si>
  <si>
    <t>5025.</t>
  </si>
  <si>
    <t>ESPADA S.R.L.</t>
  </si>
  <si>
    <t>02368510505</t>
  </si>
  <si>
    <t>IT02368510505</t>
  </si>
  <si>
    <t>151100</t>
  </si>
  <si>
    <t>Pisa</t>
  </si>
  <si>
    <t>n.d.</t>
  </si>
  <si>
    <t>5026.</t>
  </si>
  <si>
    <t>SKIN TEX SOCIETA' A RESPONSABILITA' LIMITATA SEMPLIFICATA</t>
  </si>
  <si>
    <t>02365550504</t>
  </si>
  <si>
    <t>IT02365550504</t>
  </si>
  <si>
    <t>5027.</t>
  </si>
  <si>
    <t>FLACCO S.R.L.</t>
  </si>
  <si>
    <t>02057030500</t>
  </si>
  <si>
    <t>IT02057030500</t>
  </si>
  <si>
    <t>5028.</t>
  </si>
  <si>
    <t>INDUSTRIA CALZATURIERA MARROS S.R.L. IN LIQUIDAZIONE</t>
  </si>
  <si>
    <t>04998640488</t>
  </si>
  <si>
    <t>IT04998640488</t>
  </si>
  <si>
    <t>152010</t>
  </si>
  <si>
    <t>5029.</t>
  </si>
  <si>
    <t>TOSCANA FASHION S.R.L.</t>
  </si>
  <si>
    <t>01566020507</t>
  </si>
  <si>
    <t>01360700478</t>
  </si>
  <si>
    <t>IT01360700478</t>
  </si>
  <si>
    <t>141310</t>
  </si>
  <si>
    <t>5030.</t>
  </si>
  <si>
    <t>EASY SHOES S.R.L.</t>
  </si>
  <si>
    <t>03623930546</t>
  </si>
  <si>
    <t>IT03623930546</t>
  </si>
  <si>
    <t>Perugia</t>
  </si>
  <si>
    <t>Umbria</t>
  </si>
  <si>
    <t>5031.</t>
  </si>
  <si>
    <t>PERUGIA CASHMERE S.R.L. IN LIQUIDAZIONE</t>
  </si>
  <si>
    <t>02743970549</t>
  </si>
  <si>
    <t>IT02743970549</t>
  </si>
  <si>
    <t>143900</t>
  </si>
  <si>
    <t>5032.</t>
  </si>
  <si>
    <t>CALZATURIFICIO MARIPE' S.R.L.</t>
  </si>
  <si>
    <t>00773320270</t>
  </si>
  <si>
    <t>IT00773320270</t>
  </si>
  <si>
    <t>Padova</t>
  </si>
  <si>
    <t>Veneto</t>
  </si>
  <si>
    <t>5033.</t>
  </si>
  <si>
    <t>ALDEGHERI GROUP S.R.L.</t>
  </si>
  <si>
    <t>05298530287</t>
  </si>
  <si>
    <t>IT05298530287</t>
  </si>
  <si>
    <t>5034.</t>
  </si>
  <si>
    <t>SEABREAKER SRL IN LIQUIDAZIONE</t>
  </si>
  <si>
    <t>04677330286</t>
  </si>
  <si>
    <t>IT04677330286</t>
  </si>
  <si>
    <t>5035.</t>
  </si>
  <si>
    <t>CONFEZIONI SANTOSTEFANO S.R.L. IN LIQUIDAZIONE</t>
  </si>
  <si>
    <t>02025080280</t>
  </si>
  <si>
    <t>IT02025080280</t>
  </si>
  <si>
    <t>5036.</t>
  </si>
  <si>
    <t>D'ANDREA COLLECTION S.R.L.</t>
  </si>
  <si>
    <t>10156371212</t>
  </si>
  <si>
    <t>IT10156371212</t>
  </si>
  <si>
    <t>Napoli</t>
  </si>
  <si>
    <t>Campania</t>
  </si>
  <si>
    <t>5037.</t>
  </si>
  <si>
    <t>JOYS S.R.L.</t>
  </si>
  <si>
    <t>10156221219</t>
  </si>
  <si>
    <t>IT10156221219</t>
  </si>
  <si>
    <t>141929</t>
  </si>
  <si>
    <t>5038.</t>
  </si>
  <si>
    <t>SDAGHER SOCIETA' A RESPONSABILITA' LIMITATA SEMPLIFICATA</t>
  </si>
  <si>
    <t>09387651210</t>
  </si>
  <si>
    <t>IT09387651210</t>
  </si>
  <si>
    <t>151209</t>
  </si>
  <si>
    <t>5039.</t>
  </si>
  <si>
    <t>SALAY FUCINE LEONARDO FIRENZE S.R.L. START-UP COSTITUITA A NORMA DELL'ART. 4 COMMA 10 BIS DEL DECRETO LEGGE 24 GENNAIO 2015 N. 3</t>
  </si>
  <si>
    <t>09044501212</t>
  </si>
  <si>
    <t>IT09044501212</t>
  </si>
  <si>
    <t>5040.</t>
  </si>
  <si>
    <t>MENTI E TALENTI SRL</t>
  </si>
  <si>
    <t>03637790365</t>
  </si>
  <si>
    <t>IT03637790365</t>
  </si>
  <si>
    <t>Modena</t>
  </si>
  <si>
    <t>Emilia-Romagna</t>
  </si>
  <si>
    <t>5041.</t>
  </si>
  <si>
    <t>STARDUST FASHION S.R.L.</t>
  </si>
  <si>
    <t>03558400366</t>
  </si>
  <si>
    <t>IT03558400366</t>
  </si>
  <si>
    <t>141910</t>
  </si>
  <si>
    <t>5042.</t>
  </si>
  <si>
    <t>EXPLORER SRL IN LIQUIDAZIONE</t>
  </si>
  <si>
    <t>02685680361</t>
  </si>
  <si>
    <t>IT02685680361</t>
  </si>
  <si>
    <t>5043.</t>
  </si>
  <si>
    <t>ATELIER FRANCO BOMBANA S.R.L.</t>
  </si>
  <si>
    <t>02238620203</t>
  </si>
  <si>
    <t>IT02238620203</t>
  </si>
  <si>
    <t>141400</t>
  </si>
  <si>
    <t>Mantova</t>
  </si>
  <si>
    <t>Lombardia</t>
  </si>
  <si>
    <t>5044.</t>
  </si>
  <si>
    <t>CALZIFICIO ALESSANDRA S.R.L.</t>
  </si>
  <si>
    <t>01450850209</t>
  </si>
  <si>
    <t>IT01450850209</t>
  </si>
  <si>
    <t>143100</t>
  </si>
  <si>
    <t>5045.</t>
  </si>
  <si>
    <t>DEMILAN.IT S.R.L. START-UP COSTITUITA A NORMA DELL'ART. 4 COMMA 10 BIS DEL DECRETO LEGGE 24 GENNAIO 2015, N. 3</t>
  </si>
  <si>
    <t>10328980965</t>
  </si>
  <si>
    <t>IT10328980965</t>
  </si>
  <si>
    <t>Milano</t>
  </si>
  <si>
    <t>5046.</t>
  </si>
  <si>
    <t>C &amp; C S.R.L.</t>
  </si>
  <si>
    <t>09155350961</t>
  </si>
  <si>
    <t>IT09155350961</t>
  </si>
  <si>
    <t>5047.</t>
  </si>
  <si>
    <t>JE M'EN FOUS S.R.L.</t>
  </si>
  <si>
    <t>08147440963</t>
  </si>
  <si>
    <t>IT08147440963</t>
  </si>
  <si>
    <t>141320</t>
  </si>
  <si>
    <t>5048.</t>
  </si>
  <si>
    <t>DELMAR S.R.L.</t>
  </si>
  <si>
    <t>11992980158</t>
  </si>
  <si>
    <t>IT11992980158</t>
  </si>
  <si>
    <t>5049.</t>
  </si>
  <si>
    <t>A.B.E. DI ALBERTARIO EMILIO S.R.L.</t>
  </si>
  <si>
    <t>04888500156</t>
  </si>
  <si>
    <t>IT04888500156</t>
  </si>
  <si>
    <t>151200</t>
  </si>
  <si>
    <t>5050.</t>
  </si>
  <si>
    <t>PETITE FLEUR S.R.L.</t>
  </si>
  <si>
    <t>00089210835</t>
  </si>
  <si>
    <t>IT00089210835</t>
  </si>
  <si>
    <t>Messina</t>
  </si>
  <si>
    <t>Sicilia</t>
  </si>
  <si>
    <t>5051.</t>
  </si>
  <si>
    <t>MOLINETTO S.R.L.</t>
  </si>
  <si>
    <t>02088780438</t>
  </si>
  <si>
    <t>IT02088780438</t>
  </si>
  <si>
    <t>152020</t>
  </si>
  <si>
    <t>Macerata</t>
  </si>
  <si>
    <t>Marche</t>
  </si>
  <si>
    <t>5052.</t>
  </si>
  <si>
    <t>LELE &amp; C. SRLS A SOCIO UNICO SOCIETA' A RESPONSABILITA' LIMITATA SEMPLIFICATA</t>
  </si>
  <si>
    <t>01807900434</t>
  </si>
  <si>
    <t>IT01807900434</t>
  </si>
  <si>
    <t>5053.</t>
  </si>
  <si>
    <t>G.P. SRL</t>
  </si>
  <si>
    <t>01499740437</t>
  </si>
  <si>
    <t>IT01499740437</t>
  </si>
  <si>
    <t>5054.</t>
  </si>
  <si>
    <t>ERISAR S.R.L.</t>
  </si>
  <si>
    <t>01487220434</t>
  </si>
  <si>
    <t>IT01487220434</t>
  </si>
  <si>
    <t>5055.</t>
  </si>
  <si>
    <t>FORNARI S.R.L. IN LIQUIDAZIONE</t>
  </si>
  <si>
    <t>00317320430</t>
  </si>
  <si>
    <t>IT00317320430</t>
  </si>
  <si>
    <t>5056.</t>
  </si>
  <si>
    <t>CONCERIA DEL CHIENTI S.P.A. - IN LIQUIDAZIONE</t>
  </si>
  <si>
    <t>00083220434</t>
  </si>
  <si>
    <t>IT00083220434</t>
  </si>
  <si>
    <t>151100</t>
  </si>
  <si>
    <t>Macerata</t>
  </si>
  <si>
    <t>Marche</t>
  </si>
  <si>
    <t>n.d.</t>
  </si>
  <si>
    <t>5057.</t>
  </si>
  <si>
    <t>TECNOSUOLE S.R.L. IN LIQUIDAZIONE</t>
  </si>
  <si>
    <t>03619430758</t>
  </si>
  <si>
    <t>IT03619430758</t>
  </si>
  <si>
    <t>152000</t>
  </si>
  <si>
    <t>Lecce</t>
  </si>
  <si>
    <t>Puglia</t>
  </si>
  <si>
    <t>5058.</t>
  </si>
  <si>
    <t>FILANTO S.R.L. IN LIQUIDAZIONE</t>
  </si>
  <si>
    <t>02084790753</t>
  </si>
  <si>
    <t>IT02084790753</t>
  </si>
  <si>
    <t>152010</t>
  </si>
  <si>
    <t>5059.</t>
  </si>
  <si>
    <t>WMC S.R.L.</t>
  </si>
  <si>
    <t>04030580130</t>
  </si>
  <si>
    <t>IT04030580130</t>
  </si>
  <si>
    <t>141310</t>
  </si>
  <si>
    <t>Lecco</t>
  </si>
  <si>
    <t>Lombardia</t>
  </si>
  <si>
    <t>5060.</t>
  </si>
  <si>
    <t>DIVE DIFFERENT S.R.L.</t>
  </si>
  <si>
    <t>00941500944</t>
  </si>
  <si>
    <t>IT00941500944</t>
  </si>
  <si>
    <t>141910</t>
  </si>
  <si>
    <t>Isernia</t>
  </si>
  <si>
    <t>Molise</t>
  </si>
  <si>
    <t>5061.</t>
  </si>
  <si>
    <t>ALOFRA S.R.L.</t>
  </si>
  <si>
    <t>03049620606</t>
  </si>
  <si>
    <t>IT03049620606</t>
  </si>
  <si>
    <t>Frosinone</t>
  </si>
  <si>
    <t>Lazio</t>
  </si>
  <si>
    <t>5062.</t>
  </si>
  <si>
    <t>3 JUIN S.R.L.</t>
  </si>
  <si>
    <t>04607000405</t>
  </si>
  <si>
    <t>IT04607000405</t>
  </si>
  <si>
    <t>Forlì-Cesena</t>
  </si>
  <si>
    <t>Emilia-Romagna</t>
  </si>
  <si>
    <t>5063.</t>
  </si>
  <si>
    <t>X BACCO S.R.L - IN LIQUIDAZIONE</t>
  </si>
  <si>
    <t>01608880447</t>
  </si>
  <si>
    <t>IT01608880447</t>
  </si>
  <si>
    <t>Fermo</t>
  </si>
  <si>
    <t>5064.</t>
  </si>
  <si>
    <t>IULSARAK S.R.L.</t>
  </si>
  <si>
    <t>07128410482</t>
  </si>
  <si>
    <t>IT07128410482</t>
  </si>
  <si>
    <t>141929</t>
  </si>
  <si>
    <t>Firenze</t>
  </si>
  <si>
    <t>Toscana</t>
  </si>
  <si>
    <t>5065.</t>
  </si>
  <si>
    <t>DONNE PELLETTIERE SOCIETA' A RESPONSABILITA' LIMITATA SEMPLIFICAT A</t>
  </si>
  <si>
    <t>06597150488</t>
  </si>
  <si>
    <t>IT06597150488</t>
  </si>
  <si>
    <t>151209</t>
  </si>
  <si>
    <t>5066.</t>
  </si>
  <si>
    <t>F.R.M. GROUP S.R.L.</t>
  </si>
  <si>
    <t>04727970487</t>
  </si>
  <si>
    <t>IT04727970487</t>
  </si>
  <si>
    <t>141400</t>
  </si>
  <si>
    <t>5067.</t>
  </si>
  <si>
    <t>POURQUOIME S.R.L.</t>
  </si>
  <si>
    <t>01768680702</t>
  </si>
  <si>
    <t>IT01768680702</t>
  </si>
  <si>
    <t>Foggia</t>
  </si>
  <si>
    <t>5068.</t>
  </si>
  <si>
    <t>GIUDICE INDUSTRIA CONFEZIONI S.R.L. IN LIQUIDAZIONE</t>
  </si>
  <si>
    <t>00096910864</t>
  </si>
  <si>
    <t>IT00096910864</t>
  </si>
  <si>
    <t>Enna</t>
  </si>
  <si>
    <t>Sicilia</t>
  </si>
  <si>
    <t>5069.</t>
  </si>
  <si>
    <t>SA.GI. S.R.L.</t>
  </si>
  <si>
    <t>02085700785</t>
  </si>
  <si>
    <t>IT02085700785</t>
  </si>
  <si>
    <t>Cosenza</t>
  </si>
  <si>
    <t>Calabria</t>
  </si>
  <si>
    <t>5070.</t>
  </si>
  <si>
    <t>ARCHETIPI SOCIETA' A RESPONSABILITA' LIMITATA SEMPLIFICATA</t>
  </si>
  <si>
    <t>02707750697</t>
  </si>
  <si>
    <t>IT02707750697</t>
  </si>
  <si>
    <t>Chieti</t>
  </si>
  <si>
    <t>Abruzzo</t>
  </si>
  <si>
    <t>5071.</t>
  </si>
  <si>
    <t>SIXTY S.P.A.</t>
  </si>
  <si>
    <t>00808920672</t>
  </si>
  <si>
    <t>01238070682</t>
  </si>
  <si>
    <t>IT01238070682</t>
  </si>
  <si>
    <t>141000</t>
  </si>
  <si>
    <t>5072.</t>
  </si>
  <si>
    <t>DAVIDE CORPORATION S.R.L.</t>
  </si>
  <si>
    <t>03726260619</t>
  </si>
  <si>
    <t>IT03726260619</t>
  </si>
  <si>
    <t>Caserta</t>
  </si>
  <si>
    <t>Campania</t>
  </si>
  <si>
    <t>5073.</t>
  </si>
  <si>
    <t>CALZATURIFICIO CO.RAF. SOCIETA' A RESPONSABILITA' LIMITATA IN SIGLA CALZATURIFICIO CO.RAF. S.R.L.</t>
  </si>
  <si>
    <t>02691250613</t>
  </si>
  <si>
    <t>IT02691250613</t>
  </si>
  <si>
    <t>5074.</t>
  </si>
  <si>
    <t>G.R.C. CONFEZIONI - SOCIETA' A RESPONSABILITA' LIMITATA</t>
  </si>
  <si>
    <t>02495560613</t>
  </si>
  <si>
    <t>IT02495560613</t>
  </si>
  <si>
    <t>5075.</t>
  </si>
  <si>
    <t>GI.PI. - S.R.L.</t>
  </si>
  <si>
    <t>01779110616</t>
  </si>
  <si>
    <t>IT01779110616</t>
  </si>
  <si>
    <t>5076.</t>
  </si>
  <si>
    <t>I.P.F. COMPANY S.R.L.</t>
  </si>
  <si>
    <t>01701070706</t>
  </si>
  <si>
    <t>IT01701070706</t>
  </si>
  <si>
    <t>Campobasso</t>
  </si>
  <si>
    <t>5077.</t>
  </si>
  <si>
    <t>NEMAR S.R.L. IN LIQUIDAZIONE</t>
  </si>
  <si>
    <t>00656530987</t>
  </si>
  <si>
    <t>01813970173</t>
  </si>
  <si>
    <t>IT01813970173</t>
  </si>
  <si>
    <t>143100</t>
  </si>
  <si>
    <t>Brescia</t>
  </si>
  <si>
    <t>5078.</t>
  </si>
  <si>
    <t>IL GABBIANO S.R.L. IN LIQUIDAZIONE</t>
  </si>
  <si>
    <t>01603790179</t>
  </si>
  <si>
    <t>00301630190</t>
  </si>
  <si>
    <t>IT00301630190</t>
  </si>
  <si>
    <t>143900</t>
  </si>
  <si>
    <t>5079.</t>
  </si>
  <si>
    <t>GRUPPO MANERBIESI S.R.L. IN LIQUIDAZIONE</t>
  </si>
  <si>
    <t>00549700987</t>
  </si>
  <si>
    <t>00282960178</t>
  </si>
  <si>
    <t>IT00282960178</t>
  </si>
  <si>
    <t>5080.</t>
  </si>
  <si>
    <t>CAM S.R.L.</t>
  </si>
  <si>
    <t>01649770748</t>
  </si>
  <si>
    <t>IT01649770748</t>
  </si>
  <si>
    <t>Brindisi</t>
  </si>
  <si>
    <t>5081.</t>
  </si>
  <si>
    <t>BIEMME LICENSING S.R.L.</t>
  </si>
  <si>
    <t>03289300968</t>
  </si>
  <si>
    <t>IT03289300968</t>
  </si>
  <si>
    <t>Bologna</t>
  </si>
  <si>
    <t>5082.</t>
  </si>
  <si>
    <t>ROBIZ S.R.L. IN LIQUIDAZIONE</t>
  </si>
  <si>
    <t>04014140372</t>
  </si>
  <si>
    <t>IT04014140372</t>
  </si>
  <si>
    <t>5083.</t>
  </si>
  <si>
    <t>GANDINO S.R.L.</t>
  </si>
  <si>
    <t>03979400169</t>
  </si>
  <si>
    <t>IT03979400169</t>
  </si>
  <si>
    <t>141320</t>
  </si>
  <si>
    <t>Bergamo</t>
  </si>
  <si>
    <t>5084.</t>
  </si>
  <si>
    <t>TRUZZI 1890 S.R.L.</t>
  </si>
  <si>
    <t>08566000728</t>
  </si>
  <si>
    <t>IT08566000728</t>
  </si>
  <si>
    <t>Bari</t>
  </si>
  <si>
    <t>5085.</t>
  </si>
  <si>
    <t>LIGNI SRLS</t>
  </si>
  <si>
    <t>08425400721</t>
  </si>
  <si>
    <t>IT08425400721</t>
  </si>
  <si>
    <t>Barletta-Andria-Trani</t>
  </si>
  <si>
    <t>5086.</t>
  </si>
  <si>
    <t>CARNEVALE S.R.L.</t>
  </si>
  <si>
    <t>05338580722</t>
  </si>
  <si>
    <t>IT05338580722</t>
  </si>
  <si>
    <t>5087.</t>
  </si>
  <si>
    <t>DADDY S.R.L.</t>
  </si>
  <si>
    <t>04522460726</t>
  </si>
  <si>
    <t>IT04522460726</t>
  </si>
  <si>
    <t>5088.</t>
  </si>
  <si>
    <t>I.C.A.P. S.R.L.</t>
  </si>
  <si>
    <t>03899440725</t>
  </si>
  <si>
    <t>IT03899440725</t>
  </si>
  <si>
    <t>141000</t>
  </si>
  <si>
    <t>Bari</t>
  </si>
  <si>
    <t>Puglia</t>
  </si>
  <si>
    <t>5089.</t>
  </si>
  <si>
    <t>CONFEZIONI PUTIGNANESI S.R.L.</t>
  </si>
  <si>
    <t>03380570725</t>
  </si>
  <si>
    <t>IT03380570725</t>
  </si>
  <si>
    <t>141310</t>
  </si>
  <si>
    <t>n.d.</t>
  </si>
  <si>
    <t>5090.</t>
  </si>
  <si>
    <t>LEATHERCHIM S.R.L.</t>
  </si>
  <si>
    <t>02988370645</t>
  </si>
  <si>
    <t>IT02988370645</t>
  </si>
  <si>
    <t>151100</t>
  </si>
  <si>
    <t>Avellino</t>
  </si>
  <si>
    <t>Campania</t>
  </si>
  <si>
    <t>5091.</t>
  </si>
  <si>
    <t>JOY ITALIA S.R.L. SEMPLIFICATA UNIPERSONALE</t>
  </si>
  <si>
    <t>02845580642</t>
  </si>
  <si>
    <t>IT02845580642</t>
  </si>
  <si>
    <t>151209</t>
  </si>
  <si>
    <t>5092.</t>
  </si>
  <si>
    <t>SEVEN STARS GROUP S.P.A., IN LIQUIDAZIONE</t>
  </si>
  <si>
    <t>02070310640</t>
  </si>
  <si>
    <t>04586181002</t>
  </si>
  <si>
    <t>IT04586181002</t>
  </si>
  <si>
    <t>5093.</t>
  </si>
  <si>
    <t>CONFEZIONI KETY S.R.L.</t>
  </si>
  <si>
    <t>01705910519</t>
  </si>
  <si>
    <t>IT01705910519</t>
  </si>
  <si>
    <t>Arezzo</t>
  </si>
  <si>
    <t>Toscana</t>
  </si>
  <si>
    <t>5094.</t>
  </si>
  <si>
    <t>SPLENDORPLAST - S.R.L. IN LIQUIDAZIONE</t>
  </si>
  <si>
    <t>00423970425</t>
  </si>
  <si>
    <t>IT00423970425</t>
  </si>
  <si>
    <t>152020</t>
  </si>
  <si>
    <t>Ancona</t>
  </si>
  <si>
    <t>Marche</t>
  </si>
  <si>
    <t>5095.</t>
  </si>
  <si>
    <t>ITTIERRE - SOCIETA' PER AZIONI</t>
  </si>
  <si>
    <t>00230890949</t>
  </si>
  <si>
    <t>IT00230890949</t>
  </si>
  <si>
    <t>141300</t>
  </si>
  <si>
    <t>Isernia</t>
  </si>
  <si>
    <t>Molise</t>
  </si>
  <si>
    <t>5096.</t>
  </si>
  <si>
    <t>OBER ALP S.P.A.</t>
  </si>
  <si>
    <t>00122250210</t>
  </si>
  <si>
    <t>IT00122250210</t>
  </si>
  <si>
    <t>143900</t>
  </si>
  <si>
    <t>Bolzano/Bozen</t>
  </si>
  <si>
    <t>Trentino-Alto Adige/Südtirol</t>
  </si>
  <si>
    <t>5097.</t>
  </si>
  <si>
    <t>MARGIELA S.A.S.</t>
  </si>
  <si>
    <t>09853130962</t>
  </si>
  <si>
    <t>IT09853130962</t>
  </si>
  <si>
    <t>141910</t>
  </si>
  <si>
    <t>Milano</t>
  </si>
  <si>
    <t>Lombardia</t>
  </si>
  <si>
    <t>5098.</t>
  </si>
  <si>
    <t>MALO - SOCIETA' PER AZIONI</t>
  </si>
  <si>
    <t>04872270485</t>
  </si>
  <si>
    <t>00642580484</t>
  </si>
  <si>
    <t>IT00642580484</t>
  </si>
  <si>
    <t>5099.</t>
  </si>
  <si>
    <t>GGDB / IFT S.R.L</t>
  </si>
  <si>
    <t>05247300758</t>
  </si>
  <si>
    <t>IT05247300758</t>
  </si>
  <si>
    <t>152010</t>
  </si>
  <si>
    <t>Lecce</t>
  </si>
  <si>
    <t>5100.</t>
  </si>
  <si>
    <t>PROPS SRL</t>
  </si>
  <si>
    <t>02497290243</t>
  </si>
  <si>
    <t>IT02497290243</t>
  </si>
  <si>
    <t>Vicenza</t>
  </si>
  <si>
    <t>Veneto</t>
  </si>
  <si>
    <t>5101.</t>
  </si>
  <si>
    <t>MELLUSO S.R.L.</t>
  </si>
  <si>
    <t>01239041211</t>
  </si>
  <si>
    <t>00284190634</t>
  </si>
  <si>
    <t>IT00284190634</t>
  </si>
  <si>
    <t>Napoli</t>
  </si>
  <si>
    <t>5102.</t>
  </si>
  <si>
    <t>BROMA S.R.L.</t>
  </si>
  <si>
    <t>05176800489</t>
  </si>
  <si>
    <t>IT05176800489</t>
  </si>
  <si>
    <t>Firenze</t>
  </si>
  <si>
    <t>5103.</t>
  </si>
  <si>
    <t>I MAESTRI ARTIGIANI S.R.L.</t>
  </si>
  <si>
    <t>03008741211</t>
  </si>
  <si>
    <t>IT03008741211</t>
  </si>
  <si>
    <t>141100</t>
  </si>
  <si>
    <t>5104.</t>
  </si>
  <si>
    <t>MONDEOX SRL</t>
  </si>
  <si>
    <t>05424420262</t>
  </si>
  <si>
    <t>IT05424420262</t>
  </si>
  <si>
    <t>Treviso</t>
  </si>
  <si>
    <t>5105.</t>
  </si>
  <si>
    <t>SUOLIFICIO VENEZIANO S.R.L.</t>
  </si>
  <si>
    <t>01995850276</t>
  </si>
  <si>
    <t>IT01995850276</t>
  </si>
  <si>
    <t>Venezia</t>
  </si>
  <si>
    <t>5106.</t>
  </si>
  <si>
    <t>BARBATO SRL</t>
  </si>
  <si>
    <t>04784860274</t>
  </si>
  <si>
    <t>IT04784860274</t>
  </si>
  <si>
    <t>5107.</t>
  </si>
  <si>
    <t>ALFA S.R.L.</t>
  </si>
  <si>
    <t>02533450272</t>
  </si>
  <si>
    <t>IT02533450272</t>
  </si>
  <si>
    <t>5108.</t>
  </si>
  <si>
    <t>CUOIFICIO TOSCANO S.R.L.</t>
  </si>
  <si>
    <t>00152340501</t>
  </si>
  <si>
    <t>IT00152340501</t>
  </si>
  <si>
    <t>Pisa</t>
  </si>
  <si>
    <t>5109.</t>
  </si>
  <si>
    <t>MAGLIFICIO BARBARA S.R.L. IN LIQUIDAZIONE -</t>
  </si>
  <si>
    <t>02526630120</t>
  </si>
  <si>
    <t>IT02526630120</t>
  </si>
  <si>
    <t>143000</t>
  </si>
  <si>
    <t>Varese</t>
  </si>
  <si>
    <t>5110.</t>
  </si>
  <si>
    <t>HOUSE OF HAUTE S.R.L.</t>
  </si>
  <si>
    <t>01747501201</t>
  </si>
  <si>
    <t>04025640378</t>
  </si>
  <si>
    <t>IT04025640378</t>
  </si>
  <si>
    <t>Bologna</t>
  </si>
  <si>
    <t>Emilia-Romagna</t>
  </si>
  <si>
    <t>5111.</t>
  </si>
  <si>
    <t>IT HOLDING S.P.A.</t>
  </si>
  <si>
    <t>00383950946</t>
  </si>
  <si>
    <t>IT00383950946</t>
  </si>
  <si>
    <t>5112.</t>
  </si>
  <si>
    <t>ANTORAF UNIPERSONALE SRL O ANTORAF SRL</t>
  </si>
  <si>
    <t>02520240447</t>
  </si>
  <si>
    <t>IT02520240447</t>
  </si>
  <si>
    <t>Fermo</t>
  </si>
  <si>
    <t>5113.</t>
  </si>
  <si>
    <t>THE FLEXX S.P.A.</t>
  </si>
  <si>
    <t>01375970470</t>
  </si>
  <si>
    <t>IT01375970470</t>
  </si>
  <si>
    <t>Pistoia</t>
  </si>
  <si>
    <t>5114.</t>
  </si>
  <si>
    <t>IDEAL SUOLE S.R.L.</t>
  </si>
  <si>
    <t>01232110443</t>
  </si>
  <si>
    <t>IT01232110443</t>
  </si>
  <si>
    <t>5115.</t>
  </si>
  <si>
    <t>OSSYGENO S.R.L.</t>
  </si>
  <si>
    <t>01810491207</t>
  </si>
  <si>
    <t>11954320153</t>
  </si>
  <si>
    <t>IT11954320153</t>
  </si>
  <si>
    <t>5116.</t>
  </si>
  <si>
    <t>TEODORI S.A.S. DI TEODORI ALESSANDRO &amp; C.</t>
  </si>
  <si>
    <t>00450650429</t>
  </si>
  <si>
    <t>00505080549</t>
  </si>
  <si>
    <t>IT00505080549</t>
  </si>
  <si>
    <t>5117.</t>
  </si>
  <si>
    <t>S.A.F. RAIN BOOTS SOCIETA' A RESPONSABILITA' LIMITATA</t>
  </si>
  <si>
    <t>03026000343</t>
  </si>
  <si>
    <t>IT03026000343</t>
  </si>
  <si>
    <t>Parma</t>
  </si>
  <si>
    <t>5118.</t>
  </si>
  <si>
    <t>NOSTAR S.R.L.</t>
  </si>
  <si>
    <t>01313330449</t>
  </si>
  <si>
    <t>IT01313330449</t>
  </si>
  <si>
    <t>Ascoli Piceno</t>
  </si>
  <si>
    <t>5119.</t>
  </si>
  <si>
    <t>MAGLIFICIO ADELE SOCIETA' COOPERATIVA IN SIGLA MA SOC. COOP.</t>
  </si>
  <si>
    <t>00534741202</t>
  </si>
  <si>
    <t>01140130376</t>
  </si>
  <si>
    <t>IT01140130376</t>
  </si>
  <si>
    <t>5120.</t>
  </si>
  <si>
    <t>SERENA CECCHINI DESIGN S.R.L.</t>
  </si>
  <si>
    <t>02371560463</t>
  </si>
  <si>
    <t>IT02371560463</t>
  </si>
  <si>
    <t>151209</t>
  </si>
  <si>
    <t>Lucca</t>
  </si>
  <si>
    <t>Toscana</t>
  </si>
  <si>
    <t>n.d.</t>
  </si>
  <si>
    <t>5121.</t>
  </si>
  <si>
    <t>ITALTEX S.R.L.</t>
  </si>
  <si>
    <t>02235420748</t>
  </si>
  <si>
    <t>IT02235420748</t>
  </si>
  <si>
    <t>141400</t>
  </si>
  <si>
    <t>Brindisi</t>
  </si>
  <si>
    <t>Puglia</t>
  </si>
  <si>
    <t>5122.</t>
  </si>
  <si>
    <t>ENTERPRISE S.R.L.</t>
  </si>
  <si>
    <t>03309790289</t>
  </si>
  <si>
    <t>IT03309790289</t>
  </si>
  <si>
    <t>Padova</t>
  </si>
  <si>
    <t>Veneto</t>
  </si>
  <si>
    <t>5123.</t>
  </si>
  <si>
    <t>THIMECO S.R.L.</t>
  </si>
  <si>
    <t>04445300249</t>
  </si>
  <si>
    <t>IT04445300249</t>
  </si>
  <si>
    <t>151100</t>
  </si>
  <si>
    <t>Vicenza</t>
  </si>
  <si>
    <t>5124.</t>
  </si>
  <si>
    <t>ITALIAN LAB - SOCIETA' A RESPONSABILITA' LIMITATA</t>
  </si>
  <si>
    <t>08640061001</t>
  </si>
  <si>
    <t>IT08640061001</t>
  </si>
  <si>
    <t>143900</t>
  </si>
  <si>
    <t>Roma</t>
  </si>
  <si>
    <t>Lazio</t>
  </si>
  <si>
    <t>5125.</t>
  </si>
  <si>
    <t>TIP TAP FACTORY S.R.L.</t>
  </si>
  <si>
    <t>02519720441</t>
  </si>
  <si>
    <t>IT02519720441</t>
  </si>
  <si>
    <t>152010</t>
  </si>
  <si>
    <t>Fermo</t>
  </si>
  <si>
    <t>Marche</t>
  </si>
  <si>
    <t>5126.</t>
  </si>
  <si>
    <t>MODAIMPRESA SRL</t>
  </si>
  <si>
    <t>00938990942</t>
  </si>
  <si>
    <t>IT00938990942</t>
  </si>
  <si>
    <t>141310</t>
  </si>
  <si>
    <t>Isernia</t>
  </si>
  <si>
    <t>Molise</t>
  </si>
  <si>
    <t>5127.</t>
  </si>
  <si>
    <t>2SFT JEANS&amp;SPORTWEAR SRL</t>
  </si>
  <si>
    <t>05109070655</t>
  </si>
  <si>
    <t>IT05109070655</t>
  </si>
  <si>
    <t>Salerno</t>
  </si>
  <si>
    <t>Campania</t>
  </si>
  <si>
    <t>5128.</t>
  </si>
  <si>
    <t>LINEA ADANI S.R.L.</t>
  </si>
  <si>
    <t>03099330361</t>
  </si>
  <si>
    <t>IT03099330361</t>
  </si>
  <si>
    <t>Modena</t>
  </si>
  <si>
    <t>Emilia-Romagna</t>
  </si>
  <si>
    <t>5129.</t>
  </si>
  <si>
    <t>PRO-MAC S.R.L.</t>
  </si>
  <si>
    <t>03915170264</t>
  </si>
  <si>
    <t>IT03915170264</t>
  </si>
  <si>
    <t>141910</t>
  </si>
  <si>
    <t>Treviso</t>
  </si>
  <si>
    <t>5130.</t>
  </si>
  <si>
    <t>LUISA POSITANO S.R.L.</t>
  </si>
  <si>
    <t>04566190650</t>
  </si>
  <si>
    <t>IT04566190650</t>
  </si>
  <si>
    <t>141000</t>
  </si>
  <si>
    <t>5131.</t>
  </si>
  <si>
    <t>GOOD COMPANY S.R.L.</t>
  </si>
  <si>
    <t>08508090969</t>
  </si>
  <si>
    <t>IT08508090969</t>
  </si>
  <si>
    <t>Monza e della Brianza</t>
  </si>
  <si>
    <t>Lombardia</t>
  </si>
  <si>
    <t>5132.</t>
  </si>
  <si>
    <t>THE HUB S.R.L.</t>
  </si>
  <si>
    <t>08750080965</t>
  </si>
  <si>
    <t>IT08750080965</t>
  </si>
  <si>
    <t>5133.</t>
  </si>
  <si>
    <t>UNEVEN SRL</t>
  </si>
  <si>
    <t>02840510420</t>
  </si>
  <si>
    <t>IT02840510420</t>
  </si>
  <si>
    <t>Ancona</t>
  </si>
  <si>
    <t>5134.</t>
  </si>
  <si>
    <t>C.M.P. SRL</t>
  </si>
  <si>
    <t>04049490362</t>
  </si>
  <si>
    <t>IT04049490362</t>
  </si>
  <si>
    <t>5135.</t>
  </si>
  <si>
    <t>PENAZZATO UBALDINO &amp; C. S.R.L.</t>
  </si>
  <si>
    <t>04157450273</t>
  </si>
  <si>
    <t>IT04157450273</t>
  </si>
  <si>
    <t>152020</t>
  </si>
  <si>
    <t>Venezia</t>
  </si>
  <si>
    <t>5136.</t>
  </si>
  <si>
    <t>WAIP WE ARE ITALIAN PEOPLE S.R.L.</t>
  </si>
  <si>
    <t>02620090247</t>
  </si>
  <si>
    <t>IT02620090247</t>
  </si>
  <si>
    <t>5137.</t>
  </si>
  <si>
    <t>CALZATURIFICI RIUNITI MARCHIGIANI SRL</t>
  </si>
  <si>
    <t>01092850435</t>
  </si>
  <si>
    <t>IT01092850435</t>
  </si>
  <si>
    <t>151200</t>
  </si>
  <si>
    <t>Macerata</t>
  </si>
  <si>
    <t>5138.</t>
  </si>
  <si>
    <t>SAVODA S.R.L.</t>
  </si>
  <si>
    <t>01272130244</t>
  </si>
  <si>
    <t>IT01272130244</t>
  </si>
  <si>
    <t>5139.</t>
  </si>
  <si>
    <t>COOPERATIVA POLESANA ABBIGLIAMENTO SOCIETA' COOPERATIVA</t>
  </si>
  <si>
    <t>00043210293</t>
  </si>
  <si>
    <t>IT00043210293</t>
  </si>
  <si>
    <t>Rovigo</t>
  </si>
  <si>
    <t>5140.</t>
  </si>
  <si>
    <t>INFANTINO S.R.L. DI RUBEN &amp; CRISTIAN</t>
  </si>
  <si>
    <t>06380180825</t>
  </si>
  <si>
    <t>IT06380180825</t>
  </si>
  <si>
    <t>141320</t>
  </si>
  <si>
    <t>Palermo</t>
  </si>
  <si>
    <t>Sicilia</t>
  </si>
  <si>
    <t>5141.</t>
  </si>
  <si>
    <t>SOCIETA' ANONIMA CAPPELLAI S.R.L. IN LIQUIDAZIONE</t>
  </si>
  <si>
    <t>00151340023</t>
  </si>
  <si>
    <t>IT00151340023</t>
  </si>
  <si>
    <t>Milano</t>
  </si>
  <si>
    <t>5142.</t>
  </si>
  <si>
    <t>G.F.G. S.R.L.</t>
  </si>
  <si>
    <t>01633060676</t>
  </si>
  <si>
    <t>IT01633060676</t>
  </si>
  <si>
    <t>Teramo</t>
  </si>
  <si>
    <t>Abruzzo</t>
  </si>
  <si>
    <t>5143.</t>
  </si>
  <si>
    <t>ATHENA S.R.L.</t>
  </si>
  <si>
    <t>03548820236</t>
  </si>
  <si>
    <t>IT03548820236</t>
  </si>
  <si>
    <t>Verona</t>
  </si>
  <si>
    <t>5144.</t>
  </si>
  <si>
    <t>NANNINI GROUP S.R.L.</t>
  </si>
  <si>
    <t>02184850515</t>
  </si>
  <si>
    <t>IT02184850515</t>
  </si>
  <si>
    <t>Arezzo</t>
  </si>
  <si>
    <t>5145.</t>
  </si>
  <si>
    <t>FACENTI &amp; SONS SRL</t>
  </si>
  <si>
    <t>04466560986</t>
  </si>
  <si>
    <t>IT04466560986</t>
  </si>
  <si>
    <t>143100</t>
  </si>
  <si>
    <t>Brescia</t>
  </si>
  <si>
    <t>5146.</t>
  </si>
  <si>
    <t>EFFE GROUP S.R.L.</t>
  </si>
  <si>
    <t>07484760728</t>
  </si>
  <si>
    <t>IT07484760728</t>
  </si>
  <si>
    <t>Barletta-Andria-Trani</t>
  </si>
  <si>
    <t>5147.</t>
  </si>
  <si>
    <t>BASE S.R.L.</t>
  </si>
  <si>
    <t>01926200245</t>
  </si>
  <si>
    <t>IT01926200245</t>
  </si>
  <si>
    <t>5148.</t>
  </si>
  <si>
    <t>GRUPPO MARMAS S.R.L.</t>
  </si>
  <si>
    <t>04681970655</t>
  </si>
  <si>
    <t>IT04681970655</t>
  </si>
  <si>
    <t>Cosenza</t>
  </si>
  <si>
    <t>Calabria</t>
  </si>
  <si>
    <t>5149.</t>
  </si>
  <si>
    <t>CIMICI S.R.L.</t>
  </si>
  <si>
    <t>01813380449</t>
  </si>
  <si>
    <t>IT01813380449</t>
  </si>
  <si>
    <t>5150.</t>
  </si>
  <si>
    <t>NEW FASHION S.R.L.</t>
  </si>
  <si>
    <t>03887201212</t>
  </si>
  <si>
    <t>IT03887201212</t>
  </si>
  <si>
    <t>Napoli</t>
  </si>
  <si>
    <t>5151.</t>
  </si>
  <si>
    <t>GIOSA S.R.L.</t>
  </si>
  <si>
    <t>08910100968</t>
  </si>
  <si>
    <t>IT08910100968</t>
  </si>
  <si>
    <t>5152.</t>
  </si>
  <si>
    <t>VOGUE S.R.L.</t>
  </si>
  <si>
    <t>00907110290</t>
  </si>
  <si>
    <t>IT00907110290</t>
  </si>
  <si>
    <t>143900</t>
  </si>
  <si>
    <t>Rovigo</t>
  </si>
  <si>
    <t>Veneto</t>
  </si>
  <si>
    <t>n.d.</t>
  </si>
  <si>
    <t>5153.</t>
  </si>
  <si>
    <t>IPAK PU S.R.L. IN LIQUIDAZIONE</t>
  </si>
  <si>
    <t>00941910432</t>
  </si>
  <si>
    <t>IT00941910432</t>
  </si>
  <si>
    <t>152010</t>
  </si>
  <si>
    <t>Macerata</t>
  </si>
  <si>
    <t>Marche</t>
  </si>
  <si>
    <t>5154.</t>
  </si>
  <si>
    <t>EUROMODEL S.R.L.</t>
  </si>
  <si>
    <t>03642300234</t>
  </si>
  <si>
    <t>IT03642300234</t>
  </si>
  <si>
    <t>Verona</t>
  </si>
  <si>
    <t>5155.</t>
  </si>
  <si>
    <t>CALZATURIFICIO BRENDA - S.R.L.</t>
  </si>
  <si>
    <t>00374550507</t>
  </si>
  <si>
    <t>IT00374550507</t>
  </si>
  <si>
    <t>152000</t>
  </si>
  <si>
    <t>Pisa</t>
  </si>
  <si>
    <t>Toscana</t>
  </si>
  <si>
    <t>5156.</t>
  </si>
  <si>
    <t>NEBULONI EUGENIO SRL</t>
  </si>
  <si>
    <t>08003140152</t>
  </si>
  <si>
    <t>IT08003140152</t>
  </si>
  <si>
    <t>Milano</t>
  </si>
  <si>
    <t>Lombardia</t>
  </si>
  <si>
    <t>5157.</t>
  </si>
  <si>
    <t>CALZATURIFICIO SANGIUSTESE 2A S.R.L.</t>
  </si>
  <si>
    <t>01528230434</t>
  </si>
  <si>
    <t>IT01528230434</t>
  </si>
  <si>
    <t>5158.</t>
  </si>
  <si>
    <t>MANIFATTURA VENETA S.R.L.</t>
  </si>
  <si>
    <t>04472490244</t>
  </si>
  <si>
    <t>IT04472490244</t>
  </si>
  <si>
    <t>141310</t>
  </si>
  <si>
    <t>Vicenza</t>
  </si>
  <si>
    <t>5159.</t>
  </si>
  <si>
    <t>SARAH S.R.L.</t>
  </si>
  <si>
    <t>01442730444</t>
  </si>
  <si>
    <t>IT01442730444</t>
  </si>
  <si>
    <t>Fermo</t>
  </si>
  <si>
    <t>5160.</t>
  </si>
  <si>
    <t>APAS CONFEZIONI DONNA SRL</t>
  </si>
  <si>
    <t>01345940421</t>
  </si>
  <si>
    <t>01071590432</t>
  </si>
  <si>
    <t>IT01071590432</t>
  </si>
  <si>
    <t>141910</t>
  </si>
  <si>
    <t>Ancona</t>
  </si>
  <si>
    <t>5161.</t>
  </si>
  <si>
    <t>HETTABRETZ S.R.L. IN LIQUIDAZIONE</t>
  </si>
  <si>
    <t>00317240372</t>
  </si>
  <si>
    <t>IT00317240372</t>
  </si>
  <si>
    <t>141100</t>
  </si>
  <si>
    <t>Bologna</t>
  </si>
  <si>
    <t>Emilia-Romagna</t>
  </si>
  <si>
    <t>5162.</t>
  </si>
  <si>
    <t>MAGLIERIE EMMEVU COTTON S.R.L.</t>
  </si>
  <si>
    <t>00619850548</t>
  </si>
  <si>
    <t>IT00619850548</t>
  </si>
  <si>
    <t>Perugia</t>
  </si>
  <si>
    <t>Umbria</t>
  </si>
  <si>
    <t>5163.</t>
  </si>
  <si>
    <t>MINA FASHION S.R.L.</t>
  </si>
  <si>
    <t>05337771215</t>
  </si>
  <si>
    <t>IT05337771215</t>
  </si>
  <si>
    <t>141000</t>
  </si>
  <si>
    <t>Napoli</t>
  </si>
  <si>
    <t>Campania</t>
  </si>
  <si>
    <t>5164.</t>
  </si>
  <si>
    <t>PGH S.R.L.</t>
  </si>
  <si>
    <t>02676040419</t>
  </si>
  <si>
    <t>IT02676040419</t>
  </si>
  <si>
    <t>151209</t>
  </si>
  <si>
    <t>Pesaro e Urbino</t>
  </si>
  <si>
    <t>5165.</t>
  </si>
  <si>
    <t>SIMO S.R.L. UNIPERSONALE</t>
  </si>
  <si>
    <t>01698470380</t>
  </si>
  <si>
    <t>IT01698470380</t>
  </si>
  <si>
    <t>141929</t>
  </si>
  <si>
    <t>Ferrara</t>
  </si>
  <si>
    <t>5166.</t>
  </si>
  <si>
    <t>USIL CURTUN S.R.L.</t>
  </si>
  <si>
    <t>01855000517</t>
  </si>
  <si>
    <t>IT01855000517</t>
  </si>
  <si>
    <t>Arezzo</t>
  </si>
  <si>
    <t>5167.</t>
  </si>
  <si>
    <t>MILLA FASHION S.R.L.</t>
  </si>
  <si>
    <t>10279510969</t>
  </si>
  <si>
    <t>IT10279510969</t>
  </si>
  <si>
    <t>Torino</t>
  </si>
  <si>
    <t>Piemonte</t>
  </si>
  <si>
    <t>5168.</t>
  </si>
  <si>
    <t>DA.MA. S.R.L.</t>
  </si>
  <si>
    <t>02302600461</t>
  </si>
  <si>
    <t>IT02302600461</t>
  </si>
  <si>
    <t>Lucca</t>
  </si>
  <si>
    <t>5169.</t>
  </si>
  <si>
    <t>ZECCHINO D'ORO GROUP SRL</t>
  </si>
  <si>
    <t>02109450433</t>
  </si>
  <si>
    <t>IT02109450433</t>
  </si>
  <si>
    <t>5170.</t>
  </si>
  <si>
    <t>LAJOLE - S.R.L.</t>
  </si>
  <si>
    <t>01632020549</t>
  </si>
  <si>
    <t>IT01632020549</t>
  </si>
  <si>
    <t>141400</t>
  </si>
  <si>
    <t>5171.</t>
  </si>
  <si>
    <t>FLORENS GLOVES S.R.L.</t>
  </si>
  <si>
    <t>07283060635</t>
  </si>
  <si>
    <t>IT07283060635</t>
  </si>
  <si>
    <t>5172.</t>
  </si>
  <si>
    <t>OFFICINE TESSILI S.R.L.</t>
  </si>
  <si>
    <t>01643250671</t>
  </si>
  <si>
    <t>IT01643250671</t>
  </si>
  <si>
    <t>Teramo</t>
  </si>
  <si>
    <t>Abruzzo</t>
  </si>
  <si>
    <t>5173.</t>
  </si>
  <si>
    <t>SAR.CA. SRL</t>
  </si>
  <si>
    <t>04502820964</t>
  </si>
  <si>
    <t>IT04502820964</t>
  </si>
  <si>
    <t>141320</t>
  </si>
  <si>
    <t>5174.</t>
  </si>
  <si>
    <t>ONE S.R.L.</t>
  </si>
  <si>
    <t>03169600214</t>
  </si>
  <si>
    <t>IT03169600214</t>
  </si>
  <si>
    <t>141200</t>
  </si>
  <si>
    <t>Bolzano/Bozen</t>
  </si>
  <si>
    <t>Trentino-Alto Adige/Südtirol</t>
  </si>
  <si>
    <t>5175.</t>
  </si>
  <si>
    <t>GERA TESSILE S.R.L.</t>
  </si>
  <si>
    <t>07159400725</t>
  </si>
  <si>
    <t>IT07159400725</t>
  </si>
  <si>
    <t>Barletta-Andria-Trani</t>
  </si>
  <si>
    <t>Puglia</t>
  </si>
  <si>
    <t>5176.</t>
  </si>
  <si>
    <t>IMODA S.R.L.</t>
  </si>
  <si>
    <t>02362520971</t>
  </si>
  <si>
    <t>IT02362520971</t>
  </si>
  <si>
    <t>Prato</t>
  </si>
  <si>
    <t>5177.</t>
  </si>
  <si>
    <t>CAPRICCIOLI SRL</t>
  </si>
  <si>
    <t>03428660363</t>
  </si>
  <si>
    <t>IT03428660363</t>
  </si>
  <si>
    <t>Modena</t>
  </si>
  <si>
    <t>5178.</t>
  </si>
  <si>
    <t>M.E.G. SRL</t>
  </si>
  <si>
    <t>01631990437</t>
  </si>
  <si>
    <t>IT01631990437</t>
  </si>
  <si>
    <t>152020</t>
  </si>
  <si>
    <t>Roma</t>
  </si>
  <si>
    <t>Lazio</t>
  </si>
  <si>
    <t>5179.</t>
  </si>
  <si>
    <t>ROSSO PERLA S.R.L. IN LIQUIDAZIONE</t>
  </si>
  <si>
    <t>02831030362</t>
  </si>
  <si>
    <t>IT02831030362</t>
  </si>
  <si>
    <t>5180.</t>
  </si>
  <si>
    <t>PIE' PELLETTERIA S.R.L.</t>
  </si>
  <si>
    <t>05600191216</t>
  </si>
  <si>
    <t>IT05600191216</t>
  </si>
  <si>
    <t>Forlì-Cesena</t>
  </si>
  <si>
    <t>5181.</t>
  </si>
  <si>
    <t>CONFEZIONI MARZULLO S.R.L.</t>
  </si>
  <si>
    <t>03812580656</t>
  </si>
  <si>
    <t>IT03812580656</t>
  </si>
  <si>
    <t>Pescara</t>
  </si>
  <si>
    <t>5182.</t>
  </si>
  <si>
    <t>BAGNARDI &amp; SONS S.R.L.</t>
  </si>
  <si>
    <t>07391230724</t>
  </si>
  <si>
    <t>IT07391230724</t>
  </si>
  <si>
    <t>Bari</t>
  </si>
  <si>
    <t>5183.</t>
  </si>
  <si>
    <t>A 13 ALBA S.R.L.</t>
  </si>
  <si>
    <t>03862810722</t>
  </si>
  <si>
    <t>IT03862810722</t>
  </si>
  <si>
    <t>5184.</t>
  </si>
  <si>
    <t>MY MANCINI S.R.L.</t>
  </si>
  <si>
    <t>04048350047</t>
  </si>
  <si>
    <t>IT04048350047</t>
  </si>
  <si>
    <t>141000</t>
  </si>
  <si>
    <t>Cuneo</t>
  </si>
  <si>
    <t>Piemonte</t>
  </si>
  <si>
    <t>n.d.</t>
  </si>
  <si>
    <t>5185.</t>
  </si>
  <si>
    <t>STALONI SRL</t>
  </si>
  <si>
    <t>01706300678</t>
  </si>
  <si>
    <t>IT01706300678</t>
  </si>
  <si>
    <t>151209</t>
  </si>
  <si>
    <t>Teramo</t>
  </si>
  <si>
    <t>Abruzzo</t>
  </si>
  <si>
    <t>5186.</t>
  </si>
  <si>
    <t>BIANCHE EMOZIONI S.R.L.</t>
  </si>
  <si>
    <t>06546070639</t>
  </si>
  <si>
    <t>IT06546070639</t>
  </si>
  <si>
    <t>141310</t>
  </si>
  <si>
    <t>Milano</t>
  </si>
  <si>
    <t>Lombardia</t>
  </si>
  <si>
    <t>5187.</t>
  </si>
  <si>
    <t>NORA R. S.R.L.</t>
  </si>
  <si>
    <t>04344880275</t>
  </si>
  <si>
    <t>IT04344880275</t>
  </si>
  <si>
    <t>Venezia</t>
  </si>
  <si>
    <t>Veneto</t>
  </si>
  <si>
    <t>5188.</t>
  </si>
  <si>
    <t>SUOLIFICIO VENETA SUOLE S.R.L. DI GIULIATO P. &amp; C.</t>
  </si>
  <si>
    <t>02240220273</t>
  </si>
  <si>
    <t>IT02240220273</t>
  </si>
  <si>
    <t>152020</t>
  </si>
  <si>
    <t>5189.</t>
  </si>
  <si>
    <t>PERUZZI GROUP S.R.L.</t>
  </si>
  <si>
    <t>01440340295</t>
  </si>
  <si>
    <t>IT01440340295</t>
  </si>
  <si>
    <t>Rovigo</t>
  </si>
  <si>
    <t>5190.</t>
  </si>
  <si>
    <t>HONG KONG S.R.L.</t>
  </si>
  <si>
    <t>01874670977</t>
  </si>
  <si>
    <t>IT01874670977</t>
  </si>
  <si>
    <t>Prato</t>
  </si>
  <si>
    <t>Toscana</t>
  </si>
  <si>
    <t>5191.</t>
  </si>
  <si>
    <t>SPORTS FANATIC SRL</t>
  </si>
  <si>
    <t>05026430263</t>
  </si>
  <si>
    <t>IT05026430263</t>
  </si>
  <si>
    <t>141929</t>
  </si>
  <si>
    <t>Treviso</t>
  </si>
  <si>
    <t>5192.</t>
  </si>
  <si>
    <t>S.E.M. S.R.L.</t>
  </si>
  <si>
    <t>03354860243</t>
  </si>
  <si>
    <t>IT03354860243</t>
  </si>
  <si>
    <t>Vicenza</t>
  </si>
  <si>
    <t>5193.</t>
  </si>
  <si>
    <t>INDUSTRIA TESSILE MOLISANA S.R.L.</t>
  </si>
  <si>
    <t>01683160707</t>
  </si>
  <si>
    <t>IT01683160707</t>
  </si>
  <si>
    <t>Campobasso</t>
  </si>
  <si>
    <t>Molise</t>
  </si>
  <si>
    <t>5194.</t>
  </si>
  <si>
    <t>BEST &amp; BEST S.R.L.</t>
  </si>
  <si>
    <t>07845370969</t>
  </si>
  <si>
    <t>IT07845370969</t>
  </si>
  <si>
    <t>5195.</t>
  </si>
  <si>
    <t>NUOVA ROBERTO CORPINA S.R.L.</t>
  </si>
  <si>
    <t>03726720836</t>
  </si>
  <si>
    <t>IT03726720836</t>
  </si>
  <si>
    <t>Messina</t>
  </si>
  <si>
    <t>Sicilia</t>
  </si>
  <si>
    <t>5196.</t>
  </si>
  <si>
    <t>B3 S.R.L.</t>
  </si>
  <si>
    <t>02488530029</t>
  </si>
  <si>
    <t>IT02488530029</t>
  </si>
  <si>
    <t>5197.</t>
  </si>
  <si>
    <t>CALZATURIFICIO BANFI RICCARDO S.R.L.</t>
  </si>
  <si>
    <t>07986250152</t>
  </si>
  <si>
    <t>IT07986250152</t>
  </si>
  <si>
    <t>152010</t>
  </si>
  <si>
    <t>5198.</t>
  </si>
  <si>
    <t>BARACCHINO LUIGI E C. S.R.L.</t>
  </si>
  <si>
    <t>00436280481</t>
  </si>
  <si>
    <t>IT00436280481</t>
  </si>
  <si>
    <t>Firenze</t>
  </si>
  <si>
    <t>5199.</t>
  </si>
  <si>
    <t>SUOLIFICIO ADELAIDE S.R.L.</t>
  </si>
  <si>
    <t>00901080432</t>
  </si>
  <si>
    <t>IT00901080432</t>
  </si>
  <si>
    <t>Macerata</t>
  </si>
  <si>
    <t>Marche</t>
  </si>
  <si>
    <t>5200.</t>
  </si>
  <si>
    <t>GEFA S.R.L.</t>
  </si>
  <si>
    <t>01961440672</t>
  </si>
  <si>
    <t>IT01961440672</t>
  </si>
  <si>
    <t>5201.</t>
  </si>
  <si>
    <t>S.D.M. SOCIETA' A RESPONSABILITA' LIMITATA SEMPLIFICATA</t>
  </si>
  <si>
    <t>01905940431</t>
  </si>
  <si>
    <t>IT01905940431</t>
  </si>
  <si>
    <t>5202.</t>
  </si>
  <si>
    <t>BAGI S.R.L.</t>
  </si>
  <si>
    <t>04200610279</t>
  </si>
  <si>
    <t>IT04200610279</t>
  </si>
  <si>
    <t>5203.</t>
  </si>
  <si>
    <t>OFFICINA GENIO S.R.L.</t>
  </si>
  <si>
    <t>13013451003</t>
  </si>
  <si>
    <t>IT13013451003</t>
  </si>
  <si>
    <t>Roma</t>
  </si>
  <si>
    <t>Lazio</t>
  </si>
  <si>
    <t>5204.</t>
  </si>
  <si>
    <t>LEDA SOCIETA' A RESPONSABILITA' LIMITATA SEMPLIFICATA</t>
  </si>
  <si>
    <t>02829350608</t>
  </si>
  <si>
    <t>IT02829350608</t>
  </si>
  <si>
    <t>Frosinone</t>
  </si>
  <si>
    <t>5205.</t>
  </si>
  <si>
    <t>DE/COUTURE SOCIETA' A RESPONSABILITA' LIMITATA</t>
  </si>
  <si>
    <t>08736471007</t>
  </si>
  <si>
    <t>IT08736471007</t>
  </si>
  <si>
    <t>141100</t>
  </si>
  <si>
    <t>5206.</t>
  </si>
  <si>
    <t>SUOLIFICIO TUTTOFONDI S.R.L.</t>
  </si>
  <si>
    <t>06118571212</t>
  </si>
  <si>
    <t>IT06118571212</t>
  </si>
  <si>
    <t>Napoli</t>
  </si>
  <si>
    <t>Campania</t>
  </si>
  <si>
    <t>5207.</t>
  </si>
  <si>
    <t>PELUSO FASHION GROUP S.R.L.</t>
  </si>
  <si>
    <t>06707291214</t>
  </si>
  <si>
    <t>IT06707291214</t>
  </si>
  <si>
    <t>5208.</t>
  </si>
  <si>
    <t>COMPAGNIA DEL TESSILE S.R.L.</t>
  </si>
  <si>
    <t>02355280690</t>
  </si>
  <si>
    <t>IT02355280690</t>
  </si>
  <si>
    <t>141300</t>
  </si>
  <si>
    <t>Pescara</t>
  </si>
  <si>
    <t>5209.</t>
  </si>
  <si>
    <t>MONTEVERDE SOCIETA' A RESPONSABILITA' LIMITATA SEMPLIFICATA</t>
  </si>
  <si>
    <t>02937700645</t>
  </si>
  <si>
    <t>IT02937700645</t>
  </si>
  <si>
    <t>Avellino</t>
  </si>
  <si>
    <t>5210.</t>
  </si>
  <si>
    <t>CG2 ITALIA S.R.L.</t>
  </si>
  <si>
    <t>05689401213</t>
  </si>
  <si>
    <t>IT05689401213</t>
  </si>
  <si>
    <t>5211.</t>
  </si>
  <si>
    <t>TRIMODA S.R.L.</t>
  </si>
  <si>
    <t>03521980361</t>
  </si>
  <si>
    <t>IT03521980361</t>
  </si>
  <si>
    <t>5212.</t>
  </si>
  <si>
    <t>STIVALERIA F.LLI FABBRI S.R.L.</t>
  </si>
  <si>
    <t>02166250403</t>
  </si>
  <si>
    <t>IT02166250403</t>
  </si>
  <si>
    <t>Forlì-Cesena</t>
  </si>
  <si>
    <t>Emilia-Romagna</t>
  </si>
  <si>
    <t>5213.</t>
  </si>
  <si>
    <t>CULTURA S.R.L.</t>
  </si>
  <si>
    <t>06121390485</t>
  </si>
  <si>
    <t>IT06121390485</t>
  </si>
  <si>
    <t>143900</t>
  </si>
  <si>
    <t>5214.</t>
  </si>
  <si>
    <t>GJIA' SOCIETA' A RESPONSABILITA' LIMITATA</t>
  </si>
  <si>
    <t>07564670722</t>
  </si>
  <si>
    <t>IT07564670722</t>
  </si>
  <si>
    <t>Barletta-Andria-Trani</t>
  </si>
  <si>
    <t>Puglia</t>
  </si>
  <si>
    <t>5215.</t>
  </si>
  <si>
    <t>FIORI D'ARANCIO ATELIER S.R.L.</t>
  </si>
  <si>
    <t>02897700791</t>
  </si>
  <si>
    <t>IT02897700791</t>
  </si>
  <si>
    <t>141320</t>
  </si>
  <si>
    <t>Catanzaro</t>
  </si>
  <si>
    <t>Calabria</t>
  </si>
  <si>
    <t>5216.</t>
  </si>
  <si>
    <t>SELLERIA FERRO S.R.L.</t>
  </si>
  <si>
    <t>09725341003</t>
  </si>
  <si>
    <t>IT09725341003</t>
  </si>
  <si>
    <t>151209</t>
  </si>
  <si>
    <t>Roma</t>
  </si>
  <si>
    <t>Lazio</t>
  </si>
  <si>
    <t>n.d.</t>
  </si>
  <si>
    <t>5217.</t>
  </si>
  <si>
    <t>ERRICO MARIA ALTA MODA SPOSA S.R.L.</t>
  </si>
  <si>
    <t>02199850740</t>
  </si>
  <si>
    <t>IT02199850740</t>
  </si>
  <si>
    <t>141320</t>
  </si>
  <si>
    <t>Brindisi</t>
  </si>
  <si>
    <t>Puglia</t>
  </si>
  <si>
    <t>5218.</t>
  </si>
  <si>
    <t>MAGLIFICIO BENVE S.R.L.</t>
  </si>
  <si>
    <t>01641410293</t>
  </si>
  <si>
    <t>IT01641410293</t>
  </si>
  <si>
    <t>143900</t>
  </si>
  <si>
    <t>Rovigo</t>
  </si>
  <si>
    <t>Veneto</t>
  </si>
  <si>
    <t>5219.</t>
  </si>
  <si>
    <t>IL FIORE SRL</t>
  </si>
  <si>
    <t>03161240407</t>
  </si>
  <si>
    <t>IT03161240407</t>
  </si>
  <si>
    <t>151200</t>
  </si>
  <si>
    <t>Rimini</t>
  </si>
  <si>
    <t>Emilia-Romagna</t>
  </si>
  <si>
    <t>5220.</t>
  </si>
  <si>
    <t>SARTORIA VENETA S.R.L.</t>
  </si>
  <si>
    <t>04056990288</t>
  </si>
  <si>
    <t>IT04056990288</t>
  </si>
  <si>
    <t>141000</t>
  </si>
  <si>
    <t>5221.</t>
  </si>
  <si>
    <t>ACTIVE GROUP S.R.L.</t>
  </si>
  <si>
    <t>01550870685</t>
  </si>
  <si>
    <t>IT01550870685</t>
  </si>
  <si>
    <t>141910</t>
  </si>
  <si>
    <t>Pescara</t>
  </si>
  <si>
    <t>Abruzzo</t>
  </si>
  <si>
    <t>5222.</t>
  </si>
  <si>
    <t>TACCHIFICIO DAMA S.R.L.</t>
  </si>
  <si>
    <t>02456420500</t>
  </si>
  <si>
    <t>IT02456420500</t>
  </si>
  <si>
    <t>152020</t>
  </si>
  <si>
    <t>Pisa</t>
  </si>
  <si>
    <t>Toscana</t>
  </si>
  <si>
    <t>5223.</t>
  </si>
  <si>
    <t>OK MODE SRL</t>
  </si>
  <si>
    <t>00425690351</t>
  </si>
  <si>
    <t>IT00425690351</t>
  </si>
  <si>
    <t>141310</t>
  </si>
  <si>
    <t>Reggio nell'Emilia</t>
  </si>
  <si>
    <t>5224.</t>
  </si>
  <si>
    <t>ELKAY FASHIONS SRL</t>
  </si>
  <si>
    <t>11622160155</t>
  </si>
  <si>
    <t>IT11622160155</t>
  </si>
  <si>
    <t>143000</t>
  </si>
  <si>
    <t>Milano</t>
  </si>
  <si>
    <t>Lombardia</t>
  </si>
  <si>
    <t>5225.</t>
  </si>
  <si>
    <t>IL FIORE SOCIETA' COOPERATIVA SOCIALE - IN LIQUIDAZIONE</t>
  </si>
  <si>
    <t>01283290359</t>
  </si>
  <si>
    <t>IT01283290359</t>
  </si>
  <si>
    <t>5226.</t>
  </si>
  <si>
    <t>MONAS S.R.L. SEMPLIFICATA</t>
  </si>
  <si>
    <t>02676390426</t>
  </si>
  <si>
    <t>IT02676390426</t>
  </si>
  <si>
    <t>Ancona</t>
  </si>
  <si>
    <t>Marche</t>
  </si>
  <si>
    <t>5227.</t>
  </si>
  <si>
    <t>HYMY GROUP SRL</t>
  </si>
  <si>
    <t>01921610430</t>
  </si>
  <si>
    <t>IT01921610430</t>
  </si>
  <si>
    <t>Macerata</t>
  </si>
  <si>
    <t>5228.</t>
  </si>
  <si>
    <t>CHIC SRL</t>
  </si>
  <si>
    <t>04464550989</t>
  </si>
  <si>
    <t>IT04464550989</t>
  </si>
  <si>
    <t>Brescia</t>
  </si>
  <si>
    <t>5229.</t>
  </si>
  <si>
    <t>SALVATORE PENNETTA FASHION PRODUCT SRL SEMPLIFICATA</t>
  </si>
  <si>
    <t>04718690755</t>
  </si>
  <si>
    <t>IT04718690755</t>
  </si>
  <si>
    <t>5230.</t>
  </si>
  <si>
    <t>TRE C S.R.L.</t>
  </si>
  <si>
    <t>01981620857</t>
  </si>
  <si>
    <t>IT01981620857</t>
  </si>
  <si>
    <t>141400</t>
  </si>
  <si>
    <t>Caltanissetta</t>
  </si>
  <si>
    <t>Sicilia</t>
  </si>
  <si>
    <t>5231.</t>
  </si>
  <si>
    <t>SILV. AN. SRL</t>
  </si>
  <si>
    <t>01532940622</t>
  </si>
  <si>
    <t>IT01532940622</t>
  </si>
  <si>
    <t>152010</t>
  </si>
  <si>
    <t>Benevento</t>
  </si>
  <si>
    <t>Campania</t>
  </si>
  <si>
    <t>5232.</t>
  </si>
  <si>
    <t>BASEDODICI SRLS</t>
  </si>
  <si>
    <t>02796290415</t>
  </si>
  <si>
    <t>IT02796290415</t>
  </si>
  <si>
    <t>Pesaro e Urbino</t>
  </si>
  <si>
    <t>5233.</t>
  </si>
  <si>
    <t>STICOM S.R.L.</t>
  </si>
  <si>
    <t>04643410162</t>
  </si>
  <si>
    <t>IT04643410162</t>
  </si>
  <si>
    <t>Bergamo</t>
  </si>
  <si>
    <t>5234.</t>
  </si>
  <si>
    <t>BATACCHI SOCIETA' A RESPONSABILITA' LIMITATA SEMPLIFICATA CON SOCIO UNICO</t>
  </si>
  <si>
    <t>06300280481</t>
  </si>
  <si>
    <t>IT06300280481</t>
  </si>
  <si>
    <t>Firenze</t>
  </si>
  <si>
    <t>5235.</t>
  </si>
  <si>
    <t>KREIZY SRL</t>
  </si>
  <si>
    <t>03932601200</t>
  </si>
  <si>
    <t>IT03932601200</t>
  </si>
  <si>
    <t>Bologna</t>
  </si>
  <si>
    <t>5236.</t>
  </si>
  <si>
    <t>A.M. MODA S.R.L.</t>
  </si>
  <si>
    <t>05132091215</t>
  </si>
  <si>
    <t>IT05132091215</t>
  </si>
  <si>
    <t>141300</t>
  </si>
  <si>
    <t>Napoli</t>
  </si>
  <si>
    <t>5237.</t>
  </si>
  <si>
    <t>ONE-DAY S.R.L.</t>
  </si>
  <si>
    <t>02748370232</t>
  </si>
  <si>
    <t>IT02748370232</t>
  </si>
  <si>
    <t>Verona</t>
  </si>
  <si>
    <t>5238.</t>
  </si>
  <si>
    <t>NW SPORT SOCIETA' A RESPONSABILITA' LIMITATA</t>
  </si>
  <si>
    <t>01881150567</t>
  </si>
  <si>
    <t>IT01881150567</t>
  </si>
  <si>
    <t>Viterbo</t>
  </si>
  <si>
    <t>5239.</t>
  </si>
  <si>
    <t>PM FASHION GROUP S.R.L.</t>
  </si>
  <si>
    <t>02777480696</t>
  </si>
  <si>
    <t>IT02777480696</t>
  </si>
  <si>
    <t>Chieti</t>
  </si>
  <si>
    <t>5240.</t>
  </si>
  <si>
    <t>TIA SOCIETA' A RESPONSABILITA' LIMITATA</t>
  </si>
  <si>
    <t>02231360013</t>
  </si>
  <si>
    <t>80199490584</t>
  </si>
  <si>
    <t>IT80199490584</t>
  </si>
  <si>
    <t>142000</t>
  </si>
  <si>
    <t>Torino</t>
  </si>
  <si>
    <t>Piemonte</t>
  </si>
  <si>
    <t>5241.</t>
  </si>
  <si>
    <t>GAIA S.R.L. IN LIQUIDAZIONE</t>
  </si>
  <si>
    <t>01852260502</t>
  </si>
  <si>
    <t>IT01852260502</t>
  </si>
  <si>
    <t>151100</t>
  </si>
  <si>
    <t>5242.</t>
  </si>
  <si>
    <t>JOY S.R.L.</t>
  </si>
  <si>
    <t>05839990966</t>
  </si>
  <si>
    <t>IT05839990966</t>
  </si>
  <si>
    <t>5243.</t>
  </si>
  <si>
    <t>C.S.T. COMPANY S.R.L.</t>
  </si>
  <si>
    <t>01883570440</t>
  </si>
  <si>
    <t>IT01883570440</t>
  </si>
  <si>
    <t>Ascoli Piceno</t>
  </si>
  <si>
    <t>5244.</t>
  </si>
  <si>
    <t>GRAZIA CONFEZIONI S.R.L.</t>
  </si>
  <si>
    <t>00959480427</t>
  </si>
  <si>
    <t>IT00959480427</t>
  </si>
  <si>
    <t>141900</t>
  </si>
  <si>
    <t>0 453</t>
  </si>
  <si>
    <t>5245.</t>
  </si>
  <si>
    <t>GLOVES DEI F.LLI FORINO S.R.L.</t>
  </si>
  <si>
    <t>05757901219</t>
  </si>
  <si>
    <t>IT05757901219</t>
  </si>
  <si>
    <t>5246.</t>
  </si>
  <si>
    <t>BRU-MEL S.R.L.</t>
  </si>
  <si>
    <t>01583090517</t>
  </si>
  <si>
    <t>IT01583090517</t>
  </si>
  <si>
    <t>Arezzo</t>
  </si>
  <si>
    <t>5247.</t>
  </si>
  <si>
    <t>SIMONE S.R.L.</t>
  </si>
  <si>
    <t>00177270444</t>
  </si>
  <si>
    <t>IT00177270444</t>
  </si>
  <si>
    <t>Fermo</t>
  </si>
  <si>
    <t>5248.</t>
  </si>
  <si>
    <t>LACI CONFEZIONI SOCIETA' A RESPONSABILITA' LIMITATA SEMPLIFICATA</t>
  </si>
  <si>
    <t>02570820429</t>
  </si>
  <si>
    <t>IT02570820429</t>
  </si>
  <si>
    <t>141200</t>
  </si>
  <si>
    <t>Ancona</t>
  </si>
  <si>
    <t>Marche</t>
  </si>
  <si>
    <t>n.d.</t>
  </si>
  <si>
    <t>5249.</t>
  </si>
  <si>
    <t>PITURRO S.R.L.</t>
  </si>
  <si>
    <t>02633280132</t>
  </si>
  <si>
    <t>IT02633280132</t>
  </si>
  <si>
    <t>141000</t>
  </si>
  <si>
    <t>Como</t>
  </si>
  <si>
    <t>Lombardia</t>
  </si>
  <si>
    <t>5250.</t>
  </si>
  <si>
    <t>KAMAMOTO ITALIA - S.R.L.</t>
  </si>
  <si>
    <t>02449590377</t>
  </si>
  <si>
    <t>IT02449590377</t>
  </si>
  <si>
    <t>152020</t>
  </si>
  <si>
    <t>Bologna</t>
  </si>
  <si>
    <t>Emilia-Romagna</t>
  </si>
  <si>
    <t>5251.</t>
  </si>
  <si>
    <t>ZINTALA S.R.L.</t>
  </si>
  <si>
    <t>01453320440</t>
  </si>
  <si>
    <t>IT01453320440</t>
  </si>
  <si>
    <t>152010</t>
  </si>
  <si>
    <t>Fermo</t>
  </si>
  <si>
    <t>5252.</t>
  </si>
  <si>
    <t>CAMELIA BIANCA S.R.L. SOCIETA' UNIPERSONALE</t>
  </si>
  <si>
    <t>06608901218</t>
  </si>
  <si>
    <t>IT06608901218</t>
  </si>
  <si>
    <t>141310</t>
  </si>
  <si>
    <t>Napoli</t>
  </si>
  <si>
    <t>Campania</t>
  </si>
  <si>
    <t>5253.</t>
  </si>
  <si>
    <t>BELFUR S.R.L.</t>
  </si>
  <si>
    <t>05316920486</t>
  </si>
  <si>
    <t>IT05316920486</t>
  </si>
  <si>
    <t>151209</t>
  </si>
  <si>
    <t>Firenze</t>
  </si>
  <si>
    <t>Toscana</t>
  </si>
  <si>
    <t>5254.</t>
  </si>
  <si>
    <t>ACCADEMIA DEL CUCITO SOCIETA' COOPERATIVA</t>
  </si>
  <si>
    <t>02690730607</t>
  </si>
  <si>
    <t>IT02690730607</t>
  </si>
  <si>
    <t>Frosinone</t>
  </si>
  <si>
    <t>Lazio</t>
  </si>
  <si>
    <t>5255.</t>
  </si>
  <si>
    <t>MACH S.R.L.</t>
  </si>
  <si>
    <t>13403691002</t>
  </si>
  <si>
    <t>IT13403691002</t>
  </si>
  <si>
    <t>Roma</t>
  </si>
  <si>
    <t>5256.</t>
  </si>
  <si>
    <t>ALLEGRINI CONFEZIONI S.R.L.S.</t>
  </si>
  <si>
    <t>02406680740</t>
  </si>
  <si>
    <t>IT02406680740</t>
  </si>
  <si>
    <t>Brindisi</t>
  </si>
  <si>
    <t>Puglia</t>
  </si>
  <si>
    <t>5257.</t>
  </si>
  <si>
    <t>PANTA REI SOC. COOPERATIVA</t>
  </si>
  <si>
    <t>07872171215</t>
  </si>
  <si>
    <t>IT07872171215</t>
  </si>
  <si>
    <t>5258.</t>
  </si>
  <si>
    <t>BULLISH S.R.L.</t>
  </si>
  <si>
    <t>03980510402</t>
  </si>
  <si>
    <t>IT03980510402</t>
  </si>
  <si>
    <t>Forlì-Cesena</t>
  </si>
  <si>
    <t>5259.</t>
  </si>
  <si>
    <t>HCR SRL</t>
  </si>
  <si>
    <t>01748520333</t>
  </si>
  <si>
    <t>IT01748520333</t>
  </si>
  <si>
    <t>141929</t>
  </si>
  <si>
    <t>Piacenza</t>
  </si>
  <si>
    <t>5260.</t>
  </si>
  <si>
    <t>PIER23 S.R.L.</t>
  </si>
  <si>
    <t>03966030128</t>
  </si>
  <si>
    <t>IT03966030128</t>
  </si>
  <si>
    <t>141910</t>
  </si>
  <si>
    <t>Milano</t>
  </si>
  <si>
    <t>5261.</t>
  </si>
  <si>
    <t>SABBIOLINA S.R.L.</t>
  </si>
  <si>
    <t>05842441213</t>
  </si>
  <si>
    <t>IT05842441213</t>
  </si>
  <si>
    <t>141320</t>
  </si>
  <si>
    <t>5262.</t>
  </si>
  <si>
    <t>TENDER S.R.L.</t>
  </si>
  <si>
    <t>03504090543</t>
  </si>
  <si>
    <t>IT03504090543</t>
  </si>
  <si>
    <t>Perugia</t>
  </si>
  <si>
    <t>Umbria</t>
  </si>
  <si>
    <t>5263.</t>
  </si>
  <si>
    <t>MAGLIFICIO COSTER S.R.L.</t>
  </si>
  <si>
    <t>00441250230</t>
  </si>
  <si>
    <t>IT00441250230</t>
  </si>
  <si>
    <t>140000</t>
  </si>
  <si>
    <t>Verona</t>
  </si>
  <si>
    <t>Veneto</t>
  </si>
  <si>
    <t>5264.</t>
  </si>
  <si>
    <t>BIEMME S.R.L.</t>
  </si>
  <si>
    <t>01901250439</t>
  </si>
  <si>
    <t>IT01901250439</t>
  </si>
  <si>
    <t>Macerata</t>
  </si>
  <si>
    <t>5265.</t>
  </si>
  <si>
    <t>LINEA DELFINO S.R.L.</t>
  </si>
  <si>
    <t>08624380013</t>
  </si>
  <si>
    <t>IT08624380013</t>
  </si>
  <si>
    <t>Torino</t>
  </si>
  <si>
    <t>Piemonte</t>
  </si>
  <si>
    <t>5266.</t>
  </si>
  <si>
    <t>PIERA E FABRIZIO DEL CARLO - S.R.L.</t>
  </si>
  <si>
    <t>01123110460</t>
  </si>
  <si>
    <t>IT01123110460</t>
  </si>
  <si>
    <t>143000</t>
  </si>
  <si>
    <t>Lucca</t>
  </si>
  <si>
    <t>5267.</t>
  </si>
  <si>
    <t>ALEMA S.R.L.</t>
  </si>
  <si>
    <t>02651450468</t>
  </si>
  <si>
    <t>IT02651450468</t>
  </si>
  <si>
    <t>5268.</t>
  </si>
  <si>
    <t>RAINBOW. S.R.L.</t>
  </si>
  <si>
    <t>01674780687</t>
  </si>
  <si>
    <t>IT01674780687</t>
  </si>
  <si>
    <t>Pescara</t>
  </si>
  <si>
    <t>Abruzzo</t>
  </si>
  <si>
    <t>5269.</t>
  </si>
  <si>
    <t>CLONES S.R.L.</t>
  </si>
  <si>
    <t>02501000448</t>
  </si>
  <si>
    <t>IT02501000448</t>
  </si>
  <si>
    <t>5270.</t>
  </si>
  <si>
    <t>PELLEIN SRL</t>
  </si>
  <si>
    <t>05709360480</t>
  </si>
  <si>
    <t>IT05709360480</t>
  </si>
  <si>
    <t>5271.</t>
  </si>
  <si>
    <t>CONFEZIONE ELEN S.R.L.</t>
  </si>
  <si>
    <t>01189580861</t>
  </si>
  <si>
    <t>IT01189580861</t>
  </si>
  <si>
    <t>Enna</t>
  </si>
  <si>
    <t>Sicilia</t>
  </si>
  <si>
    <t>5272.</t>
  </si>
  <si>
    <t>ON STAGE SRL</t>
  </si>
  <si>
    <t>02620051207</t>
  </si>
  <si>
    <t>IT02620051207</t>
  </si>
  <si>
    <t>5273.</t>
  </si>
  <si>
    <t>GRUPPO ERNESTI S.R.L.</t>
  </si>
  <si>
    <t>10199421008</t>
  </si>
  <si>
    <t>IT10199421008</t>
  </si>
  <si>
    <t>5274.</t>
  </si>
  <si>
    <t>SPEA PELLETTERIE S.R.L.</t>
  </si>
  <si>
    <t>04134890963</t>
  </si>
  <si>
    <t>IT04134890963</t>
  </si>
  <si>
    <t>151200</t>
  </si>
  <si>
    <t>5275.</t>
  </si>
  <si>
    <t>S.P.G. SRL</t>
  </si>
  <si>
    <t>01555250297</t>
  </si>
  <si>
    <t>IT01555250297</t>
  </si>
  <si>
    <t>Rovigo</t>
  </si>
  <si>
    <t>5276.</t>
  </si>
  <si>
    <t>MAFFEI SOCIETA' A RESPONSABILITA' LIMITATA</t>
  </si>
  <si>
    <t>00608410643</t>
  </si>
  <si>
    <t>IT00608410643</t>
  </si>
  <si>
    <t>141100</t>
  </si>
  <si>
    <t>Avellino</t>
  </si>
  <si>
    <t>5277.</t>
  </si>
  <si>
    <t>MODA GLAMOUR S.R.L - UNIPERSONALE -</t>
  </si>
  <si>
    <t>01597040672</t>
  </si>
  <si>
    <t>IT01597040672</t>
  </si>
  <si>
    <t>Teramo</t>
  </si>
  <si>
    <t>5278.</t>
  </si>
  <si>
    <t>GRUPPO LIUZZI S.R.L.</t>
  </si>
  <si>
    <t>02828480737</t>
  </si>
  <si>
    <t>IT02828480737</t>
  </si>
  <si>
    <t>Taranto</t>
  </si>
  <si>
    <t>5279.</t>
  </si>
  <si>
    <t>B&amp;H SHOES SRL</t>
  </si>
  <si>
    <t>02022250449</t>
  </si>
  <si>
    <t>IT02022250449</t>
  </si>
  <si>
    <t>5280.</t>
  </si>
  <si>
    <t>ACL - ARTIGIANI CALZATURIERI S.R.L. - IN SIGLA ED IN BREVE ACL S RL</t>
  </si>
  <si>
    <t>02385650789</t>
  </si>
  <si>
    <t>IT02385650789</t>
  </si>
  <si>
    <t>152010</t>
  </si>
  <si>
    <t>Napoli</t>
  </si>
  <si>
    <t>Campania</t>
  </si>
  <si>
    <t>n.d.</t>
  </si>
  <si>
    <t>5281.</t>
  </si>
  <si>
    <t>ZAMPONI MODA SRL</t>
  </si>
  <si>
    <t>00929770436</t>
  </si>
  <si>
    <t>IT00929770436</t>
  </si>
  <si>
    <t>151200</t>
  </si>
  <si>
    <t>Macerata</t>
  </si>
  <si>
    <t>Marche</t>
  </si>
  <si>
    <t>5282.</t>
  </si>
  <si>
    <t>CZ FASHION SOCIETA' A RESPONSABILITA' LIMITATA SEMPLIFICATA</t>
  </si>
  <si>
    <t>02559300971</t>
  </si>
  <si>
    <t>IT02559300971</t>
  </si>
  <si>
    <t>143900</t>
  </si>
  <si>
    <t>Prato</t>
  </si>
  <si>
    <t>Toscana</t>
  </si>
  <si>
    <t>5283.</t>
  </si>
  <si>
    <t>ARMATRADING GROUP S.R.L.</t>
  </si>
  <si>
    <t>10422341007</t>
  </si>
  <si>
    <t>IT10422341007</t>
  </si>
  <si>
    <t>141000</t>
  </si>
  <si>
    <t>Roma</t>
  </si>
  <si>
    <t>Lazio</t>
  </si>
  <si>
    <t>5284.</t>
  </si>
  <si>
    <t>ALFRA SRL</t>
  </si>
  <si>
    <t>02609250697</t>
  </si>
  <si>
    <t>IT02609250697</t>
  </si>
  <si>
    <t>152020</t>
  </si>
  <si>
    <t>Chieti</t>
  </si>
  <si>
    <t>Abruzzo</t>
  </si>
  <si>
    <t>5285.</t>
  </si>
  <si>
    <t>GREGAL S.R.L.</t>
  </si>
  <si>
    <t>05095000963</t>
  </si>
  <si>
    <t>IT05095000963</t>
  </si>
  <si>
    <t>Milano</t>
  </si>
  <si>
    <t>Lombardia</t>
  </si>
  <si>
    <t>5286.</t>
  </si>
  <si>
    <t>ADMIR ART S.R.L.</t>
  </si>
  <si>
    <t>05849851216</t>
  </si>
  <si>
    <t>IT05849851216</t>
  </si>
  <si>
    <t>5287.</t>
  </si>
  <si>
    <t>BAIRON S.R.L.</t>
  </si>
  <si>
    <t>12539001003</t>
  </si>
  <si>
    <t>IT12539001003</t>
  </si>
  <si>
    <t>Firenze</t>
  </si>
  <si>
    <t>5288.</t>
  </si>
  <si>
    <t>MANIFATTURA FEDERTEX S.R.L.</t>
  </si>
  <si>
    <t>03463851216</t>
  </si>
  <si>
    <t>IT03463851216</t>
  </si>
  <si>
    <t>141400</t>
  </si>
  <si>
    <t>5289.</t>
  </si>
  <si>
    <t>ONLY BLU GROUP - S.R.L.</t>
  </si>
  <si>
    <t>01399200805</t>
  </si>
  <si>
    <t>IT01399200805</t>
  </si>
  <si>
    <t>141929</t>
  </si>
  <si>
    <t>Reggio di Calabria</t>
  </si>
  <si>
    <t>Calabria</t>
  </si>
  <si>
    <t>5290.</t>
  </si>
  <si>
    <t>STYLE &amp; CONSULENCE SRL</t>
  </si>
  <si>
    <t>02100130448</t>
  </si>
  <si>
    <t>IT02100130448</t>
  </si>
  <si>
    <t>Fermo</t>
  </si>
  <si>
    <t>5291.</t>
  </si>
  <si>
    <t>ANTONICELLI S.R.L. .</t>
  </si>
  <si>
    <t>03917280723</t>
  </si>
  <si>
    <t>IT03917280723</t>
  </si>
  <si>
    <t>142000</t>
  </si>
  <si>
    <t>Bari</t>
  </si>
  <si>
    <t>Puglia</t>
  </si>
  <si>
    <t>5292.</t>
  </si>
  <si>
    <t>MATT S.R.L.</t>
  </si>
  <si>
    <t>02544970219</t>
  </si>
  <si>
    <t>IT02544970219</t>
  </si>
  <si>
    <t>Bolzano/Bozen</t>
  </si>
  <si>
    <t>Trentino-Alto Adige/Südtirol</t>
  </si>
  <si>
    <t>5293.</t>
  </si>
  <si>
    <t>CALZATURIFICIO EFFENNE S.R.L.</t>
  </si>
  <si>
    <t>02080730514</t>
  </si>
  <si>
    <t>IT02080730514</t>
  </si>
  <si>
    <t>152000</t>
  </si>
  <si>
    <t>Arezzo</t>
  </si>
  <si>
    <t>5294.</t>
  </si>
  <si>
    <t>CONFEZIONI SARTORI S.R.L.</t>
  </si>
  <si>
    <t>04148290283</t>
  </si>
  <si>
    <t>IT04148290283</t>
  </si>
  <si>
    <t>Vicenza</t>
  </si>
  <si>
    <t>Veneto</t>
  </si>
  <si>
    <t>5295.</t>
  </si>
  <si>
    <t>CSG S.R.L.S.</t>
  </si>
  <si>
    <t>05223260653</t>
  </si>
  <si>
    <t>IT05223260653</t>
  </si>
  <si>
    <t>141320</t>
  </si>
  <si>
    <t>Salerno</t>
  </si>
  <si>
    <t>5296.</t>
  </si>
  <si>
    <t>CIROTTO S.R.L.</t>
  </si>
  <si>
    <t>02450860909</t>
  </si>
  <si>
    <t>IT02450860909</t>
  </si>
  <si>
    <t>Sassari</t>
  </si>
  <si>
    <t>Sardegna</t>
  </si>
  <si>
    <t>5297.</t>
  </si>
  <si>
    <t>JOHMAR S.R.L.S. - SOCIETA' A RESPONSABILITA' LIMITATA SEMPLIFICAT SEMPLIFICATA</t>
  </si>
  <si>
    <t>04814330751</t>
  </si>
  <si>
    <t>IT04814330751</t>
  </si>
  <si>
    <t>Lecce</t>
  </si>
  <si>
    <t>5298.</t>
  </si>
  <si>
    <t>CONFEZIONI TREA SRL</t>
  </si>
  <si>
    <t>01712550431</t>
  </si>
  <si>
    <t>IT01712550431</t>
  </si>
  <si>
    <t>141310</t>
  </si>
  <si>
    <t>5299.</t>
  </si>
  <si>
    <t>BYCREA SOCIETA' A RESPONSABILITA' LIMITATA SEMPLIFICATA</t>
  </si>
  <si>
    <t>09073750961</t>
  </si>
  <si>
    <t>IT09073750961</t>
  </si>
  <si>
    <t>151209</t>
  </si>
  <si>
    <t>5300.</t>
  </si>
  <si>
    <t>B DESIGN S.R.L.</t>
  </si>
  <si>
    <t>02935470365</t>
  </si>
  <si>
    <t>IT02935470365</t>
  </si>
  <si>
    <t>Modena</t>
  </si>
  <si>
    <t>Emilia-Romagna</t>
  </si>
  <si>
    <t>5301.</t>
  </si>
  <si>
    <t>PROGETTAZIONE SARTORIALE TOSCANA SRL</t>
  </si>
  <si>
    <t>06301590482</t>
  </si>
  <si>
    <t>IT06301590482</t>
  </si>
  <si>
    <t>5302.</t>
  </si>
  <si>
    <t>MARINELLA CASALI S.R.L.</t>
  </si>
  <si>
    <t>02723460362</t>
  </si>
  <si>
    <t>IT02723460362</t>
  </si>
  <si>
    <t>5303.</t>
  </si>
  <si>
    <t>AFC S.R.L. - SOCIETA' A RESPONSABILITA' LIMITATA</t>
  </si>
  <si>
    <t>01452650623</t>
  </si>
  <si>
    <t>IT01452650623</t>
  </si>
  <si>
    <t>141910</t>
  </si>
  <si>
    <t>Benevento</t>
  </si>
  <si>
    <t>5304.</t>
  </si>
  <si>
    <t>CONCERIA BRASIL S.R.L.</t>
  </si>
  <si>
    <t>02088840505</t>
  </si>
  <si>
    <t>IT02088840505</t>
  </si>
  <si>
    <t>151100</t>
  </si>
  <si>
    <t>Pisa</t>
  </si>
  <si>
    <t>5305.</t>
  </si>
  <si>
    <t>VESTIPRO S.R.L.</t>
  </si>
  <si>
    <t>05976800879</t>
  </si>
  <si>
    <t>IT05976800879</t>
  </si>
  <si>
    <t>Catania</t>
  </si>
  <si>
    <t>Sicilia</t>
  </si>
  <si>
    <t>5306.</t>
  </si>
  <si>
    <t>GLOBALLY ACCESSORY S.R.L.</t>
  </si>
  <si>
    <t>06940180489</t>
  </si>
  <si>
    <t>IT06940180489</t>
  </si>
  <si>
    <t>5307.</t>
  </si>
  <si>
    <t>MANIFATTURE CONCIARIE SRL</t>
  </si>
  <si>
    <t>02928580642</t>
  </si>
  <si>
    <t>IT02928580642</t>
  </si>
  <si>
    <t>Avellino</t>
  </si>
  <si>
    <t>5308.</t>
  </si>
  <si>
    <t>MODA ITALIA S.R.L. - SOCIETA' UNIPERSONALE</t>
  </si>
  <si>
    <t>02668110642</t>
  </si>
  <si>
    <t>IT02668110642</t>
  </si>
  <si>
    <t>5309.</t>
  </si>
  <si>
    <t>ARTELIER - SOCIETA' COOPERATIVA IN LIQUIDAZIONE</t>
  </si>
  <si>
    <t>05936910727</t>
  </si>
  <si>
    <t>IT05936910727</t>
  </si>
  <si>
    <t>5310.</t>
  </si>
  <si>
    <t>SITTING BULL S.R.L.</t>
  </si>
  <si>
    <t>05206740721</t>
  </si>
  <si>
    <t>IT05206740721</t>
  </si>
  <si>
    <t>Barletta-Andria-Trani</t>
  </si>
  <si>
    <t>5311.</t>
  </si>
  <si>
    <t>MTP ITALIA S.R.L.</t>
  </si>
  <si>
    <t>00403470131</t>
  </si>
  <si>
    <t>IT00403470131</t>
  </si>
  <si>
    <t>Monza e della Brianza</t>
  </si>
  <si>
    <t>5312.</t>
  </si>
  <si>
    <t>BOLERODANZA S.R.L.</t>
  </si>
  <si>
    <t>11811211009</t>
  </si>
  <si>
    <t>IT11811211009</t>
  </si>
  <si>
    <t>141400</t>
  </si>
  <si>
    <t>Roma</t>
  </si>
  <si>
    <t>Lazio</t>
  </si>
  <si>
    <t>n.d.</t>
  </si>
  <si>
    <t>5313.</t>
  </si>
  <si>
    <t>CAPRI BIJOUX S.R.L.</t>
  </si>
  <si>
    <t>07826711215</t>
  </si>
  <si>
    <t>IT07826711215</t>
  </si>
  <si>
    <t>152010</t>
  </si>
  <si>
    <t>Napoli</t>
  </si>
  <si>
    <t>Campania</t>
  </si>
  <si>
    <t>5314.</t>
  </si>
  <si>
    <t>TINA FERRA' S.R.L.</t>
  </si>
  <si>
    <t>08480221210</t>
  </si>
  <si>
    <t>IT08480221210</t>
  </si>
  <si>
    <t>141320</t>
  </si>
  <si>
    <t>5315.</t>
  </si>
  <si>
    <t>NUOVA GIEMME SPORT SRL</t>
  </si>
  <si>
    <t>01955240443</t>
  </si>
  <si>
    <t>IT01955240443</t>
  </si>
  <si>
    <t>141929</t>
  </si>
  <si>
    <t>Fermo</t>
  </si>
  <si>
    <t>Marche</t>
  </si>
  <si>
    <t>5316.</t>
  </si>
  <si>
    <t>FASHION &amp; MORE SOCIETA' A RESPONSABILITA' LIMITATA</t>
  </si>
  <si>
    <t>01667710386</t>
  </si>
  <si>
    <t>IT01667710386</t>
  </si>
  <si>
    <t>141910</t>
  </si>
  <si>
    <t>Ferrara</t>
  </si>
  <si>
    <t>Emilia-Romagna</t>
  </si>
  <si>
    <t>5317.</t>
  </si>
  <si>
    <t>B&amp;G LUXURY GOODS S.R.L.</t>
  </si>
  <si>
    <t>02329420034</t>
  </si>
  <si>
    <t>IT02329420034</t>
  </si>
  <si>
    <t>Novara</t>
  </si>
  <si>
    <t>Piemonte</t>
  </si>
  <si>
    <t>5318.</t>
  </si>
  <si>
    <t>MARIGEST S.R.L.</t>
  </si>
  <si>
    <t>07882451003</t>
  </si>
  <si>
    <t>IT07882451003</t>
  </si>
  <si>
    <t>Frosinone</t>
  </si>
  <si>
    <t>5319.</t>
  </si>
  <si>
    <t>S.PSQ SRL</t>
  </si>
  <si>
    <t>02903360606</t>
  </si>
  <si>
    <t>IT02903360606</t>
  </si>
  <si>
    <t>5320.</t>
  </si>
  <si>
    <t>PESERICO LAB S.R.L.</t>
  </si>
  <si>
    <t>04472010240</t>
  </si>
  <si>
    <t>IT04472010240</t>
  </si>
  <si>
    <t>141310</t>
  </si>
  <si>
    <t>Vicenza</t>
  </si>
  <si>
    <t>Veneto</t>
  </si>
  <si>
    <t>5321.</t>
  </si>
  <si>
    <t>DE SANTIS UOMO S.R.L.</t>
  </si>
  <si>
    <t>04792460653</t>
  </si>
  <si>
    <t>IT04792460653</t>
  </si>
  <si>
    <t>Salerno</t>
  </si>
  <si>
    <t>5322.</t>
  </si>
  <si>
    <t>CINTURIFICIO LBN S.R.L. UNIPERSONALE</t>
  </si>
  <si>
    <t>04730241215</t>
  </si>
  <si>
    <t>IT04730241215</t>
  </si>
  <si>
    <t>151200</t>
  </si>
  <si>
    <t>5323.</t>
  </si>
  <si>
    <t>CALZATURIFICIO ESTEBAN S.R.L.</t>
  </si>
  <si>
    <t>03820671216</t>
  </si>
  <si>
    <t>IT03820671216</t>
  </si>
  <si>
    <t>5324.</t>
  </si>
  <si>
    <t>LATITUDE FEMME S.R.L. - IN LIQUIDAZIONE -</t>
  </si>
  <si>
    <t>01549170502</t>
  </si>
  <si>
    <t>IT01549170502</t>
  </si>
  <si>
    <t>Pisa</t>
  </si>
  <si>
    <t>Toscana</t>
  </si>
  <si>
    <t>5325.</t>
  </si>
  <si>
    <t>THE WAY S.R.L.</t>
  </si>
  <si>
    <t>02184630974</t>
  </si>
  <si>
    <t>IT02184630974</t>
  </si>
  <si>
    <t>Prato</t>
  </si>
  <si>
    <t>5326.</t>
  </si>
  <si>
    <t>DE.CE.PLAST S.R.L.</t>
  </si>
  <si>
    <t>02576090613</t>
  </si>
  <si>
    <t>IT02576090613</t>
  </si>
  <si>
    <t>152020</t>
  </si>
  <si>
    <t>Caserta</t>
  </si>
  <si>
    <t>5327.</t>
  </si>
  <si>
    <t>S.M. SRLS</t>
  </si>
  <si>
    <t>02098040435</t>
  </si>
  <si>
    <t>IT02098040435</t>
  </si>
  <si>
    <t>Macerata</t>
  </si>
  <si>
    <t>5328.</t>
  </si>
  <si>
    <t>JUMPER'S - S.R.L.</t>
  </si>
  <si>
    <t>00318260510</t>
  </si>
  <si>
    <t>IT00318260510</t>
  </si>
  <si>
    <t>143100</t>
  </si>
  <si>
    <t>5329.</t>
  </si>
  <si>
    <t>CALINT - S.R.L.</t>
  </si>
  <si>
    <t>01590580609</t>
  </si>
  <si>
    <t>IT01590580609</t>
  </si>
  <si>
    <t>5330.</t>
  </si>
  <si>
    <t>FRATELLI BATTISTA S.R.L.</t>
  </si>
  <si>
    <t>12662360960</t>
  </si>
  <si>
    <t>IT12662360960</t>
  </si>
  <si>
    <t>Milano</t>
  </si>
  <si>
    <t>Lombardia</t>
  </si>
  <si>
    <t>5331.</t>
  </si>
  <si>
    <t>FASHION GROUP SRL SEMPLIFICATA</t>
  </si>
  <si>
    <t>02862930605</t>
  </si>
  <si>
    <t>IT02862930605</t>
  </si>
  <si>
    <t>5332.</t>
  </si>
  <si>
    <t>SARTORIA FORMOSA S.R.L.</t>
  </si>
  <si>
    <t>05600841216</t>
  </si>
  <si>
    <t>IT05600841216</t>
  </si>
  <si>
    <t>5333.</t>
  </si>
  <si>
    <t>ZABATTIGLI S.R.L.</t>
  </si>
  <si>
    <t>06678861219</t>
  </si>
  <si>
    <t>IT06678861219</t>
  </si>
  <si>
    <t>5334.</t>
  </si>
  <si>
    <t>PENELOPE LAB S.R.L.</t>
  </si>
  <si>
    <t>03658601202</t>
  </si>
  <si>
    <t>IT03658601202</t>
  </si>
  <si>
    <t>Firenze</t>
  </si>
  <si>
    <t>5335.</t>
  </si>
  <si>
    <t>PHOENIX SOCIETA' A RESPONSABILITA' LIMITATA</t>
  </si>
  <si>
    <t>08836210727</t>
  </si>
  <si>
    <t>IT08836210727</t>
  </si>
  <si>
    <t>Barletta-Andria-Trani</t>
  </si>
  <si>
    <t>Puglia</t>
  </si>
  <si>
    <t>5336.</t>
  </si>
  <si>
    <t>97 S.R.L.</t>
  </si>
  <si>
    <t>03691340545</t>
  </si>
  <si>
    <t>IT03691340545</t>
  </si>
  <si>
    <t>143900</t>
  </si>
  <si>
    <t>Perugia</t>
  </si>
  <si>
    <t>Umbria</t>
  </si>
  <si>
    <t>5337.</t>
  </si>
  <si>
    <t>SEVEN LIVES SOCIETA' A RESPONSABILITA' LIMITATA SEMPLIFICATA</t>
  </si>
  <si>
    <t>04367230408</t>
  </si>
  <si>
    <t>IT04367230408</t>
  </si>
  <si>
    <t>Rimini</t>
  </si>
  <si>
    <t>5338.</t>
  </si>
  <si>
    <t>ID DESIGN S.R.L.</t>
  </si>
  <si>
    <t>04899910964</t>
  </si>
  <si>
    <t>IT04899910964</t>
  </si>
  <si>
    <t>141000</t>
  </si>
  <si>
    <t>5339.</t>
  </si>
  <si>
    <t>HECTOR S.R.L.</t>
  </si>
  <si>
    <t>03913380402</t>
  </si>
  <si>
    <t>IT03913380402</t>
  </si>
  <si>
    <t>5340.</t>
  </si>
  <si>
    <t>GASPCOM S.R.L.</t>
  </si>
  <si>
    <t>01010040671</t>
  </si>
  <si>
    <t>IT01010040671</t>
  </si>
  <si>
    <t>151209</t>
  </si>
  <si>
    <t>Teramo</t>
  </si>
  <si>
    <t>Abruzzo</t>
  </si>
  <si>
    <t>5341.</t>
  </si>
  <si>
    <t>PIERALISI SOCIETA' A RESPONSABILITA' LIMITATA SEMPLIFICATA</t>
  </si>
  <si>
    <t>13880371003</t>
  </si>
  <si>
    <t>IT13880371003</t>
  </si>
  <si>
    <t>5342.</t>
  </si>
  <si>
    <t>MOZZORECCHIA ACCESSORI MODA SOCIETA' A RESPONSABILITA' LIMITATA SEMPLIFICATA IN SIGLA MOZZORECCHIA ACCESSORI MODA SRLS</t>
  </si>
  <si>
    <t>02519860445</t>
  </si>
  <si>
    <t>IT02519860445</t>
  </si>
  <si>
    <t>5343.</t>
  </si>
  <si>
    <t>MODA SERVICE SOCIETA' A RESPONSABILITA' LIMITATA SEMPLIFICATA</t>
  </si>
  <si>
    <t>04044060046</t>
  </si>
  <si>
    <t>IT04044060046</t>
  </si>
  <si>
    <t>Cuneo</t>
  </si>
  <si>
    <t>5344.</t>
  </si>
  <si>
    <t>MIDEL S.R.L.</t>
  </si>
  <si>
    <t>03632060616</t>
  </si>
  <si>
    <t>IT03632060616</t>
  </si>
  <si>
    <t>141320</t>
  </si>
  <si>
    <t>Caserta</t>
  </si>
  <si>
    <t>Campania</t>
  </si>
  <si>
    <t>n.d.</t>
  </si>
  <si>
    <t>5345.</t>
  </si>
  <si>
    <t>BAUSTELLE SRL</t>
  </si>
  <si>
    <t>03630810244</t>
  </si>
  <si>
    <t>IT03630810244</t>
  </si>
  <si>
    <t>141100</t>
  </si>
  <si>
    <t>Padova</t>
  </si>
  <si>
    <t>Veneto</t>
  </si>
  <si>
    <t>5346.</t>
  </si>
  <si>
    <t>ECO FASHION GROUP - SOCIETA' COOPERATIVA</t>
  </si>
  <si>
    <t>06265700820</t>
  </si>
  <si>
    <t>IT06265700820</t>
  </si>
  <si>
    <t>151209</t>
  </si>
  <si>
    <t>Palermo</t>
  </si>
  <si>
    <t>Sicilia</t>
  </si>
  <si>
    <t>5347.</t>
  </si>
  <si>
    <t>RO.MA. S.R.L.</t>
  </si>
  <si>
    <t>01837690443</t>
  </si>
  <si>
    <t>IT01837690443</t>
  </si>
  <si>
    <t>152010</t>
  </si>
  <si>
    <t>Fermo</t>
  </si>
  <si>
    <t>Marche</t>
  </si>
  <si>
    <t>5348.</t>
  </si>
  <si>
    <t>ESSETIESSE S.R.L.</t>
  </si>
  <si>
    <t>02430950978</t>
  </si>
  <si>
    <t>IT02430950978</t>
  </si>
  <si>
    <t>141310</t>
  </si>
  <si>
    <t>Prato</t>
  </si>
  <si>
    <t>Toscana</t>
  </si>
  <si>
    <t>5349.</t>
  </si>
  <si>
    <t>CALZATURIFICIO NUOVA CRISCI S.R.L.</t>
  </si>
  <si>
    <t>02799161217</t>
  </si>
  <si>
    <t>IT02799161217</t>
  </si>
  <si>
    <t>152000</t>
  </si>
  <si>
    <t>Napoli</t>
  </si>
  <si>
    <t>5350.</t>
  </si>
  <si>
    <t>AURORA DI SPECCHIA S.R.L.</t>
  </si>
  <si>
    <t>05275240751</t>
  </si>
  <si>
    <t>IT05275240751</t>
  </si>
  <si>
    <t>Lecce</t>
  </si>
  <si>
    <t>Puglia</t>
  </si>
  <si>
    <t>5351.</t>
  </si>
  <si>
    <t>ABITEK S.R.L.</t>
  </si>
  <si>
    <t>02084050810</t>
  </si>
  <si>
    <t>IT02084050810</t>
  </si>
  <si>
    <t>141000</t>
  </si>
  <si>
    <t>Trapani</t>
  </si>
  <si>
    <t>5352.</t>
  </si>
  <si>
    <t>F.LLI DEL PIANO S.R.L.</t>
  </si>
  <si>
    <t>07617600635</t>
  </si>
  <si>
    <t>02447970613</t>
  </si>
  <si>
    <t>IT02447970613</t>
  </si>
  <si>
    <t>5353.</t>
  </si>
  <si>
    <t>SEVEN GAUGE S.R.L.</t>
  </si>
  <si>
    <t>04089111209</t>
  </si>
  <si>
    <t>IT04089111209</t>
  </si>
  <si>
    <t>141910</t>
  </si>
  <si>
    <t>Bologna</t>
  </si>
  <si>
    <t>Emilia-Romagna</t>
  </si>
  <si>
    <t>5354.</t>
  </si>
  <si>
    <t>IXOS S.R.L.</t>
  </si>
  <si>
    <t>01578370445</t>
  </si>
  <si>
    <t>IT01578370445</t>
  </si>
  <si>
    <t>5355.</t>
  </si>
  <si>
    <t>MIRAPEL S.R.L.</t>
  </si>
  <si>
    <t>02322790441</t>
  </si>
  <si>
    <t>IT02322790441</t>
  </si>
  <si>
    <t>5356.</t>
  </si>
  <si>
    <t>IZZO PELLI S.R.L.</t>
  </si>
  <si>
    <t>00730410628</t>
  </si>
  <si>
    <t>IT00730410628</t>
  </si>
  <si>
    <t>151100</t>
  </si>
  <si>
    <t>Benevento</t>
  </si>
  <si>
    <t>5357.</t>
  </si>
  <si>
    <t>DEL BARBA GIANFRANCO S.R.L.</t>
  </si>
  <si>
    <t>04501900981</t>
  </si>
  <si>
    <t>IT04501900981</t>
  </si>
  <si>
    <t>143100</t>
  </si>
  <si>
    <t>Brescia</t>
  </si>
  <si>
    <t>Lombardia</t>
  </si>
  <si>
    <t>5358.</t>
  </si>
  <si>
    <t>G.F. S.R.L.</t>
  </si>
  <si>
    <t>08221211215</t>
  </si>
  <si>
    <t>IT08221211215</t>
  </si>
  <si>
    <t>5359.</t>
  </si>
  <si>
    <t>BELTS TREATED S.R.L.</t>
  </si>
  <si>
    <t>03828020168</t>
  </si>
  <si>
    <t>IT03828020168</t>
  </si>
  <si>
    <t>Bergamo</t>
  </si>
  <si>
    <t>5360.</t>
  </si>
  <si>
    <t>S.E. CONFEZIONI S.R.L. SOCIETA' UNIPERSONALE</t>
  </si>
  <si>
    <t>02620000600</t>
  </si>
  <si>
    <t>IT02620000600</t>
  </si>
  <si>
    <t>141929</t>
  </si>
  <si>
    <t>Frosinone</t>
  </si>
  <si>
    <t>Lazio</t>
  </si>
  <si>
    <t>5361.</t>
  </si>
  <si>
    <t>BEBA S.R.L.</t>
  </si>
  <si>
    <t>04602270961</t>
  </si>
  <si>
    <t>IT04602270961</t>
  </si>
  <si>
    <t>141300</t>
  </si>
  <si>
    <t>Milano</t>
  </si>
  <si>
    <t>5362.</t>
  </si>
  <si>
    <t>CAMICIA IN S.R.L.</t>
  </si>
  <si>
    <t>14221191001</t>
  </si>
  <si>
    <t>IT14221191001</t>
  </si>
  <si>
    <t>141400</t>
  </si>
  <si>
    <t>Roma</t>
  </si>
  <si>
    <t>5363.</t>
  </si>
  <si>
    <t>COOPERATIVA LIGURIA</t>
  </si>
  <si>
    <t>02875210995</t>
  </si>
  <si>
    <t>IT02875210995</t>
  </si>
  <si>
    <t>Genova</t>
  </si>
  <si>
    <t>Liguria</t>
  </si>
  <si>
    <t>5364.</t>
  </si>
  <si>
    <t>CONFITALY SOCIETA' A RESPONSABILITA' LIMITATA SEMPLIFICATA</t>
  </si>
  <si>
    <t>04014330247</t>
  </si>
  <si>
    <t>IT04014330247</t>
  </si>
  <si>
    <t>Novara</t>
  </si>
  <si>
    <t>Piemonte</t>
  </si>
  <si>
    <t>5365.</t>
  </si>
  <si>
    <t>ARTEX S.R.L.</t>
  </si>
  <si>
    <t>01651590562</t>
  </si>
  <si>
    <t>IT01651590562</t>
  </si>
  <si>
    <t>143000</t>
  </si>
  <si>
    <t>Viterbo</t>
  </si>
  <si>
    <t>5366.</t>
  </si>
  <si>
    <t>MIFRA SRL</t>
  </si>
  <si>
    <t>02084510441</t>
  </si>
  <si>
    <t>IT02084510441</t>
  </si>
  <si>
    <t>152020</t>
  </si>
  <si>
    <t>5367.</t>
  </si>
  <si>
    <t>RUGGERI E LUCIANI S.R.L.</t>
  </si>
  <si>
    <t>00963770433</t>
  </si>
  <si>
    <t>IT00963770433</t>
  </si>
  <si>
    <t>151200</t>
  </si>
  <si>
    <t>Macerata</t>
  </si>
  <si>
    <t>5368.</t>
  </si>
  <si>
    <t>FRAMACA SOCIETA' A RESPONSABILITA' LIMITATA</t>
  </si>
  <si>
    <t>11449401006</t>
  </si>
  <si>
    <t>IT11449401006</t>
  </si>
  <si>
    <t>5369.</t>
  </si>
  <si>
    <t>HARAMBEE SOCIETA' COOPERATIVA A R.L. IN LIQUIDAZIONE</t>
  </si>
  <si>
    <t>01639550704</t>
  </si>
  <si>
    <t>IT01639550704</t>
  </si>
  <si>
    <t>141200</t>
  </si>
  <si>
    <t>Campobasso</t>
  </si>
  <si>
    <t>Molise</t>
  </si>
  <si>
    <t>5370.</t>
  </si>
  <si>
    <t>DE CARLIS - SOCIETA A RESPONSABILITA LIMITATA</t>
  </si>
  <si>
    <t>00912741006</t>
  </si>
  <si>
    <t>00570310581</t>
  </si>
  <si>
    <t>IT00570310581</t>
  </si>
  <si>
    <t>142000</t>
  </si>
  <si>
    <t>5371.</t>
  </si>
  <si>
    <t>ZYP - SOCIETA' A RESPONSABILITA' LIMITATA</t>
  </si>
  <si>
    <t>09725501002</t>
  </si>
  <si>
    <t>IT09725501002</t>
  </si>
  <si>
    <t>5372.</t>
  </si>
  <si>
    <t>CUSUTI SOCIETA' A RESPONSABILITA' LIMITATA SEMPLIFICATA</t>
  </si>
  <si>
    <t>03786410369</t>
  </si>
  <si>
    <t>IT03786410369</t>
  </si>
  <si>
    <t>Modena</t>
  </si>
  <si>
    <t>5373.</t>
  </si>
  <si>
    <t>ANNETTE S.R.L.</t>
  </si>
  <si>
    <t>03863590752</t>
  </si>
  <si>
    <t>IT03863590752</t>
  </si>
  <si>
    <t>5374.</t>
  </si>
  <si>
    <t>FIA ANTINFORTUNISTICA S.R.L.</t>
  </si>
  <si>
    <t>07325500630</t>
  </si>
  <si>
    <t>IT07325500630</t>
  </si>
  <si>
    <t>5375.</t>
  </si>
  <si>
    <t>ITALIAN BRAND S.R.L.</t>
  </si>
  <si>
    <t>06892871218</t>
  </si>
  <si>
    <t>IT06892871218</t>
  </si>
  <si>
    <t>5376.</t>
  </si>
  <si>
    <t>RACINE CARRE'E S.R.L.</t>
  </si>
  <si>
    <t>09320080964</t>
  </si>
  <si>
    <t>IT09320080964</t>
  </si>
  <si>
    <t>141000</t>
  </si>
  <si>
    <t>Milano</t>
  </si>
  <si>
    <t>Lombardia</t>
  </si>
  <si>
    <t>n.d.</t>
  </si>
  <si>
    <t>5377.</t>
  </si>
  <si>
    <t>BIEFFEESSE S.R.L. UNIPERSONALE</t>
  </si>
  <si>
    <t>05476080824</t>
  </si>
  <si>
    <t>IT05476080824</t>
  </si>
  <si>
    <t>141320</t>
  </si>
  <si>
    <t>Palermo</t>
  </si>
  <si>
    <t>Sicilia</t>
  </si>
  <si>
    <t>5378.</t>
  </si>
  <si>
    <t>TRENTAPIEDI PRODUCTION S.R.L.</t>
  </si>
  <si>
    <t>06817880484</t>
  </si>
  <si>
    <t>IT06817880484</t>
  </si>
  <si>
    <t>141100</t>
  </si>
  <si>
    <t>Firenze</t>
  </si>
  <si>
    <t>Toscana</t>
  </si>
  <si>
    <t>5379.</t>
  </si>
  <si>
    <t>ITTIERRE SOCIETA' A RESPONSABILITA' LIMITATA</t>
  </si>
  <si>
    <t>01002820940</t>
  </si>
  <si>
    <t>IT01002820940</t>
  </si>
  <si>
    <t>141310</t>
  </si>
  <si>
    <t>Isernia</t>
  </si>
  <si>
    <t>Molise</t>
  </si>
  <si>
    <t>5380.</t>
  </si>
  <si>
    <t>PRIMA LINEA DESIGN S.R.L.</t>
  </si>
  <si>
    <t>03873651214</t>
  </si>
  <si>
    <t>07094190639</t>
  </si>
  <si>
    <t>IT07094190639</t>
  </si>
  <si>
    <t>151209</t>
  </si>
  <si>
    <t>Napoli</t>
  </si>
  <si>
    <t>Campania</t>
  </si>
  <si>
    <t>5381.</t>
  </si>
  <si>
    <t>EMMEPI VENEZIA SOCIETA' A RESPONSABILITA' LIMITATA SEMPLIFICATA</t>
  </si>
  <si>
    <t>04805140276</t>
  </si>
  <si>
    <t>IT04805140276</t>
  </si>
  <si>
    <t>152020</t>
  </si>
  <si>
    <t>Venezia</t>
  </si>
  <si>
    <t>Veneto</t>
  </si>
  <si>
    <t>5382.</t>
  </si>
  <si>
    <t>ANTICA CAMICERIA LOMBARDI S.R.L.</t>
  </si>
  <si>
    <t>04484091212</t>
  </si>
  <si>
    <t>IT04484091212</t>
  </si>
  <si>
    <t>141400</t>
  </si>
  <si>
    <t>5383.</t>
  </si>
  <si>
    <t>ISIDE S.R.L.</t>
  </si>
  <si>
    <t>07345541218</t>
  </si>
  <si>
    <t>IT07345541218</t>
  </si>
  <si>
    <t>5384.</t>
  </si>
  <si>
    <t>8SQUAD SRL</t>
  </si>
  <si>
    <t>02558990186</t>
  </si>
  <si>
    <t>IT02558990186</t>
  </si>
  <si>
    <t>141910</t>
  </si>
  <si>
    <t>Pavia</t>
  </si>
  <si>
    <t>5385.</t>
  </si>
  <si>
    <t>PENNETTA FASHION S.R.L</t>
  </si>
  <si>
    <t>04356440752</t>
  </si>
  <si>
    <t>IT04356440752</t>
  </si>
  <si>
    <t>Lecce</t>
  </si>
  <si>
    <t>Puglia</t>
  </si>
  <si>
    <t>5386.</t>
  </si>
  <si>
    <t>JEANS ACADEMY S.R.L.</t>
  </si>
  <si>
    <t>01931430670</t>
  </si>
  <si>
    <t>IT01931430670</t>
  </si>
  <si>
    <t>Teramo</t>
  </si>
  <si>
    <t>Abruzzo</t>
  </si>
  <si>
    <t>5387.</t>
  </si>
  <si>
    <t>HOCUS POCUS S.R.L.</t>
  </si>
  <si>
    <t>04574650729</t>
  </si>
  <si>
    <t>IT04574650729</t>
  </si>
  <si>
    <t>Barletta-Andria-Trani</t>
  </si>
  <si>
    <t>5388.</t>
  </si>
  <si>
    <t>ARUX SHOES S.R.L</t>
  </si>
  <si>
    <t>02074260478</t>
  </si>
  <si>
    <t>IT02074260478</t>
  </si>
  <si>
    <t>152010</t>
  </si>
  <si>
    <t>Pistoia</t>
  </si>
  <si>
    <t>5389.</t>
  </si>
  <si>
    <t>GAM - SOCIETA' A RESPONSABILITA' LIMITATA</t>
  </si>
  <si>
    <t>07976041009</t>
  </si>
  <si>
    <t>IT07976041009</t>
  </si>
  <si>
    <t>Roma</t>
  </si>
  <si>
    <t>Lazio</t>
  </si>
  <si>
    <t>5390.</t>
  </si>
  <si>
    <t>ATHENA S.R.L.</t>
  </si>
  <si>
    <t>02090220399</t>
  </si>
  <si>
    <t>IT02090220399</t>
  </si>
  <si>
    <t>143000</t>
  </si>
  <si>
    <t>Ravenna</t>
  </si>
  <si>
    <t>Emilia-Romagna</t>
  </si>
  <si>
    <t>5391.</t>
  </si>
  <si>
    <t>FUTURA SOCIETA' A RESPONSABILITA' LIMITATA SEMPLIFICATA</t>
  </si>
  <si>
    <t>03680510835</t>
  </si>
  <si>
    <t>IT03680510835</t>
  </si>
  <si>
    <t>Messina</t>
  </si>
  <si>
    <t>5392.</t>
  </si>
  <si>
    <t>ITALIAN FASHION COMPANY SRL</t>
  </si>
  <si>
    <t>00907970529</t>
  </si>
  <si>
    <t>IT00907970529</t>
  </si>
  <si>
    <t>5393.</t>
  </si>
  <si>
    <t>ZEMADE SOCIETA' A RESPONSABILITA' LIMITATA SEMPLIFICATA</t>
  </si>
  <si>
    <t>03199980735</t>
  </si>
  <si>
    <t>IT03199980735</t>
  </si>
  <si>
    <t>Taranto</t>
  </si>
  <si>
    <t>5394.</t>
  </si>
  <si>
    <t>ITALFUSSBETT S.R.L.</t>
  </si>
  <si>
    <t>01640210439</t>
  </si>
  <si>
    <t>IT01640210439</t>
  </si>
  <si>
    <t>Macerata</t>
  </si>
  <si>
    <t>Marche</t>
  </si>
  <si>
    <t>5395.</t>
  </si>
  <si>
    <t>JO' BY JULIA S.R.L.</t>
  </si>
  <si>
    <t>07938080962</t>
  </si>
  <si>
    <t>IT07938080962</t>
  </si>
  <si>
    <t>Bologna</t>
  </si>
  <si>
    <t>5396.</t>
  </si>
  <si>
    <t>CREATION SOCIETA' A RESPONSABILITA' LIMITATA SEMPLIFICATA</t>
  </si>
  <si>
    <t>02940860840</t>
  </si>
  <si>
    <t>IT02940860840</t>
  </si>
  <si>
    <t>Agrigento</t>
  </si>
  <si>
    <t>5397.</t>
  </si>
  <si>
    <t>CAPEZZANI SRL</t>
  </si>
  <si>
    <t>02110500432</t>
  </si>
  <si>
    <t>IT02110500432</t>
  </si>
  <si>
    <t>5398.</t>
  </si>
  <si>
    <t>CHREMA S.R.L.</t>
  </si>
  <si>
    <t>03608430132</t>
  </si>
  <si>
    <t>IT03608430132</t>
  </si>
  <si>
    <t>5399.</t>
  </si>
  <si>
    <t>GRETEL LUXURY DESIGN S.R.L.</t>
  </si>
  <si>
    <t>08973690962</t>
  </si>
  <si>
    <t>IT08973690962</t>
  </si>
  <si>
    <t>5400.</t>
  </si>
  <si>
    <t>MAJOCA SOCIETA' A RESPONSABILITA' LIMITATA SEMPLIFICATA</t>
  </si>
  <si>
    <t>05173300871</t>
  </si>
  <si>
    <t>IT05173300871</t>
  </si>
  <si>
    <t>141929</t>
  </si>
  <si>
    <t>Catania</t>
  </si>
  <si>
    <t>5401.</t>
  </si>
  <si>
    <t>LAVORI ARTIGIANALI FEMMINILI - S.R.L.</t>
  </si>
  <si>
    <t>01494971003</t>
  </si>
  <si>
    <t>06112530586</t>
  </si>
  <si>
    <t>IT06112530586</t>
  </si>
  <si>
    <t>5402.</t>
  </si>
  <si>
    <t>OLD SOCCER NOSTALGIA SOCIETA' A RESPONSABILITA' LIMITATA</t>
  </si>
  <si>
    <t>00995230570</t>
  </si>
  <si>
    <t>IT00995230570</t>
  </si>
  <si>
    <t>Rieti</t>
  </si>
  <si>
    <t>5403.</t>
  </si>
  <si>
    <t>LASECONDA S.R.L. SEMPLIFICATA</t>
  </si>
  <si>
    <t>03680350364</t>
  </si>
  <si>
    <t>IT03680350364</t>
  </si>
  <si>
    <t>Modena</t>
  </si>
  <si>
    <t>5404.</t>
  </si>
  <si>
    <t>CHANCE S.R.L.</t>
  </si>
  <si>
    <t>01704840675</t>
  </si>
  <si>
    <t>IT01704840675</t>
  </si>
  <si>
    <t>5405.</t>
  </si>
  <si>
    <t>HABITUS S.R.L.</t>
  </si>
  <si>
    <t>01477700882</t>
  </si>
  <si>
    <t>IT01477700882</t>
  </si>
  <si>
    <t>141200</t>
  </si>
  <si>
    <t>Ragusa</t>
  </si>
  <si>
    <t>5406.</t>
  </si>
  <si>
    <t>PIERO ZAMAGNI S.R.L.</t>
  </si>
  <si>
    <t>04180650402</t>
  </si>
  <si>
    <t>IT04180650402</t>
  </si>
  <si>
    <t>Forlì-Cesena</t>
  </si>
  <si>
    <t>5407.</t>
  </si>
  <si>
    <t>2P GROUP S.R.L.S. - SOCIETA' A RESPONSABILITA' LIMITATA SEMPLIFICATA</t>
  </si>
  <si>
    <t>08316131211</t>
  </si>
  <si>
    <t>IT08316131211</t>
  </si>
  <si>
    <t>5408.</t>
  </si>
  <si>
    <t>DE STEFANO &amp; PARTNERS S.R.L.</t>
  </si>
  <si>
    <t>01229090095</t>
  </si>
  <si>
    <t>IT01229090095</t>
  </si>
  <si>
    <t>141320</t>
  </si>
  <si>
    <t>Savona</t>
  </si>
  <si>
    <t>Liguria</t>
  </si>
  <si>
    <t>n.d.</t>
  </si>
  <si>
    <t>5409.</t>
  </si>
  <si>
    <t>GP MODA S.R.L.</t>
  </si>
  <si>
    <t>01543030199</t>
  </si>
  <si>
    <t>IT01543030199</t>
  </si>
  <si>
    <t>141000</t>
  </si>
  <si>
    <t>Cremona</t>
  </si>
  <si>
    <t>Lombardia</t>
  </si>
  <si>
    <t>5410.</t>
  </si>
  <si>
    <t>ANGELO FUSCO S.R.L.</t>
  </si>
  <si>
    <t>02514010616</t>
  </si>
  <si>
    <t>IT02514010616</t>
  </si>
  <si>
    <t>141910</t>
  </si>
  <si>
    <t>Caserta</t>
  </si>
  <si>
    <t>Campania</t>
  </si>
  <si>
    <t>5411.</t>
  </si>
  <si>
    <t>GRUPPO MODA ITALIA S.P.A.</t>
  </si>
  <si>
    <t>06217900825</t>
  </si>
  <si>
    <t>IT06217900825</t>
  </si>
  <si>
    <t>Palermo</t>
  </si>
  <si>
    <t>Sicilia</t>
  </si>
  <si>
    <t>5412.</t>
  </si>
  <si>
    <t>MORE COUTURE SOCIETA' A RESPONSABILITA' LIMITATA</t>
  </si>
  <si>
    <t>07113800820</t>
  </si>
  <si>
    <t>IT07113800820</t>
  </si>
  <si>
    <t>5413.</t>
  </si>
  <si>
    <t>NTULIN S.R.L.</t>
  </si>
  <si>
    <t>03290820541</t>
  </si>
  <si>
    <t>IT03290820541</t>
  </si>
  <si>
    <t>143900</t>
  </si>
  <si>
    <t>Perugia</t>
  </si>
  <si>
    <t>Umbria</t>
  </si>
  <si>
    <t>5414.</t>
  </si>
  <si>
    <t>ZEA COUTURE SOCIETA' A RESPONSABILITA' LIMITATA SEMPLIFICATA</t>
  </si>
  <si>
    <t>02156800514</t>
  </si>
  <si>
    <t>IT02156800514</t>
  </si>
  <si>
    <t>Arezzo</t>
  </si>
  <si>
    <t>Toscana</t>
  </si>
  <si>
    <t>5415.</t>
  </si>
  <si>
    <t>TOLUPA S.R.L.</t>
  </si>
  <si>
    <t>05217641215</t>
  </si>
  <si>
    <t>IT05217641215</t>
  </si>
  <si>
    <t>141310</t>
  </si>
  <si>
    <t>Napoli</t>
  </si>
  <si>
    <t>5416.</t>
  </si>
  <si>
    <t>KAOUTAR S.R.L. SEMPLIFICATA</t>
  </si>
  <si>
    <t>17038641001</t>
  </si>
  <si>
    <t>IT17038641001</t>
  </si>
  <si>
    <t>Roma</t>
  </si>
  <si>
    <t>Lazio</t>
  </si>
  <si>
    <t>5417.</t>
  </si>
  <si>
    <t>TOMMASO STRANGIS S.R.L</t>
  </si>
  <si>
    <t>02558480790</t>
  </si>
  <si>
    <t>IT02558480790</t>
  </si>
  <si>
    <t>Catanzaro</t>
  </si>
  <si>
    <t>Calabria</t>
  </si>
  <si>
    <t>5418.</t>
  </si>
  <si>
    <t>BARBARA TRICOT S.R.L.</t>
  </si>
  <si>
    <t>02541000135</t>
  </si>
  <si>
    <t>IT02541000135</t>
  </si>
  <si>
    <t>Lecco</t>
  </si>
  <si>
    <t>5419.</t>
  </si>
  <si>
    <t>ROBERTO CASACCIA PELLETTERIE S.R.L.</t>
  </si>
  <si>
    <t>00113410427</t>
  </si>
  <si>
    <t>IT00113410427</t>
  </si>
  <si>
    <t>151200</t>
  </si>
  <si>
    <t>Ancona</t>
  </si>
  <si>
    <t>Marche</t>
  </si>
  <si>
    <t>5420.</t>
  </si>
  <si>
    <t>BRAINTROPY SRL</t>
  </si>
  <si>
    <t>04908620281</t>
  </si>
  <si>
    <t>IT04908620281</t>
  </si>
  <si>
    <t>151209</t>
  </si>
  <si>
    <t>Padova</t>
  </si>
  <si>
    <t>Veneto</t>
  </si>
  <si>
    <t>5421.</t>
  </si>
  <si>
    <t>MAISON CONTINI S.R.L.</t>
  </si>
  <si>
    <t>03736610928</t>
  </si>
  <si>
    <t>IT03736610928</t>
  </si>
  <si>
    <t>Cagliari</t>
  </si>
  <si>
    <t>Sardegna</t>
  </si>
  <si>
    <t>5422.</t>
  </si>
  <si>
    <t>TOI ITALIA S.R.L.</t>
  </si>
  <si>
    <t>01271760553</t>
  </si>
  <si>
    <t>IT01271760553</t>
  </si>
  <si>
    <t>Terni</t>
  </si>
  <si>
    <t>5423.</t>
  </si>
  <si>
    <t>GIUSY CATAPANO SRL - SOCIETA' A RESPONSABILITA' LIMITATA SEMPLIF ATA</t>
  </si>
  <si>
    <t>03376030783</t>
  </si>
  <si>
    <t>IT03376030783</t>
  </si>
  <si>
    <t>Cosenza</t>
  </si>
  <si>
    <t>5424.</t>
  </si>
  <si>
    <t>BBC TRADING SRL</t>
  </si>
  <si>
    <t>00665060414</t>
  </si>
  <si>
    <t>IT00665060414</t>
  </si>
  <si>
    <t>Pesaro e Urbino</t>
  </si>
  <si>
    <t>5425.</t>
  </si>
  <si>
    <t>BRUNO ANGELA SRL</t>
  </si>
  <si>
    <t>01262870122</t>
  </si>
  <si>
    <t>IT01262870122</t>
  </si>
  <si>
    <t>Varese</t>
  </si>
  <si>
    <t>5426.</t>
  </si>
  <si>
    <t>LASGYM S.R.L.</t>
  </si>
  <si>
    <t>08775680724</t>
  </si>
  <si>
    <t>IT08775680724</t>
  </si>
  <si>
    <t>Bari</t>
  </si>
  <si>
    <t>Puglia</t>
  </si>
  <si>
    <t>5427.</t>
  </si>
  <si>
    <t>STUDIO TESSILE FURLAN SOCIETA' A RESPONSABILITA' LIMITATA SEMPLIFICATA</t>
  </si>
  <si>
    <t>04945230284</t>
  </si>
  <si>
    <t>IT04945230284</t>
  </si>
  <si>
    <t>5428.</t>
  </si>
  <si>
    <t>ASG SERVICES SOCIETA' A RESPONSABILITA' LIMITATA SEMPLIFICATA</t>
  </si>
  <si>
    <t>02516050222</t>
  </si>
  <si>
    <t>IT02516050222</t>
  </si>
  <si>
    <t>152010</t>
  </si>
  <si>
    <t>Trento</t>
  </si>
  <si>
    <t>Trentino-Alto Adige/Südtirol</t>
  </si>
  <si>
    <t>5429.</t>
  </si>
  <si>
    <t>LA PELLE - MODA S.R.L.</t>
  </si>
  <si>
    <t>02221950468</t>
  </si>
  <si>
    <t>IT02221950468</t>
  </si>
  <si>
    <t>Lucca</t>
  </si>
  <si>
    <t>5430.</t>
  </si>
  <si>
    <t>INTESA 31 SOCIETA' A RESPONSABILITA' LIMITATA</t>
  </si>
  <si>
    <t>01973210675</t>
  </si>
  <si>
    <t>IT01973210675</t>
  </si>
  <si>
    <t>Teramo</t>
  </si>
  <si>
    <t>Abruzzo</t>
  </si>
  <si>
    <t>5431.</t>
  </si>
  <si>
    <t>NONSOLOCUOIO S.R.L.</t>
  </si>
  <si>
    <t>01176260527</t>
  </si>
  <si>
    <t>IT01176260527</t>
  </si>
  <si>
    <t>Siena</t>
  </si>
  <si>
    <t>5432.</t>
  </si>
  <si>
    <t>LF FASHION SRL</t>
  </si>
  <si>
    <t>02831020413</t>
  </si>
  <si>
    <t>IT02831020413</t>
  </si>
  <si>
    <t>5433.</t>
  </si>
  <si>
    <t>GEDA CONSULTING SRL</t>
  </si>
  <si>
    <t>01422660629</t>
  </si>
  <si>
    <t>IT01422660629</t>
  </si>
  <si>
    <t>Benevento</t>
  </si>
  <si>
    <t>5434.</t>
  </si>
  <si>
    <t>MANDOCH S.R.L.</t>
  </si>
  <si>
    <t>01777070440</t>
  </si>
  <si>
    <t>IT01777070440</t>
  </si>
  <si>
    <t>Fermo</t>
  </si>
  <si>
    <t>5435.</t>
  </si>
  <si>
    <t>CARYM S.R.L.</t>
  </si>
  <si>
    <t>01642640856</t>
  </si>
  <si>
    <t>IT01642640856</t>
  </si>
  <si>
    <t>141400</t>
  </si>
  <si>
    <t>Caltanissetta</t>
  </si>
  <si>
    <t>5436.</t>
  </si>
  <si>
    <t>IDEA S.R.L.</t>
  </si>
  <si>
    <t>02672120694</t>
  </si>
  <si>
    <t>IT02672120694</t>
  </si>
  <si>
    <t>Chieti</t>
  </si>
  <si>
    <t>5437.</t>
  </si>
  <si>
    <t>SENSO CREATIVO SOCIETA' A RESPONSABILITA' LIMITATA SEMPLIFICATA</t>
  </si>
  <si>
    <t>04716700267</t>
  </si>
  <si>
    <t>IT04716700267</t>
  </si>
  <si>
    <t>Treviso</t>
  </si>
  <si>
    <t>5438.</t>
  </si>
  <si>
    <t>L'OFFICINA DELL'ABITO S.R.L.</t>
  </si>
  <si>
    <t>11077760962</t>
  </si>
  <si>
    <t>IT11077760962</t>
  </si>
  <si>
    <t>Milano</t>
  </si>
  <si>
    <t>5439.</t>
  </si>
  <si>
    <t>S.A.C. &amp; S. SOCIETA' A RESPONSABILITA' LIMITATA SEMPLIFICATA</t>
  </si>
  <si>
    <t>12791891000</t>
  </si>
  <si>
    <t>IT12791891000</t>
  </si>
  <si>
    <t>5440.</t>
  </si>
  <si>
    <t>NUOVA DUBLO S.R.L. IN LIQUIDAZIONE</t>
  </si>
  <si>
    <t>01590220594</t>
  </si>
  <si>
    <t>IT01590220594</t>
  </si>
  <si>
    <t>143100</t>
  </si>
  <si>
    <t>Venezia</t>
  </si>
  <si>
    <t>Veneto</t>
  </si>
  <si>
    <t>n.d.</t>
  </si>
  <si>
    <t>5441.</t>
  </si>
  <si>
    <t>LE OCHE S.R.L.</t>
  </si>
  <si>
    <t>10723811005</t>
  </si>
  <si>
    <t>IT10723811005</t>
  </si>
  <si>
    <t>143900</t>
  </si>
  <si>
    <t>Roma</t>
  </si>
  <si>
    <t>Lazio</t>
  </si>
  <si>
    <t>5442.</t>
  </si>
  <si>
    <t>NOWADAYS S.R.L. SEMPLIFICATA</t>
  </si>
  <si>
    <t>02230520443</t>
  </si>
  <si>
    <t>IT02230520443</t>
  </si>
  <si>
    <t>152010</t>
  </si>
  <si>
    <t>Fermo</t>
  </si>
  <si>
    <t>Marche</t>
  </si>
  <si>
    <t>5443.</t>
  </si>
  <si>
    <t>SELOGICA S.R.L.</t>
  </si>
  <si>
    <t>02698490220</t>
  </si>
  <si>
    <t>IT02698490220</t>
  </si>
  <si>
    <t>141000</t>
  </si>
  <si>
    <t>Trento</t>
  </si>
  <si>
    <t>Trentino-Alto Adige/Südtirol</t>
  </si>
  <si>
    <t>5444.</t>
  </si>
  <si>
    <t>PUNTO TRE S.R.L.</t>
  </si>
  <si>
    <t>02540620545</t>
  </si>
  <si>
    <t>IT02540620545</t>
  </si>
  <si>
    <t>141300</t>
  </si>
  <si>
    <t>Perugia</t>
  </si>
  <si>
    <t>Umbria</t>
  </si>
  <si>
    <t>5445.</t>
  </si>
  <si>
    <t>SEI UNICA SRLS</t>
  </si>
  <si>
    <t>01647450293</t>
  </si>
  <si>
    <t>IT01647450293</t>
  </si>
  <si>
    <t>141320</t>
  </si>
  <si>
    <t>Rovigo</t>
  </si>
  <si>
    <t>5446.</t>
  </si>
  <si>
    <t>ECONA SRL SEMPLIFICATA</t>
  </si>
  <si>
    <t>11003440960</t>
  </si>
  <si>
    <t>IT11003440960</t>
  </si>
  <si>
    <t>141910</t>
  </si>
  <si>
    <t>Milano</t>
  </si>
  <si>
    <t>Lombardia</t>
  </si>
  <si>
    <t>5447.</t>
  </si>
  <si>
    <t>LOREN'S PELLETTERIA SOCIETA' COOPERATIVA</t>
  </si>
  <si>
    <t>06287730821</t>
  </si>
  <si>
    <t>IT06287730821</t>
  </si>
  <si>
    <t>141100</t>
  </si>
  <si>
    <t>Palermo</t>
  </si>
  <si>
    <t>Sicilia</t>
  </si>
  <si>
    <t>5448.</t>
  </si>
  <si>
    <t>CLOTHES LAB S.R.L.</t>
  </si>
  <si>
    <t>08784840723</t>
  </si>
  <si>
    <t>IT08784840723</t>
  </si>
  <si>
    <t>Barletta-Andria-Trani</t>
  </si>
  <si>
    <t>Puglia</t>
  </si>
  <si>
    <t>5449.</t>
  </si>
  <si>
    <t>SUIT FASHION S.R.L.S.</t>
  </si>
  <si>
    <t>06207850659</t>
  </si>
  <si>
    <t>IT06207850659</t>
  </si>
  <si>
    <t>Salerno</t>
  </si>
  <si>
    <t>Campania</t>
  </si>
  <si>
    <t>5450.</t>
  </si>
  <si>
    <t>GROUP FASHION ITALIA S.R.L.</t>
  </si>
  <si>
    <t>06773710725</t>
  </si>
  <si>
    <t>IT06773710725</t>
  </si>
  <si>
    <t>141400</t>
  </si>
  <si>
    <t>Bari</t>
  </si>
  <si>
    <t>5451.</t>
  </si>
  <si>
    <t>LSG GROUP SRL</t>
  </si>
  <si>
    <t>05502010282</t>
  </si>
  <si>
    <t>IT05502010282</t>
  </si>
  <si>
    <t>Padova</t>
  </si>
  <si>
    <t>5452.</t>
  </si>
  <si>
    <t>ARKOUDI S.R.L.</t>
  </si>
  <si>
    <t>10592311004</t>
  </si>
  <si>
    <t>IT10592311004</t>
  </si>
  <si>
    <t>5453.</t>
  </si>
  <si>
    <t>PELLETTERIA L'EUROPEA S.R.L.</t>
  </si>
  <si>
    <t>00764460671</t>
  </si>
  <si>
    <t>IT00764460671</t>
  </si>
  <si>
    <t>151209</t>
  </si>
  <si>
    <t>Teramo</t>
  </si>
  <si>
    <t>Abruzzo</t>
  </si>
  <si>
    <t>5454.</t>
  </si>
  <si>
    <t>LES BOULES COLOREES S.R.L.</t>
  </si>
  <si>
    <t>10154801210</t>
  </si>
  <si>
    <t>IT10154801210</t>
  </si>
  <si>
    <t>Napoli</t>
  </si>
  <si>
    <t>5455.</t>
  </si>
  <si>
    <t>MAGLIFICIODIBASSO S.R.L.</t>
  </si>
  <si>
    <t>01867910273</t>
  </si>
  <si>
    <t>IT01867910273</t>
  </si>
  <si>
    <t>143000</t>
  </si>
  <si>
    <t>5456.</t>
  </si>
  <si>
    <t>MAT-RAS BAGS S.R.L.</t>
  </si>
  <si>
    <t>00760260679</t>
  </si>
  <si>
    <t>IT00760260679</t>
  </si>
  <si>
    <t>151200</t>
  </si>
  <si>
    <t>5457.</t>
  </si>
  <si>
    <t>TRILOGY ATELIER LOREDANA PERILLO SOCIETA' A RESPONSABILITA' LIMITATA O IN SIGLA TRILOGY SRL</t>
  </si>
  <si>
    <t>05189000721</t>
  </si>
  <si>
    <t>IT05189000721</t>
  </si>
  <si>
    <t>5458.</t>
  </si>
  <si>
    <t>TRAMAS SRL</t>
  </si>
  <si>
    <t>02607460900</t>
  </si>
  <si>
    <t>IT02607460900</t>
  </si>
  <si>
    <t>Sassari</t>
  </si>
  <si>
    <t>Sardegna</t>
  </si>
  <si>
    <t>5459.</t>
  </si>
  <si>
    <t>DE.SI. SOCIETA' A RESPONSABILITA' LIMITATA SEMPLIFICATA</t>
  </si>
  <si>
    <t>13845361008</t>
  </si>
  <si>
    <t>IT13845361008</t>
  </si>
  <si>
    <t>141200</t>
  </si>
  <si>
    <t>5460.</t>
  </si>
  <si>
    <t>ARTURO SRLS</t>
  </si>
  <si>
    <t>14805381002</t>
  </si>
  <si>
    <t>IT14805381002</t>
  </si>
  <si>
    <t>5461.</t>
  </si>
  <si>
    <t>AD CAPPELLI - SOCIETA' A RESPONSABILITA' LIMITATA SEMPLIFICATA</t>
  </si>
  <si>
    <t>02524860448</t>
  </si>
  <si>
    <t>IT02524860448</t>
  </si>
  <si>
    <t>5462.</t>
  </si>
  <si>
    <t>WHITE INTERNATIONAL LUXURY S.R.L.</t>
  </si>
  <si>
    <t>02470990413</t>
  </si>
  <si>
    <t>IT02470990413</t>
  </si>
  <si>
    <t>Pesaro e Urbino</t>
  </si>
  <si>
    <t>5463.</t>
  </si>
  <si>
    <t>MELANIA COMPANY S.R.L.</t>
  </si>
  <si>
    <t>02051140446</t>
  </si>
  <si>
    <t>IT02051140446</t>
  </si>
  <si>
    <t>5464.</t>
  </si>
  <si>
    <t>RHETRO SRL</t>
  </si>
  <si>
    <t>00953680949</t>
  </si>
  <si>
    <t>IT00953680949</t>
  </si>
  <si>
    <t>141310</t>
  </si>
  <si>
    <t>5465.</t>
  </si>
  <si>
    <t>PLASTCROM - SOCIETA' A RESPONSABILITA' LIMITATA SEMPLIFICATA</t>
  </si>
  <si>
    <t>02391680440</t>
  </si>
  <si>
    <t>IT02391680440</t>
  </si>
  <si>
    <t>152020</t>
  </si>
  <si>
    <t>5466.</t>
  </si>
  <si>
    <t>YOUNIG S.R.L.</t>
  </si>
  <si>
    <t>03179230986</t>
  </si>
  <si>
    <t>IT03179230986</t>
  </si>
  <si>
    <t>Brescia</t>
  </si>
  <si>
    <t>5467.</t>
  </si>
  <si>
    <t>ITALIA ITALIA COLLECTION S.R.L.</t>
  </si>
  <si>
    <t>01814761209</t>
  </si>
  <si>
    <t>IT01814761209</t>
  </si>
  <si>
    <t>Bologna</t>
  </si>
  <si>
    <t>Emilia-Romagna</t>
  </si>
  <si>
    <t>5468.</t>
  </si>
  <si>
    <t>VITTORIA EXCELLENCE OF TUSCANY - S.R.L.</t>
  </si>
  <si>
    <t>02082350501</t>
  </si>
  <si>
    <t>IT02082350501</t>
  </si>
  <si>
    <t>Pisa</t>
  </si>
  <si>
    <t>Toscana</t>
  </si>
  <si>
    <t>5469.</t>
  </si>
  <si>
    <t>ALTAMIRA SRL</t>
  </si>
  <si>
    <t>03238400604</t>
  </si>
  <si>
    <t>IT03238400604</t>
  </si>
  <si>
    <t>Frosinone</t>
  </si>
  <si>
    <t>5470.</t>
  </si>
  <si>
    <t>BIEMME SPORT S.R.L.</t>
  </si>
  <si>
    <t>03700750247</t>
  </si>
  <si>
    <t>IT03700750247</t>
  </si>
  <si>
    <t>141929</t>
  </si>
  <si>
    <t>Vicenza</t>
  </si>
  <si>
    <t>5471.</t>
  </si>
  <si>
    <t>GRAN FUR &amp; C. SRL</t>
  </si>
  <si>
    <t>03373970122</t>
  </si>
  <si>
    <t>IT03373970122</t>
  </si>
  <si>
    <t>142000</t>
  </si>
  <si>
    <t>Varese</t>
  </si>
  <si>
    <t>5472.</t>
  </si>
  <si>
    <t>PEGASO S.R.L.</t>
  </si>
  <si>
    <t>00070040282</t>
  </si>
  <si>
    <t>IT00070040282</t>
  </si>
  <si>
    <t>141310</t>
  </si>
  <si>
    <t>Padova</t>
  </si>
  <si>
    <t>Veneto</t>
  </si>
  <si>
    <t>n.d.</t>
  </si>
  <si>
    <t>5473.</t>
  </si>
  <si>
    <t>SARTORIA LA BENVOLUTA SRL</t>
  </si>
  <si>
    <t>02149420511</t>
  </si>
  <si>
    <t>IT02149420511</t>
  </si>
  <si>
    <t>141320</t>
  </si>
  <si>
    <t>Arezzo</t>
  </si>
  <si>
    <t>Toscana</t>
  </si>
  <si>
    <t>5474.</t>
  </si>
  <si>
    <t>MANIFATTURA ITALIANA SARTORIALE S.R.L.S.</t>
  </si>
  <si>
    <t>02201090442</t>
  </si>
  <si>
    <t>IT02201090442</t>
  </si>
  <si>
    <t>141200</t>
  </si>
  <si>
    <t>Ascoli Piceno</t>
  </si>
  <si>
    <t>Marche</t>
  </si>
  <si>
    <t>5475.</t>
  </si>
  <si>
    <t>MOYEN S.R.L.</t>
  </si>
  <si>
    <t>06326880488</t>
  </si>
  <si>
    <t>IT06326880488</t>
  </si>
  <si>
    <t>141300</t>
  </si>
  <si>
    <t>Firenze</t>
  </si>
  <si>
    <t>5476.</t>
  </si>
  <si>
    <t>PROGETTO 27 SOCIETA' IN NOME COLLETTIVO DI VACCARO FRANCESCA &amp; C.</t>
  </si>
  <si>
    <t>03508770546</t>
  </si>
  <si>
    <t>IT03508770546</t>
  </si>
  <si>
    <t>141910</t>
  </si>
  <si>
    <t>Prato</t>
  </si>
  <si>
    <t>5477.</t>
  </si>
  <si>
    <t>RES NULLIUS S.R.L.</t>
  </si>
  <si>
    <t>10448801000</t>
  </si>
  <si>
    <t>IT10448801000</t>
  </si>
  <si>
    <t>141000</t>
  </si>
  <si>
    <t>Roma</t>
  </si>
  <si>
    <t>Lazio</t>
  </si>
  <si>
    <t>5478.</t>
  </si>
  <si>
    <t>ARTIGIANA ZETABELT S.R.L.</t>
  </si>
  <si>
    <t>02512850799</t>
  </si>
  <si>
    <t>IT02512850799</t>
  </si>
  <si>
    <t>151200</t>
  </si>
  <si>
    <t>Catanzaro</t>
  </si>
  <si>
    <t>Calabria</t>
  </si>
  <si>
    <t>5479.</t>
  </si>
  <si>
    <t>LEATHER STUDIO DESIGN S.R.L.</t>
  </si>
  <si>
    <t>02223110509</t>
  </si>
  <si>
    <t>IT02223110509</t>
  </si>
  <si>
    <t>151209</t>
  </si>
  <si>
    <t>Pisa</t>
  </si>
  <si>
    <t>5480.</t>
  </si>
  <si>
    <t>GATESEVEN S.R.L.</t>
  </si>
  <si>
    <t>04311420618</t>
  </si>
  <si>
    <t>IT04311420618</t>
  </si>
  <si>
    <t>Caserta</t>
  </si>
  <si>
    <t>Campania</t>
  </si>
  <si>
    <t>5481.</t>
  </si>
  <si>
    <t>GABEL S.R.L.</t>
  </si>
  <si>
    <t>04508040658</t>
  </si>
  <si>
    <t>IT04508040658</t>
  </si>
  <si>
    <t>141400</t>
  </si>
  <si>
    <t>Salerno</t>
  </si>
  <si>
    <t>5482.</t>
  </si>
  <si>
    <t>CAMICERIA NAPOLETANA SOCIETA' A RESPONSABILITA' LIMITATA SEMPLIFICATA</t>
  </si>
  <si>
    <t>09176061217</t>
  </si>
  <si>
    <t>IT09176061217</t>
  </si>
  <si>
    <t>Napoli</t>
  </si>
  <si>
    <t>5483.</t>
  </si>
  <si>
    <t>ROBERTO GUARINI S.R.L.</t>
  </si>
  <si>
    <t>03927130652</t>
  </si>
  <si>
    <t>IT03927130652</t>
  </si>
  <si>
    <t>5484.</t>
  </si>
  <si>
    <t>AMR S.R.L.</t>
  </si>
  <si>
    <t>07809090967</t>
  </si>
  <si>
    <t>IT07809090967</t>
  </si>
  <si>
    <t>Milano</t>
  </si>
  <si>
    <t>Lombardia</t>
  </si>
  <si>
    <t>5485.</t>
  </si>
  <si>
    <t>CONINTECOM SRL</t>
  </si>
  <si>
    <t>02662840426</t>
  </si>
  <si>
    <t>IT02662840426</t>
  </si>
  <si>
    <t>152010</t>
  </si>
  <si>
    <t>Ancona</t>
  </si>
  <si>
    <t>5486.</t>
  </si>
  <si>
    <t>ITALIAN VISIONNAIRE S.R.L.</t>
  </si>
  <si>
    <t>02081590685</t>
  </si>
  <si>
    <t>IT02081590685</t>
  </si>
  <si>
    <t>Pescara</t>
  </si>
  <si>
    <t>Abruzzo</t>
  </si>
  <si>
    <t>5487.</t>
  </si>
  <si>
    <t>NEW VALENTINA S.R.L.</t>
  </si>
  <si>
    <t>04789670876</t>
  </si>
  <si>
    <t>IT04789670876</t>
  </si>
  <si>
    <t>Catania</t>
  </si>
  <si>
    <t>Sicilia</t>
  </si>
  <si>
    <t>5488.</t>
  </si>
  <si>
    <t>JOI.BI S.R.L. IN LIQUIDAZIONE</t>
  </si>
  <si>
    <t>02923060368</t>
  </si>
  <si>
    <t>IT02923060368</t>
  </si>
  <si>
    <t>5489.</t>
  </si>
  <si>
    <t>ROSENBERG SRL</t>
  </si>
  <si>
    <t>10130470155</t>
  </si>
  <si>
    <t>IT10130470155</t>
  </si>
  <si>
    <t>5490.</t>
  </si>
  <si>
    <t>EMOZIONI IN LIBERTA' SOCIETA' A RESPONSABILITA' LIMITATA SEMPLIFI CATA</t>
  </si>
  <si>
    <t>04865050753</t>
  </si>
  <si>
    <t>IT04865050753</t>
  </si>
  <si>
    <t>Lecce</t>
  </si>
  <si>
    <t>Puglia</t>
  </si>
  <si>
    <t>5491.</t>
  </si>
  <si>
    <t>B&amp;M FASHION SERVICE SOCIETA' A RESPONSABILITA' LIMITATA SEMPLIFICATA</t>
  </si>
  <si>
    <t>02697350698</t>
  </si>
  <si>
    <t>IT02697350698</t>
  </si>
  <si>
    <t>Chieti</t>
  </si>
  <si>
    <t>5492.</t>
  </si>
  <si>
    <t>RECIRCLED S.R.L.</t>
  </si>
  <si>
    <t>02508600976</t>
  </si>
  <si>
    <t>IT02508600976</t>
  </si>
  <si>
    <t>5493.</t>
  </si>
  <si>
    <t>ELLA BY FIORELLA S.R.L.</t>
  </si>
  <si>
    <t>03581370123</t>
  </si>
  <si>
    <t>IT03581370123</t>
  </si>
  <si>
    <t>141929</t>
  </si>
  <si>
    <t>Varese</t>
  </si>
  <si>
    <t>5494.</t>
  </si>
  <si>
    <t>ALI S.R.L.</t>
  </si>
  <si>
    <t>03252100262</t>
  </si>
  <si>
    <t>IT03252100262</t>
  </si>
  <si>
    <t>Treviso</t>
  </si>
  <si>
    <t>5495.</t>
  </si>
  <si>
    <t>INDOTESSOO SRL</t>
  </si>
  <si>
    <t>02099650976</t>
  </si>
  <si>
    <t>IT02099650976</t>
  </si>
  <si>
    <t>140000</t>
  </si>
  <si>
    <t>5496.</t>
  </si>
  <si>
    <t>STYLE IN VENICE S.R.L.S.</t>
  </si>
  <si>
    <t>04531080275</t>
  </si>
  <si>
    <t>IT04531080275</t>
  </si>
  <si>
    <t>Venezia</t>
  </si>
  <si>
    <t>5497.</t>
  </si>
  <si>
    <t>R.E.M. SOCIETA' A RESPONSABILITA' LIMITATA SEMPLIFICATA</t>
  </si>
  <si>
    <t>02912900590</t>
  </si>
  <si>
    <t>IT02912900590</t>
  </si>
  <si>
    <t>Latina</t>
  </si>
  <si>
    <t>5498.</t>
  </si>
  <si>
    <t>POCULUM S.R.L.</t>
  </si>
  <si>
    <t>02256820446</t>
  </si>
  <si>
    <t>IT02256820446</t>
  </si>
  <si>
    <t>Fermo</t>
  </si>
  <si>
    <t>5499.</t>
  </si>
  <si>
    <t>KENTUCKY STARS INTERNATIONAL SRL IN LIQUIDAZIONE</t>
  </si>
  <si>
    <t>00551220544</t>
  </si>
  <si>
    <t>IT00551220544</t>
  </si>
  <si>
    <t>143900</t>
  </si>
  <si>
    <t>Perugia</t>
  </si>
  <si>
    <t>Umbria</t>
  </si>
  <si>
    <t>5500.</t>
  </si>
  <si>
    <t>PICARDI CAMICIE SOCIETA' A RESPONSABILITA' LIMITATA SEMPLIFICATA</t>
  </si>
  <si>
    <t>05811650653</t>
  </si>
  <si>
    <t>IT05811650653</t>
  </si>
  <si>
    <t>5501.</t>
  </si>
  <si>
    <t>FREE MODA SRL</t>
  </si>
  <si>
    <t>01918940444</t>
  </si>
  <si>
    <t>IT01918940444</t>
  </si>
  <si>
    <t>5502.</t>
  </si>
  <si>
    <t>MARIEL ALTA CLASSE SOCIETA' A RESPONSABILITA' LIMITATA SEMPLIFICA TA</t>
  </si>
  <si>
    <t>12733021005</t>
  </si>
  <si>
    <t>IT12733021005</t>
  </si>
  <si>
    <t>5503.</t>
  </si>
  <si>
    <t>MAGLIFICIO OTTAVIANI S.R.L.</t>
  </si>
  <si>
    <t>02903970545</t>
  </si>
  <si>
    <t>IT02903970545</t>
  </si>
  <si>
    <t>5504.</t>
  </si>
  <si>
    <t>NOTUS HOMO ITALICUS S.R.L.</t>
  </si>
  <si>
    <t>07270030724</t>
  </si>
  <si>
    <t>IT07270030724</t>
  </si>
  <si>
    <t>141310</t>
  </si>
  <si>
    <t>Barletta-Andria-Trani</t>
  </si>
  <si>
    <t>Puglia</t>
  </si>
  <si>
    <t>n.d.</t>
  </si>
  <si>
    <t>5505.</t>
  </si>
  <si>
    <t>THEODORA BAK S.R.L.</t>
  </si>
  <si>
    <t>13410911005</t>
  </si>
  <si>
    <t>IT13410911005</t>
  </si>
  <si>
    <t>141910</t>
  </si>
  <si>
    <t>Roma</t>
  </si>
  <si>
    <t>Lazio</t>
  </si>
  <si>
    <t>5506.</t>
  </si>
  <si>
    <t>MARY COTTON S.R.L.</t>
  </si>
  <si>
    <t>02800430411</t>
  </si>
  <si>
    <t>IT02800430411</t>
  </si>
  <si>
    <t>Pesaro e Urbino</t>
  </si>
  <si>
    <t>Marche</t>
  </si>
  <si>
    <t>5507.</t>
  </si>
  <si>
    <t>VELTRO SRL</t>
  </si>
  <si>
    <t>04217060237</t>
  </si>
  <si>
    <t>IT04217060237</t>
  </si>
  <si>
    <t>Verona</t>
  </si>
  <si>
    <t>Veneto</t>
  </si>
  <si>
    <t>5508.</t>
  </si>
  <si>
    <t>BALMA SOCIETA' A RESPONSABILITA' LIMITATA</t>
  </si>
  <si>
    <t>12804700966</t>
  </si>
  <si>
    <t>IT12804700966</t>
  </si>
  <si>
    <t>141100</t>
  </si>
  <si>
    <t>Milano</t>
  </si>
  <si>
    <t>Lombardia</t>
  </si>
  <si>
    <t>5509.</t>
  </si>
  <si>
    <t>LA LUCE DEI TESSUTI SOCIETA' A RESPONSABILITA' LIMITATA</t>
  </si>
  <si>
    <t>01172690578</t>
  </si>
  <si>
    <t>IT01172690578</t>
  </si>
  <si>
    <t>141320</t>
  </si>
  <si>
    <t>5510.</t>
  </si>
  <si>
    <t>CARPAN S.R.L.</t>
  </si>
  <si>
    <t>01991950617</t>
  </si>
  <si>
    <t>IT01991950617</t>
  </si>
  <si>
    <t>152010</t>
  </si>
  <si>
    <t>Caserta</t>
  </si>
  <si>
    <t>Campania</t>
  </si>
  <si>
    <t>5511.</t>
  </si>
  <si>
    <t>DREAM STYLE SOC. COOP. A R.L.</t>
  </si>
  <si>
    <t>00606060861</t>
  </si>
  <si>
    <t>IT00606060861</t>
  </si>
  <si>
    <t>Enna</t>
  </si>
  <si>
    <t>Sicilia</t>
  </si>
  <si>
    <t>5512.</t>
  </si>
  <si>
    <t>EB HI-TECH FASHION S.R.L.S.</t>
  </si>
  <si>
    <t>01224610079</t>
  </si>
  <si>
    <t>IT01224610079</t>
  </si>
  <si>
    <t>141000</t>
  </si>
  <si>
    <t>Valle d'Aosta/Vallée d'Aoste</t>
  </si>
  <si>
    <t>5513.</t>
  </si>
  <si>
    <t>ELITE S.R.L.</t>
  </si>
  <si>
    <t>02928270830</t>
  </si>
  <si>
    <t>IT02928270830</t>
  </si>
  <si>
    <t>Messina</t>
  </si>
  <si>
    <t>5514.</t>
  </si>
  <si>
    <t>FLASH &amp; PARTNERS S.R.L. IN LIQUIDAZIONE</t>
  </si>
  <si>
    <t>03794420285</t>
  </si>
  <si>
    <t>IT03794420285</t>
  </si>
  <si>
    <t>Padova</t>
  </si>
  <si>
    <t>5515.</t>
  </si>
  <si>
    <t>DIENDI S.R.L.</t>
  </si>
  <si>
    <t>14104421004</t>
  </si>
  <si>
    <t>IT14104421004</t>
  </si>
  <si>
    <t>141929</t>
  </si>
  <si>
    <t>5516.</t>
  </si>
  <si>
    <t>ATELIER PACE I FASHION SOCIETA' COOPERATIVA</t>
  </si>
  <si>
    <t>02628070803</t>
  </si>
  <si>
    <t>IT02628070803</t>
  </si>
  <si>
    <t>Reggio di Calabria</t>
  </si>
  <si>
    <t>Calabria</t>
  </si>
  <si>
    <t>5517.</t>
  </si>
  <si>
    <t>TODIGI - SOCIETA' A RESPONSABILITA' LIMITATA</t>
  </si>
  <si>
    <t>06881401217</t>
  </si>
  <si>
    <t>IT06881401217</t>
  </si>
  <si>
    <t>Napoli</t>
  </si>
  <si>
    <t>5518.</t>
  </si>
  <si>
    <t>LINS PELLICCERIE ARTIGIANALI S.R.L.</t>
  </si>
  <si>
    <t>03912520248</t>
  </si>
  <si>
    <t>IT03912520248</t>
  </si>
  <si>
    <t>142000</t>
  </si>
  <si>
    <t>Vicenza</t>
  </si>
  <si>
    <t>5519.</t>
  </si>
  <si>
    <t>FULVIA BAGS S.R.L.</t>
  </si>
  <si>
    <t>12596141007</t>
  </si>
  <si>
    <t>IT12596141007</t>
  </si>
  <si>
    <t>151209</t>
  </si>
  <si>
    <t>5520.</t>
  </si>
  <si>
    <t>S. LORENZO S.R.L.</t>
  </si>
  <si>
    <t>02060330830</t>
  </si>
  <si>
    <t>IT02060330830</t>
  </si>
  <si>
    <t>5521.</t>
  </si>
  <si>
    <t>ITALIAN STYLE S.P.A.</t>
  </si>
  <si>
    <t>01191390515</t>
  </si>
  <si>
    <t>IT01191390515</t>
  </si>
  <si>
    <t>Arezzo</t>
  </si>
  <si>
    <t>Toscana</t>
  </si>
  <si>
    <t>5522.</t>
  </si>
  <si>
    <t>CONTI SU MISURA SOCIETA' UNIPERSONALE A RESPONSABILITA' LIMITATA A CAPITALE RIDOTTO</t>
  </si>
  <si>
    <t>06357610481</t>
  </si>
  <si>
    <t>IT06357610481</t>
  </si>
  <si>
    <t>Firenze</t>
  </si>
  <si>
    <t>5523.</t>
  </si>
  <si>
    <t>ATELIER ARTEMIS - SOCIETA' COOPERATIVA</t>
  </si>
  <si>
    <t>01754450763</t>
  </si>
  <si>
    <t>IT01754450763</t>
  </si>
  <si>
    <t>Potenza</t>
  </si>
  <si>
    <t>Basilicata</t>
  </si>
  <si>
    <t>5524.</t>
  </si>
  <si>
    <t>MIA S.R.L.</t>
  </si>
  <si>
    <t>02084720560</t>
  </si>
  <si>
    <t>IT02084720560</t>
  </si>
  <si>
    <t>Viterbo</t>
  </si>
  <si>
    <t>5525.</t>
  </si>
  <si>
    <t>ALESSANDRO PIACENTINI S.R.L.</t>
  </si>
  <si>
    <t>02253420463</t>
  </si>
  <si>
    <t>IT02253420463</t>
  </si>
  <si>
    <t>Lucca</t>
  </si>
  <si>
    <t>5526.</t>
  </si>
  <si>
    <t>LA PERLA PREZIOSA SOCIETA' COOPERATIVA</t>
  </si>
  <si>
    <t>01753410768</t>
  </si>
  <si>
    <t>IT01753410768</t>
  </si>
  <si>
    <t>5527.</t>
  </si>
  <si>
    <t>GENESI 3 SRL</t>
  </si>
  <si>
    <t>01895270435</t>
  </si>
  <si>
    <t>IT01895270435</t>
  </si>
  <si>
    <t>Macerata</t>
  </si>
  <si>
    <t>5528.</t>
  </si>
  <si>
    <t>PALAZZACCIO SOCIETA' A RESPONSABILITA' LIMITATA SEMPLIFICATA</t>
  </si>
  <si>
    <t>05548790657</t>
  </si>
  <si>
    <t>IT05548790657</t>
  </si>
  <si>
    <t>Salerno</t>
  </si>
  <si>
    <t>5529.</t>
  </si>
  <si>
    <t>GIOLISA' COUTURE SOCIETA' A RESPONSABILITA' LIMITATA SEMPLIFICAT A, IN SIGLA GIOLISA' COUTURE S.R.L.S</t>
  </si>
  <si>
    <t>02791580422</t>
  </si>
  <si>
    <t>IT02791580422</t>
  </si>
  <si>
    <t>Ancona</t>
  </si>
  <si>
    <t>5530.</t>
  </si>
  <si>
    <t>N.M. - S.R.L.</t>
  </si>
  <si>
    <t>06499730486</t>
  </si>
  <si>
    <t>IT06499730486</t>
  </si>
  <si>
    <t>5531.</t>
  </si>
  <si>
    <t>ETERNO S.R.L.</t>
  </si>
  <si>
    <t>06851420486</t>
  </si>
  <si>
    <t>IT06851420486</t>
  </si>
  <si>
    <t>5532.</t>
  </si>
  <si>
    <t>KING COLLECTION S.R.L.</t>
  </si>
  <si>
    <t>02474090814</t>
  </si>
  <si>
    <t>IT02474090814</t>
  </si>
  <si>
    <t>143100</t>
  </si>
  <si>
    <t>Trapani</t>
  </si>
  <si>
    <t>5533.</t>
  </si>
  <si>
    <t>BUBINO S.R.L.</t>
  </si>
  <si>
    <t>04937360289</t>
  </si>
  <si>
    <t>IT04937360289</t>
  </si>
  <si>
    <t>5534.</t>
  </si>
  <si>
    <t>PIMENTA COM DENDE S.R.L.</t>
  </si>
  <si>
    <t>05733090962</t>
  </si>
  <si>
    <t>IT05733090962</t>
  </si>
  <si>
    <t>5535.</t>
  </si>
  <si>
    <t>SALEBI S.R.L.</t>
  </si>
  <si>
    <t>02730450422</t>
  </si>
  <si>
    <t>IT02730450422</t>
  </si>
  <si>
    <t>5536.</t>
  </si>
  <si>
    <t>MADAMINA S.R.L.S.</t>
  </si>
  <si>
    <t>14373131003</t>
  </si>
  <si>
    <t>IT14373131003</t>
  </si>
  <si>
    <t>141310</t>
  </si>
  <si>
    <t>Roma</t>
  </si>
  <si>
    <t>Lazio</t>
  </si>
  <si>
    <t>n.d.</t>
  </si>
  <si>
    <t>5537.</t>
  </si>
  <si>
    <t>LA MINIERA S.R.L.</t>
  </si>
  <si>
    <t>00307690545</t>
  </si>
  <si>
    <t>IT00307690545</t>
  </si>
  <si>
    <t>141000</t>
  </si>
  <si>
    <t>Perugia</t>
  </si>
  <si>
    <t>Umbria</t>
  </si>
  <si>
    <t>5538.</t>
  </si>
  <si>
    <t>MMCOUTURE S.R.L.S.</t>
  </si>
  <si>
    <t>01949920761</t>
  </si>
  <si>
    <t>IT01949920761</t>
  </si>
  <si>
    <t>141320</t>
  </si>
  <si>
    <t>Potenza</t>
  </si>
  <si>
    <t>Basilicata</t>
  </si>
  <si>
    <t>5539.</t>
  </si>
  <si>
    <t>CONCERIA TRE GAZZELLE S.R.L. IN LIQUIDAZIONE</t>
  </si>
  <si>
    <t>00115490500</t>
  </si>
  <si>
    <t>IT00115490500</t>
  </si>
  <si>
    <t>151100</t>
  </si>
  <si>
    <t>Pisa</t>
  </si>
  <si>
    <t>Toscana</t>
  </si>
  <si>
    <t>5540.</t>
  </si>
  <si>
    <t>SARTORIA MOLVISSIMO SOCIETA' A RESPONSABILITA' LIMITATA SEMPLIFICATA</t>
  </si>
  <si>
    <t>03243770736</t>
  </si>
  <si>
    <t>IT03243770736</t>
  </si>
  <si>
    <t>Taranto</t>
  </si>
  <si>
    <t>Puglia</t>
  </si>
  <si>
    <t>5541.</t>
  </si>
  <si>
    <t>COLLEZIONI OMEGA S.R.L.</t>
  </si>
  <si>
    <t>04351550878</t>
  </si>
  <si>
    <t>IT04351550878</t>
  </si>
  <si>
    <t>Catania</t>
  </si>
  <si>
    <t>Sicilia</t>
  </si>
  <si>
    <t>5542.</t>
  </si>
  <si>
    <t>BLUE SHAPE S.R.L.</t>
  </si>
  <si>
    <t>03363820733</t>
  </si>
  <si>
    <t>IT03363820733</t>
  </si>
  <si>
    <t>5543.</t>
  </si>
  <si>
    <t>S&amp;V LIMITED S.R.L.S.</t>
  </si>
  <si>
    <t>12045220014</t>
  </si>
  <si>
    <t>IT12045220014</t>
  </si>
  <si>
    <t>Torino</t>
  </si>
  <si>
    <t>Piemonte</t>
  </si>
  <si>
    <t>5544.</t>
  </si>
  <si>
    <t>UNLAB S.R.L.</t>
  </si>
  <si>
    <t>04339910285</t>
  </si>
  <si>
    <t>IT04339910285</t>
  </si>
  <si>
    <t>141929</t>
  </si>
  <si>
    <t>Padova</t>
  </si>
  <si>
    <t>Veneto</t>
  </si>
  <si>
    <t>5545.</t>
  </si>
  <si>
    <t>2HDEA SRL</t>
  </si>
  <si>
    <t>03405301205</t>
  </si>
  <si>
    <t>IT03405301205</t>
  </si>
  <si>
    <t>141100</t>
  </si>
  <si>
    <t>Bologna</t>
  </si>
  <si>
    <t>Emilia-Romagna</t>
  </si>
  <si>
    <t>5546.</t>
  </si>
  <si>
    <t>PAOLIERI SRL SEMPLIFICATA</t>
  </si>
  <si>
    <t>07293600487</t>
  </si>
  <si>
    <t>IT07293600487</t>
  </si>
  <si>
    <t>152010</t>
  </si>
  <si>
    <t>Firenze</t>
  </si>
  <si>
    <t>5547.</t>
  </si>
  <si>
    <t>DAVIICLE SRL</t>
  </si>
  <si>
    <t>01571040524</t>
  </si>
  <si>
    <t>IT01571040524</t>
  </si>
  <si>
    <t>151209</t>
  </si>
  <si>
    <t>Siena</t>
  </si>
  <si>
    <t>5548.</t>
  </si>
  <si>
    <t>MARTUS S.R.L.</t>
  </si>
  <si>
    <t>05739320652</t>
  </si>
  <si>
    <t>IT05739320652</t>
  </si>
  <si>
    <t>Salerno</t>
  </si>
  <si>
    <t>Campania</t>
  </si>
  <si>
    <t>5549.</t>
  </si>
  <si>
    <t>MATERIA S.R.L.S</t>
  </si>
  <si>
    <t>03484260835</t>
  </si>
  <si>
    <t>IT03484260835</t>
  </si>
  <si>
    <t>141200</t>
  </si>
  <si>
    <t>Messina</t>
  </si>
  <si>
    <t>5550.</t>
  </si>
  <si>
    <t>STILE UNICO S.R.L.</t>
  </si>
  <si>
    <t>04942530231</t>
  </si>
  <si>
    <t>IT04942530231</t>
  </si>
  <si>
    <t>Verona</t>
  </si>
  <si>
    <t>5551.</t>
  </si>
  <si>
    <t>BENEDICT S.R.L.</t>
  </si>
  <si>
    <t>03325101206</t>
  </si>
  <si>
    <t>IT03325101206</t>
  </si>
  <si>
    <t>141910</t>
  </si>
  <si>
    <t>5552.</t>
  </si>
  <si>
    <t>CHANGUITOS S.R.L.</t>
  </si>
  <si>
    <t>04490720234</t>
  </si>
  <si>
    <t>IT04490720234</t>
  </si>
  <si>
    <t>5553.</t>
  </si>
  <si>
    <t>BE INITIA SRL</t>
  </si>
  <si>
    <t>10984540962</t>
  </si>
  <si>
    <t>IT10984540962</t>
  </si>
  <si>
    <t>Milano</t>
  </si>
  <si>
    <t>Lombardia</t>
  </si>
  <si>
    <t>5554.</t>
  </si>
  <si>
    <t>OMENI' SOCIETA' A RESPONSABILITA' LIMITATA SEMPLIFICATA</t>
  </si>
  <si>
    <t>04067450363</t>
  </si>
  <si>
    <t>IT04067450363</t>
  </si>
  <si>
    <t>Modena</t>
  </si>
  <si>
    <t>5555.</t>
  </si>
  <si>
    <t>AMO S.R.L.</t>
  </si>
  <si>
    <t>04072021209</t>
  </si>
  <si>
    <t>IT04072021209</t>
  </si>
  <si>
    <t>5556.</t>
  </si>
  <si>
    <t>GIGOLO' ART DESIGN S.R.L.S. - SOCIETA' A RESPONSABILITA' LIMITATA SEMPLIFICATA</t>
  </si>
  <si>
    <t>01955230675</t>
  </si>
  <si>
    <t>IT01955230675</t>
  </si>
  <si>
    <t>Teramo</t>
  </si>
  <si>
    <t>Abruzzo</t>
  </si>
  <si>
    <t>5557.</t>
  </si>
  <si>
    <t>YUMAN S.R.L.</t>
  </si>
  <si>
    <t>03656320409</t>
  </si>
  <si>
    <t>IT03656320409</t>
  </si>
  <si>
    <t>5558.</t>
  </si>
  <si>
    <t>QMAN S.R.L.</t>
  </si>
  <si>
    <t>02888800600</t>
  </si>
  <si>
    <t>IT02888800600</t>
  </si>
  <si>
    <t>Frosinone</t>
  </si>
  <si>
    <t>5559.</t>
  </si>
  <si>
    <t>COMPAGNIA GENERALE ITALIANA SOCIETA' A RESPONSABILITA' LIMITATA S EMPLIFICATA</t>
  </si>
  <si>
    <t>01420050450</t>
  </si>
  <si>
    <t>IT01420050450</t>
  </si>
  <si>
    <t>Massa-Carrara</t>
  </si>
  <si>
    <t>5560.</t>
  </si>
  <si>
    <t>MAISON BAG SRL</t>
  </si>
  <si>
    <t>01854470497</t>
  </si>
  <si>
    <t>IT01854470497</t>
  </si>
  <si>
    <t>Livorno</t>
  </si>
  <si>
    <t>5561.</t>
  </si>
  <si>
    <t>TECHNOSTIV S.R.L.</t>
  </si>
  <si>
    <t>02139030692</t>
  </si>
  <si>
    <t>IT02139030692</t>
  </si>
  <si>
    <t>Chieti</t>
  </si>
  <si>
    <t>5562.</t>
  </si>
  <si>
    <t>ALMADORA24 SRL</t>
  </si>
  <si>
    <t>10485760960</t>
  </si>
  <si>
    <t>IT10485760960</t>
  </si>
  <si>
    <t>143900</t>
  </si>
  <si>
    <t>5563.</t>
  </si>
  <si>
    <t>CIFRE S.R.L.S.</t>
  </si>
  <si>
    <t>07026060488</t>
  </si>
  <si>
    <t>IT07026060488</t>
  </si>
  <si>
    <t>141400</t>
  </si>
  <si>
    <t>5564.</t>
  </si>
  <si>
    <t>DVD MODA SOCIETA' COOPERATIVA</t>
  </si>
  <si>
    <t>01816620767</t>
  </si>
  <si>
    <t>IT01816620767</t>
  </si>
  <si>
    <t>5565.</t>
  </si>
  <si>
    <t>ATLAS S.R.L. IN LIQUIDAZIONE</t>
  </si>
  <si>
    <t>01165060508</t>
  </si>
  <si>
    <t>IT01165060508</t>
  </si>
  <si>
    <t>152020</t>
  </si>
  <si>
    <t>5566.</t>
  </si>
  <si>
    <t>ASVG SOCIETA' A RESPONSABILITA' LIMITATA SEMPLIFICATA</t>
  </si>
  <si>
    <t>08438780960</t>
  </si>
  <si>
    <t>IT08438780960</t>
  </si>
  <si>
    <t>5567.</t>
  </si>
  <si>
    <t>CONCERIA BOMAR S.P.A. IN LIQUIDAZIONE</t>
  </si>
  <si>
    <t>00144950508</t>
  </si>
  <si>
    <t>IT00144950508</t>
  </si>
  <si>
    <t>5568.</t>
  </si>
  <si>
    <t>B WOOL - SOCIETA' A RESPONSABILITA' LIMITATA</t>
  </si>
  <si>
    <t>16139891002</t>
  </si>
  <si>
    <t>IT16139891002</t>
  </si>
  <si>
    <t>143900</t>
  </si>
  <si>
    <t>Roma</t>
  </si>
  <si>
    <t>Lazio</t>
  </si>
  <si>
    <t>n.d.</t>
  </si>
  <si>
    <t>5569.</t>
  </si>
  <si>
    <t>AGATA ALLEGRA SRL</t>
  </si>
  <si>
    <t>03979780248</t>
  </si>
  <si>
    <t>IT03979780248</t>
  </si>
  <si>
    <t>141400</t>
  </si>
  <si>
    <t>Vicenza</t>
  </si>
  <si>
    <t>Veneto</t>
  </si>
  <si>
    <t>5570.</t>
  </si>
  <si>
    <t>FOX AND WOLF S.R.L.</t>
  </si>
  <si>
    <t>09071041215</t>
  </si>
  <si>
    <t>IT09071041215</t>
  </si>
  <si>
    <t>141929</t>
  </si>
  <si>
    <t>Napoli</t>
  </si>
  <si>
    <t>Campania</t>
  </si>
  <si>
    <t>5571.</t>
  </si>
  <si>
    <t>STRETCI S.R.L.</t>
  </si>
  <si>
    <t>07114380822</t>
  </si>
  <si>
    <t>IT07114380822</t>
  </si>
  <si>
    <t>141310</t>
  </si>
  <si>
    <t>Palermo</t>
  </si>
  <si>
    <t>Sicilia</t>
  </si>
  <si>
    <t>5572.</t>
  </si>
  <si>
    <t>EFIS SRL</t>
  </si>
  <si>
    <t>04323800278</t>
  </si>
  <si>
    <t>IT04323800278</t>
  </si>
  <si>
    <t>151209</t>
  </si>
  <si>
    <t>Padova</t>
  </si>
  <si>
    <t>5573.</t>
  </si>
  <si>
    <t>F.LLI SANTANGELO S.R.L.</t>
  </si>
  <si>
    <t>12789260150</t>
  </si>
  <si>
    <t>IT12789260150</t>
  </si>
  <si>
    <t>151100</t>
  </si>
  <si>
    <t>Milano</t>
  </si>
  <si>
    <t>Lombardia</t>
  </si>
  <si>
    <t>5574.</t>
  </si>
  <si>
    <t>GOG S.R.L.</t>
  </si>
  <si>
    <t>05032330234</t>
  </si>
  <si>
    <t>IT05032330234</t>
  </si>
  <si>
    <t>152010</t>
  </si>
  <si>
    <t>Verona</t>
  </si>
  <si>
    <t>5575.</t>
  </si>
  <si>
    <t>KIARAMENTE S.R.L.</t>
  </si>
  <si>
    <t>05009800235</t>
  </si>
  <si>
    <t>IT05009800235</t>
  </si>
  <si>
    <t>141000</t>
  </si>
  <si>
    <t>5576.</t>
  </si>
  <si>
    <t>BETTANIN &amp; VENTURI S.R.L.</t>
  </si>
  <si>
    <t>04683620233</t>
  </si>
  <si>
    <t>IT04683620233</t>
  </si>
  <si>
    <t>5577.</t>
  </si>
  <si>
    <t>AGORA' ATELIER SRL</t>
  </si>
  <si>
    <t>04529900245</t>
  </si>
  <si>
    <t>IT04529900245</t>
  </si>
  <si>
    <t>141200</t>
  </si>
  <si>
    <t>5578.</t>
  </si>
  <si>
    <t>VICENZA MODE S.R.L.</t>
  </si>
  <si>
    <t>04517860245</t>
  </si>
  <si>
    <t>IT04517860245</t>
  </si>
  <si>
    <t>5579.</t>
  </si>
  <si>
    <t>RNR INNOVATE S.R.L.</t>
  </si>
  <si>
    <t>04343630242</t>
  </si>
  <si>
    <t>IT04343630242</t>
  </si>
  <si>
    <t>141910</t>
  </si>
  <si>
    <t>5580.</t>
  </si>
  <si>
    <t>GATTO D'ORO ITALIA SOCIETA' A RESPONSABILITA' LIMITATA SEMPLIFICATA</t>
  </si>
  <si>
    <t>04026850240</t>
  </si>
  <si>
    <t>IT04026850240</t>
  </si>
  <si>
    <t>5581.</t>
  </si>
  <si>
    <t>CLIC LEATHER SRL</t>
  </si>
  <si>
    <t>03727220240</t>
  </si>
  <si>
    <t>IT03727220240</t>
  </si>
  <si>
    <t>5582.</t>
  </si>
  <si>
    <t>CALZIFICIO ROSSI DARIO S.R.L.</t>
  </si>
  <si>
    <t>02868890241</t>
  </si>
  <si>
    <t>IT02868890241</t>
  </si>
  <si>
    <t>143100</t>
  </si>
  <si>
    <t>5583.</t>
  </si>
  <si>
    <t>MASTRO SEGALIN SOCIETA' A RESPONSABILITA' LIMITATA SEMPLIFICATA</t>
  </si>
  <si>
    <t>04662950270</t>
  </si>
  <si>
    <t>IT04662950270</t>
  </si>
  <si>
    <t>Venezia</t>
  </si>
  <si>
    <t>5584.</t>
  </si>
  <si>
    <t>DEGLUPTA SRL</t>
  </si>
  <si>
    <t>04655540278</t>
  </si>
  <si>
    <t>IT04655540278</t>
  </si>
  <si>
    <t>5585.</t>
  </si>
  <si>
    <t>HI-VENICE PELLE DI MARE MANUFACTURING COMPANY S.R.L.</t>
  </si>
  <si>
    <t>04180590277</t>
  </si>
  <si>
    <t>IT04180590277</t>
  </si>
  <si>
    <t>5586.</t>
  </si>
  <si>
    <t>MARZERI MILANO S.R.L.</t>
  </si>
  <si>
    <t>04069600122</t>
  </si>
  <si>
    <t>IT04069600122</t>
  </si>
  <si>
    <t>Varese</t>
  </si>
  <si>
    <t>5587.</t>
  </si>
  <si>
    <t>DI CASTELLO SRL</t>
  </si>
  <si>
    <t>04044250126</t>
  </si>
  <si>
    <t>IT04044250126</t>
  </si>
  <si>
    <t>5588.</t>
  </si>
  <si>
    <t>MANIFATTURA SAPORITI S.R.L.</t>
  </si>
  <si>
    <t>03999490125</t>
  </si>
  <si>
    <t>IT03999490125</t>
  </si>
  <si>
    <t>5589.</t>
  </si>
  <si>
    <t>PJ EQUITATION S.R.L.</t>
  </si>
  <si>
    <t>03985970122</t>
  </si>
  <si>
    <t>IT03985970122</t>
  </si>
  <si>
    <t>5590.</t>
  </si>
  <si>
    <t>ITALTAGLIO S.R.L.</t>
  </si>
  <si>
    <t>05502710261</t>
  </si>
  <si>
    <t>IT05502710261</t>
  </si>
  <si>
    <t>Treviso</t>
  </si>
  <si>
    <t>5591.</t>
  </si>
  <si>
    <t>LORYCA S.R.L.</t>
  </si>
  <si>
    <t>05445590267</t>
  </si>
  <si>
    <t>IT05445590267</t>
  </si>
  <si>
    <t>5592.</t>
  </si>
  <si>
    <t>ASKEW S.R.L.</t>
  </si>
  <si>
    <t>05445330268</t>
  </si>
  <si>
    <t>IT05445330268</t>
  </si>
  <si>
    <t>5593.</t>
  </si>
  <si>
    <t>GIAC &amp; POL S.R.L.</t>
  </si>
  <si>
    <t>04348070261</t>
  </si>
  <si>
    <t>IT04348070261</t>
  </si>
  <si>
    <t>5594.</t>
  </si>
  <si>
    <t>SAXFER GROUP SRL</t>
  </si>
  <si>
    <t>04161010261</t>
  </si>
  <si>
    <t>IT04161010261</t>
  </si>
  <si>
    <t>5595.</t>
  </si>
  <si>
    <t>COSMA S.P.A IN LIQUIDAZIONE</t>
  </si>
  <si>
    <t>03373810260</t>
  </si>
  <si>
    <t>IT03373810260</t>
  </si>
  <si>
    <t>5596.</t>
  </si>
  <si>
    <t>R-STAR SRLS</t>
  </si>
  <si>
    <t>01390940326</t>
  </si>
  <si>
    <t>IT01390940326</t>
  </si>
  <si>
    <t>Trieste</t>
  </si>
  <si>
    <t>Friuli-Venezia Giulia</t>
  </si>
  <si>
    <t>5597.</t>
  </si>
  <si>
    <t>ARTE IN BORSE SOCIETA' A RESPONSABILITA' LIMITATA SEMPLIFICATA</t>
  </si>
  <si>
    <t>11794330016</t>
  </si>
  <si>
    <t>IT11794330016</t>
  </si>
  <si>
    <t>Torino</t>
  </si>
  <si>
    <t>Piemonte</t>
  </si>
  <si>
    <t>5598.</t>
  </si>
  <si>
    <t>SPIRITNOVA S.R.L.</t>
  </si>
  <si>
    <t>02750880227</t>
  </si>
  <si>
    <t>IT02750880227</t>
  </si>
  <si>
    <t>Trento</t>
  </si>
  <si>
    <t>Trentino-Alto Adige/Südtirol</t>
  </si>
  <si>
    <t>5599.</t>
  </si>
  <si>
    <t>GREEN BUTTON S.R.L.</t>
  </si>
  <si>
    <t>02181570678</t>
  </si>
  <si>
    <t>IT02181570678</t>
  </si>
  <si>
    <t>Teramo</t>
  </si>
  <si>
    <t>Abruzzo</t>
  </si>
  <si>
    <t>5600.</t>
  </si>
  <si>
    <t>MANIFATTURE ITALIANA DEL VOMANO SOCIETA' A RESPONSABILITA' LIMITATA SEMPLIFICATA</t>
  </si>
  <si>
    <t>02168280671</t>
  </si>
  <si>
    <t>IT02168280671</t>
  </si>
  <si>
    <t>151209</t>
  </si>
  <si>
    <t>Teramo</t>
  </si>
  <si>
    <t>Abruzzo</t>
  </si>
  <si>
    <t>n.d.</t>
  </si>
  <si>
    <t>5601.</t>
  </si>
  <si>
    <t>ANTELO SOCIETA' A RESPONSABILITA' LIMITATA SEMPLIFICATA</t>
  </si>
  <si>
    <t>02102780679</t>
  </si>
  <si>
    <t>IT02102780679</t>
  </si>
  <si>
    <t>141310</t>
  </si>
  <si>
    <t>5602.</t>
  </si>
  <si>
    <t>OVER LINE SOCIETA' A RESPONSABILITA' LIMITATA SEMPLIFICATA</t>
  </si>
  <si>
    <t>02056690676</t>
  </si>
  <si>
    <t>IT02056690676</t>
  </si>
  <si>
    <t>5603.</t>
  </si>
  <si>
    <t>HICKS PROJECT SRL START-UP COSTITUITA A NORMA DELL'ART. 4 COMMA 10 BIS DEL DECRETO LEGGE 24 GENNAIO 2015, N. 3</t>
  </si>
  <si>
    <t>02031700673</t>
  </si>
  <si>
    <t>IT02031700673</t>
  </si>
  <si>
    <t>5604.</t>
  </si>
  <si>
    <t>PAOLINI CAMICERIA SOCIETA' A RESPONSABILITA' LIMITATA SEMPLIFICATA</t>
  </si>
  <si>
    <t>01922940679</t>
  </si>
  <si>
    <t>IT01922940679</t>
  </si>
  <si>
    <t>141910</t>
  </si>
  <si>
    <t>5605.</t>
  </si>
  <si>
    <t>NEXT WORK GROUP S.R.L.</t>
  </si>
  <si>
    <t>01016800672</t>
  </si>
  <si>
    <t>IT01016800672</t>
  </si>
  <si>
    <t>141200</t>
  </si>
  <si>
    <t>5606.</t>
  </si>
  <si>
    <t>LENOCI S.R.L.</t>
  </si>
  <si>
    <t>03429390739</t>
  </si>
  <si>
    <t>IT03429390739</t>
  </si>
  <si>
    <t>Taranto</t>
  </si>
  <si>
    <t>Puglia</t>
  </si>
  <si>
    <t>5607.</t>
  </si>
  <si>
    <t>ISOLA FORNITURE SERVICE S.R.L.S.</t>
  </si>
  <si>
    <t>02996190902</t>
  </si>
  <si>
    <t>IT02996190902</t>
  </si>
  <si>
    <t>Sassari</t>
  </si>
  <si>
    <t>Sardegna</t>
  </si>
  <si>
    <t>5608.</t>
  </si>
  <si>
    <t>PINK SRL SEMPLIFICATA UNIPERSONALE</t>
  </si>
  <si>
    <t>02784660900</t>
  </si>
  <si>
    <t>IT02784660900</t>
  </si>
  <si>
    <t>141929</t>
  </si>
  <si>
    <t>5609.</t>
  </si>
  <si>
    <t>COOL DE SAC S.R.L.</t>
  </si>
  <si>
    <t>01820450896</t>
  </si>
  <si>
    <t>IT01820450896</t>
  </si>
  <si>
    <t>Siracusa</t>
  </si>
  <si>
    <t>Sicilia</t>
  </si>
  <si>
    <t>5610.</t>
  </si>
  <si>
    <t>ZIMBERG S.R.L.</t>
  </si>
  <si>
    <t>01089470148</t>
  </si>
  <si>
    <t>IT01089470148</t>
  </si>
  <si>
    <t>152010</t>
  </si>
  <si>
    <t>Sondrio</t>
  </si>
  <si>
    <t>Lombardia</t>
  </si>
  <si>
    <t>5611.</t>
  </si>
  <si>
    <t>SAMAS ITALY S.R.L. IN LIQUIDAZIONE</t>
  </si>
  <si>
    <t>00505850149</t>
  </si>
  <si>
    <t>IT00505850149</t>
  </si>
  <si>
    <t>141000</t>
  </si>
  <si>
    <t>5612.</t>
  </si>
  <si>
    <t>A2C SERVICE S.R.L.</t>
  </si>
  <si>
    <t>06177950653</t>
  </si>
  <si>
    <t>IT06177950653</t>
  </si>
  <si>
    <t>Salerno</t>
  </si>
  <si>
    <t>Campania</t>
  </si>
  <si>
    <t>5613.</t>
  </si>
  <si>
    <t>CONFAV COMPANY SOCIETA' A RESPONSABILITA' LIMITATA SEMPLIFICATA</t>
  </si>
  <si>
    <t>06176890652</t>
  </si>
  <si>
    <t>IT06176890652</t>
  </si>
  <si>
    <t>5614.</t>
  </si>
  <si>
    <t>ALMIC S.R.L.</t>
  </si>
  <si>
    <t>01558870299</t>
  </si>
  <si>
    <t>IT01558870299</t>
  </si>
  <si>
    <t>Rovigo</t>
  </si>
  <si>
    <t>Veneto</t>
  </si>
  <si>
    <t>5615.</t>
  </si>
  <si>
    <t>SOLERA S.R.L. IN LIQUIDAZIONE</t>
  </si>
  <si>
    <t>01978230280</t>
  </si>
  <si>
    <t>IT01978230280</t>
  </si>
  <si>
    <t>141400</t>
  </si>
  <si>
    <t>5616.</t>
  </si>
  <si>
    <t>IMMOBILIARE LAURENCE - S.R.L.</t>
  </si>
  <si>
    <t>00905180295</t>
  </si>
  <si>
    <t>IT00905180295</t>
  </si>
  <si>
    <t>5617.</t>
  </si>
  <si>
    <t>LSCM S.R.L.</t>
  </si>
  <si>
    <t>04757390408</t>
  </si>
  <si>
    <t>IT04757390408</t>
  </si>
  <si>
    <t>Rimini</t>
  </si>
  <si>
    <t>Emilia-Romagna</t>
  </si>
  <si>
    <t>5618.</t>
  </si>
  <si>
    <t>BATO SRL</t>
  </si>
  <si>
    <t>17632491001</t>
  </si>
  <si>
    <t>IT17632491001</t>
  </si>
  <si>
    <t>Roma</t>
  </si>
  <si>
    <t>Lazio</t>
  </si>
  <si>
    <t>5619.</t>
  </si>
  <si>
    <t>FLASHDANCE ITALY SOCIETA' A RESPONSABILITA' LIMITATA SEMPLIFICATA</t>
  </si>
  <si>
    <t>17463311005</t>
  </si>
  <si>
    <t>IT17463311005</t>
  </si>
  <si>
    <t>5620.</t>
  </si>
  <si>
    <t>ESSENNE SPORT SOCIETA' A RESPONSABILITA' LIMITATA</t>
  </si>
  <si>
    <t>17083291009</t>
  </si>
  <si>
    <t>IT17083291009</t>
  </si>
  <si>
    <t>5621.</t>
  </si>
  <si>
    <t>IRIS TYLORS SOCIETA' A RESPONSABILITA' LIMITATA SEMPLIFICATA</t>
  </si>
  <si>
    <t>14063641006</t>
  </si>
  <si>
    <t>IT14063641006</t>
  </si>
  <si>
    <t>141320</t>
  </si>
  <si>
    <t>5622.</t>
  </si>
  <si>
    <t>ATELIER CARLA MARINELLI S.R.L.S.</t>
  </si>
  <si>
    <t>13304501003</t>
  </si>
  <si>
    <t>IT13304501003</t>
  </si>
  <si>
    <t>5623.</t>
  </si>
  <si>
    <t>DF GROUP S.R.L.</t>
  </si>
  <si>
    <t>11413391001</t>
  </si>
  <si>
    <t>IT11413391001</t>
  </si>
  <si>
    <t>5624.</t>
  </si>
  <si>
    <t>10X7 S.R.L.</t>
  </si>
  <si>
    <t>10174961002</t>
  </si>
  <si>
    <t>IT10174961002</t>
  </si>
  <si>
    <t>5625.</t>
  </si>
  <si>
    <t>PRINCIPE FRIDOLIN</t>
  </si>
  <si>
    <t>09768551005</t>
  </si>
  <si>
    <t>IT09768551005</t>
  </si>
  <si>
    <t>5626.</t>
  </si>
  <si>
    <t>GRANATA SELLERIA - SOCIETA' A RESPONSABILITA' LIMITATA</t>
  </si>
  <si>
    <t>01521311009</t>
  </si>
  <si>
    <t>06274200580</t>
  </si>
  <si>
    <t>IT06274200580</t>
  </si>
  <si>
    <t>151200</t>
  </si>
  <si>
    <t>5627.</t>
  </si>
  <si>
    <t>DANIE' S.R.L.</t>
  </si>
  <si>
    <t>01827260884</t>
  </si>
  <si>
    <t>IT01827260884</t>
  </si>
  <si>
    <t>Ragusa</t>
  </si>
  <si>
    <t>5628.</t>
  </si>
  <si>
    <t>MONYA GRANA S.R.L.</t>
  </si>
  <si>
    <t>01537260885</t>
  </si>
  <si>
    <t>IT01537260885</t>
  </si>
  <si>
    <t>5629.</t>
  </si>
  <si>
    <t>CAMMINARE BENE SRL</t>
  </si>
  <si>
    <t>02966840353</t>
  </si>
  <si>
    <t>IT02966840353</t>
  </si>
  <si>
    <t>Reggio nell'Emilia</t>
  </si>
  <si>
    <t>5630.</t>
  </si>
  <si>
    <t>IONIUM S.R.L.S. - SOCIETA' A RESPONSABILITA' LIMITATA SEMPLIFICATA</t>
  </si>
  <si>
    <t>03221870805</t>
  </si>
  <si>
    <t>IT03221870805</t>
  </si>
  <si>
    <t>143900</t>
  </si>
  <si>
    <t>Reggio di Calabria</t>
  </si>
  <si>
    <t>Calabria</t>
  </si>
  <si>
    <t>5631.</t>
  </si>
  <si>
    <t>GJP ENTERPRISES S.R.L.</t>
  </si>
  <si>
    <t>02765040395</t>
  </si>
  <si>
    <t>IT02765040395</t>
  </si>
  <si>
    <t>Ravenna</t>
  </si>
  <si>
    <t>5632.</t>
  </si>
  <si>
    <t>G.F.M. INDUSTRIA S.R.L.IN LIQUIDAZIONE</t>
  </si>
  <si>
    <t>00819470394</t>
  </si>
  <si>
    <t>IT00819470394</t>
  </si>
  <si>
    <t>141310</t>
  </si>
  <si>
    <t>Ravenna</t>
  </si>
  <si>
    <t>Emilia-Romagna</t>
  </si>
  <si>
    <t>n.d.</t>
  </si>
  <si>
    <t>5633.</t>
  </si>
  <si>
    <t>TRE - G S.R.L.</t>
  </si>
  <si>
    <t>02708180183</t>
  </si>
  <si>
    <t>IT02708180183</t>
  </si>
  <si>
    <t>151209</t>
  </si>
  <si>
    <t>Pavia</t>
  </si>
  <si>
    <t>Lombardia</t>
  </si>
  <si>
    <t>5634.</t>
  </si>
  <si>
    <t>BELLEMARIE MILANO ITALIA S.R.L. DETTA ANCHE BMI S.R.L. DETTA ANCHE BIEMAI S.R.L.</t>
  </si>
  <si>
    <t>02642670182</t>
  </si>
  <si>
    <t>IT02642670182</t>
  </si>
  <si>
    <t>5635.</t>
  </si>
  <si>
    <t>CALZATURIFICIO DI VIGEVANO SRL</t>
  </si>
  <si>
    <t>01304760182</t>
  </si>
  <si>
    <t>IT01304760182</t>
  </si>
  <si>
    <t>152000</t>
  </si>
  <si>
    <t>5636.</t>
  </si>
  <si>
    <t>MANIFATTURA C.B.M. S.R.L.</t>
  </si>
  <si>
    <t>02100110473</t>
  </si>
  <si>
    <t>IT02100110473</t>
  </si>
  <si>
    <t>141910</t>
  </si>
  <si>
    <t>Pistoia</t>
  </si>
  <si>
    <t>Toscana</t>
  </si>
  <si>
    <t>5637.</t>
  </si>
  <si>
    <t>VALERI SOCIETA' A RESPONSABILITA' LIMITATA SEMPLIFICATA</t>
  </si>
  <si>
    <t>02801730413</t>
  </si>
  <si>
    <t>IT02801730413</t>
  </si>
  <si>
    <t>Pesaro e Urbino</t>
  </si>
  <si>
    <t>Marche</t>
  </si>
  <si>
    <t>5638.</t>
  </si>
  <si>
    <t>CESARINI SOCIETA' A RESPONSABILITA' LIMITATA SEMPLIFICATA</t>
  </si>
  <si>
    <t>02785430410</t>
  </si>
  <si>
    <t>IT02785430410</t>
  </si>
  <si>
    <t>152010</t>
  </si>
  <si>
    <t>5639.</t>
  </si>
  <si>
    <t>BM HUNTING S.R.L.</t>
  </si>
  <si>
    <t>02717580415</t>
  </si>
  <si>
    <t>IT02717580415</t>
  </si>
  <si>
    <t>141929</t>
  </si>
  <si>
    <t>5640.</t>
  </si>
  <si>
    <t>PAEN S.R.L.S.</t>
  </si>
  <si>
    <t>02703380416</t>
  </si>
  <si>
    <t>IT02703380416</t>
  </si>
  <si>
    <t>5641.</t>
  </si>
  <si>
    <t>NOELL MAGGINI GROUP SRL SOCIETA' BENEFIT</t>
  </si>
  <si>
    <t>02566940975</t>
  </si>
  <si>
    <t>IT02566940975</t>
  </si>
  <si>
    <t>Prato</t>
  </si>
  <si>
    <t>5642.</t>
  </si>
  <si>
    <t>PLENUM SRL</t>
  </si>
  <si>
    <t>02564980973</t>
  </si>
  <si>
    <t>IT02564980973</t>
  </si>
  <si>
    <t>5643.</t>
  </si>
  <si>
    <t>QUERCI S.R.L.</t>
  </si>
  <si>
    <t>02131870970</t>
  </si>
  <si>
    <t>IT02131870970</t>
  </si>
  <si>
    <t>141000</t>
  </si>
  <si>
    <t>5644.</t>
  </si>
  <si>
    <t>DANIMARC S.R.L.</t>
  </si>
  <si>
    <t>02522300504</t>
  </si>
  <si>
    <t>IT02522300504</t>
  </si>
  <si>
    <t>Pisa</t>
  </si>
  <si>
    <t>5645.</t>
  </si>
  <si>
    <t>CALZATURIFICIO MARUSKA S.R.L.</t>
  </si>
  <si>
    <t>02518860503</t>
  </si>
  <si>
    <t>IT02518860503</t>
  </si>
  <si>
    <t>5646.</t>
  </si>
  <si>
    <t>SOCIETE' DES CHAUSSURES SEDUCTA CHARLES JOURDAN ET FILS</t>
  </si>
  <si>
    <t>00829050509</t>
  </si>
  <si>
    <t>IT00829050509</t>
  </si>
  <si>
    <t>5647.</t>
  </si>
  <si>
    <t>POP SRLS</t>
  </si>
  <si>
    <t>03939330548</t>
  </si>
  <si>
    <t>IT03939330548</t>
  </si>
  <si>
    <t>141400</t>
  </si>
  <si>
    <t>Perugia</t>
  </si>
  <si>
    <t>Umbria</t>
  </si>
  <si>
    <t>5648.</t>
  </si>
  <si>
    <t>PALAZZO GIUSTI ORFINI S.R.L.</t>
  </si>
  <si>
    <t>03497900542</t>
  </si>
  <si>
    <t>IT03497900542</t>
  </si>
  <si>
    <t>5649.</t>
  </si>
  <si>
    <t>ILMA S.R.L.</t>
  </si>
  <si>
    <t>03270210549</t>
  </si>
  <si>
    <t>IT03270210549</t>
  </si>
  <si>
    <t>143900</t>
  </si>
  <si>
    <t>5650.</t>
  </si>
  <si>
    <t>CAGI PROTECTION S.R.L.</t>
  </si>
  <si>
    <t>02420940682</t>
  </si>
  <si>
    <t>IT02420940682</t>
  </si>
  <si>
    <t>141200</t>
  </si>
  <si>
    <t>Pescara</t>
  </si>
  <si>
    <t>Abruzzo</t>
  </si>
  <si>
    <t>5651.</t>
  </si>
  <si>
    <t>SHIRT ES SOCIETA' A RESPONSABILITA' LIMITATA SEMPLIFICATA</t>
  </si>
  <si>
    <t>02054810680</t>
  </si>
  <si>
    <t>IT02054810680</t>
  </si>
  <si>
    <t>5652.</t>
  </si>
  <si>
    <t>MY BAG S.R.L.</t>
  </si>
  <si>
    <t>04945470286</t>
  </si>
  <si>
    <t>IT04945470286</t>
  </si>
  <si>
    <t>Padova</t>
  </si>
  <si>
    <t>Veneto</t>
  </si>
  <si>
    <t>5653.</t>
  </si>
  <si>
    <t>ROMA CONFEZIONI S.R.L.</t>
  </si>
  <si>
    <t>04533900280</t>
  </si>
  <si>
    <t>IT04533900280</t>
  </si>
  <si>
    <t>5654.</t>
  </si>
  <si>
    <t>BRIGITTE INDUSTRIE S.R.L. IN LIQUIDAZIONE</t>
  </si>
  <si>
    <t>00700860281</t>
  </si>
  <si>
    <t>IT00700860281</t>
  </si>
  <si>
    <t>5655.</t>
  </si>
  <si>
    <t>CASTELLANA S.R.L. IN LIQUIDAZIONE</t>
  </si>
  <si>
    <t>05081310822</t>
  </si>
  <si>
    <t>IT05081310822</t>
  </si>
  <si>
    <t>Sicilia</t>
  </si>
  <si>
    <t>5656.</t>
  </si>
  <si>
    <t>ETERNO GROUP SRL</t>
  </si>
  <si>
    <t>10606181211</t>
  </si>
  <si>
    <t>IT10606181211</t>
  </si>
  <si>
    <t>141320</t>
  </si>
  <si>
    <t>Napoli</t>
  </si>
  <si>
    <t>Campania</t>
  </si>
  <si>
    <t>5657.</t>
  </si>
  <si>
    <t>POSITIAMO S.R.L.</t>
  </si>
  <si>
    <t>10535691215</t>
  </si>
  <si>
    <t>IT10535691215</t>
  </si>
  <si>
    <t>5658.</t>
  </si>
  <si>
    <t>EMERALD S.R.L</t>
  </si>
  <si>
    <t>09238381215</t>
  </si>
  <si>
    <t>IT09238381215</t>
  </si>
  <si>
    <t>5659.</t>
  </si>
  <si>
    <t>CHABADABADA SA'RL</t>
  </si>
  <si>
    <t>08649921213</t>
  </si>
  <si>
    <t>IT08649921213</t>
  </si>
  <si>
    <t>5660.</t>
  </si>
  <si>
    <t>PELLICCIA S.R.L.</t>
  </si>
  <si>
    <t>08559161214</t>
  </si>
  <si>
    <t>IT08559161214</t>
  </si>
  <si>
    <t>5661.</t>
  </si>
  <si>
    <t>VISONE SARTORIA S.R.L.S.</t>
  </si>
  <si>
    <t>08510061214</t>
  </si>
  <si>
    <t>IT08510061214</t>
  </si>
  <si>
    <t>5662.</t>
  </si>
  <si>
    <t>PRODUCTION BAGS SOCIETA' A RESPONSABILITA' LIMITATA SEMPLIFICATA</t>
  </si>
  <si>
    <t>08298351217</t>
  </si>
  <si>
    <t>IT08298351217</t>
  </si>
  <si>
    <t>5663.</t>
  </si>
  <si>
    <t>FREEDOM S.R.L.</t>
  </si>
  <si>
    <t>08024971213</t>
  </si>
  <si>
    <t>IT08024971213</t>
  </si>
  <si>
    <t>5664.</t>
  </si>
  <si>
    <t>NEOCLASSICO S.R.L.</t>
  </si>
  <si>
    <t>07992351218</t>
  </si>
  <si>
    <t>IT07992351218</t>
  </si>
  <si>
    <t>141400</t>
  </si>
  <si>
    <t>Napoli</t>
  </si>
  <si>
    <t>Campania</t>
  </si>
  <si>
    <t>n.d.</t>
  </si>
  <si>
    <t>5665.</t>
  </si>
  <si>
    <t>FEBE S.R.L.</t>
  </si>
  <si>
    <t>07761371215</t>
  </si>
  <si>
    <t>IT07761371215</t>
  </si>
  <si>
    <t>151209</t>
  </si>
  <si>
    <t>5666.</t>
  </si>
  <si>
    <t>BORSETTIFICIO SCANU MADDALENA S.R.L.</t>
  </si>
  <si>
    <t>05633221212</t>
  </si>
  <si>
    <t>IT05633221212</t>
  </si>
  <si>
    <t>5667.</t>
  </si>
  <si>
    <t>CRIGGI S.R.L.</t>
  </si>
  <si>
    <t>03187611219</t>
  </si>
  <si>
    <t>IT03187611219</t>
  </si>
  <si>
    <t>5668.</t>
  </si>
  <si>
    <t>MYMY LINGERIE SOCIETA' A RESPONSABILITA' LIMITATA</t>
  </si>
  <si>
    <t>01357740776</t>
  </si>
  <si>
    <t>IT01357740776</t>
  </si>
  <si>
    <t>Matera</t>
  </si>
  <si>
    <t>Basilicata</t>
  </si>
  <si>
    <t>5669.</t>
  </si>
  <si>
    <t>DUEDUE S.R.L.</t>
  </si>
  <si>
    <t>04113870366</t>
  </si>
  <si>
    <t>IT04113870366</t>
  </si>
  <si>
    <t>141310</t>
  </si>
  <si>
    <t>Modena</t>
  </si>
  <si>
    <t>Emilia-Romagna</t>
  </si>
  <si>
    <t>5670.</t>
  </si>
  <si>
    <t>E4YOU S.R.L. SEMPLIFICATA</t>
  </si>
  <si>
    <t>03756910364</t>
  </si>
  <si>
    <t>IT03756910364</t>
  </si>
  <si>
    <t>5671.</t>
  </si>
  <si>
    <t>MODENA MARKET S.R.L. IN LIQUIDAZIONE</t>
  </si>
  <si>
    <t>00751390675</t>
  </si>
  <si>
    <t>IT00751390675</t>
  </si>
  <si>
    <t>141000</t>
  </si>
  <si>
    <t>5672.</t>
  </si>
  <si>
    <t>NUOVA ROMY S.R.L. - IN LIQUIDAZIONE</t>
  </si>
  <si>
    <t>01289210369</t>
  </si>
  <si>
    <t>IT01289210369</t>
  </si>
  <si>
    <t>141300</t>
  </si>
  <si>
    <t>5673.</t>
  </si>
  <si>
    <t>CREOLA S.R.L. IN LIQUIDAZIONE</t>
  </si>
  <si>
    <t>01010830360</t>
  </si>
  <si>
    <t>IT01010830360</t>
  </si>
  <si>
    <t>5674.</t>
  </si>
  <si>
    <t>ATELIER STUDIO7 S.R.L.</t>
  </si>
  <si>
    <t>02427800202</t>
  </si>
  <si>
    <t>IT02427800202</t>
  </si>
  <si>
    <t>141200</t>
  </si>
  <si>
    <t>Mantova</t>
  </si>
  <si>
    <t>Lombardia</t>
  </si>
  <si>
    <t>5675.</t>
  </si>
  <si>
    <t>RICHARD'S MILANO SRL</t>
  </si>
  <si>
    <t>13820460965</t>
  </si>
  <si>
    <t>IT13820460965</t>
  </si>
  <si>
    <t>Milano</t>
  </si>
  <si>
    <t>5676.</t>
  </si>
  <si>
    <t>THIERRY RABOTIN S.R.L.</t>
  </si>
  <si>
    <t>13631600965</t>
  </si>
  <si>
    <t>IT13631600965</t>
  </si>
  <si>
    <t>152000</t>
  </si>
  <si>
    <t>5677.</t>
  </si>
  <si>
    <t>BOO A LA MODE LIMITED</t>
  </si>
  <si>
    <t>13641210961</t>
  </si>
  <si>
    <t>IT13641210961</t>
  </si>
  <si>
    <t>141320</t>
  </si>
  <si>
    <t>5678.</t>
  </si>
  <si>
    <t>IT.MILANO S.R.L.</t>
  </si>
  <si>
    <t>13469260965</t>
  </si>
  <si>
    <t>IT13469260965</t>
  </si>
  <si>
    <t>141910</t>
  </si>
  <si>
    <t>5679.</t>
  </si>
  <si>
    <t>INVOGA SRL</t>
  </si>
  <si>
    <t>13331370968</t>
  </si>
  <si>
    <t>IT13331370968</t>
  </si>
  <si>
    <t>5680.</t>
  </si>
  <si>
    <t>CONCERIA KARA LEATHER S.R.L.</t>
  </si>
  <si>
    <t>13173890966</t>
  </si>
  <si>
    <t>IT13173890966</t>
  </si>
  <si>
    <t>151100</t>
  </si>
  <si>
    <t>5681.</t>
  </si>
  <si>
    <t>OLIVA S.R.L.</t>
  </si>
  <si>
    <t>13053560960</t>
  </si>
  <si>
    <t>IT13053560960</t>
  </si>
  <si>
    <t>5682.</t>
  </si>
  <si>
    <t>MANIFATTURE ITALIANE S.R.L.</t>
  </si>
  <si>
    <t>13042410962</t>
  </si>
  <si>
    <t>IT13042410962</t>
  </si>
  <si>
    <t>152010</t>
  </si>
  <si>
    <t>5683.</t>
  </si>
  <si>
    <t>MANUFACTURE DE TEXTILES LOUIS VUITTON S.R.L.</t>
  </si>
  <si>
    <t>13010340969</t>
  </si>
  <si>
    <t>IT13010340969</t>
  </si>
  <si>
    <t>5684.</t>
  </si>
  <si>
    <t>ZEN CONFEZIONI SRLS</t>
  </si>
  <si>
    <t>12731680968</t>
  </si>
  <si>
    <t>IT12731680968</t>
  </si>
  <si>
    <t>5685.</t>
  </si>
  <si>
    <t>EINES SOCIETA' A RESPONSABILITA' LIMITATA SEMPLIFICATA</t>
  </si>
  <si>
    <t>10377990964</t>
  </si>
  <si>
    <t>IT10377990964</t>
  </si>
  <si>
    <t>5686.</t>
  </si>
  <si>
    <t>ANI' ANI' S.R.L.</t>
  </si>
  <si>
    <t>05784530965</t>
  </si>
  <si>
    <t>IT05784530965</t>
  </si>
  <si>
    <t>5687.</t>
  </si>
  <si>
    <t>SACI INTERNATIONAL LONGSTONE GROUP SOCIETA' A RESPONSABILITA' LIMITATA SEMPLIFICATA</t>
  </si>
  <si>
    <t>03765920834</t>
  </si>
  <si>
    <t>IT03765920834</t>
  </si>
  <si>
    <t>Messina</t>
  </si>
  <si>
    <t>Sicilia</t>
  </si>
  <si>
    <t>5688.</t>
  </si>
  <si>
    <t>THREE STAR SRL</t>
  </si>
  <si>
    <t>02109870432</t>
  </si>
  <si>
    <t>IT02109870432</t>
  </si>
  <si>
    <t>152020</t>
  </si>
  <si>
    <t>Macerata</t>
  </si>
  <si>
    <t>Marche</t>
  </si>
  <si>
    <t>5689.</t>
  </si>
  <si>
    <t>MATTWAY MW SRL</t>
  </si>
  <si>
    <t>02052100431</t>
  </si>
  <si>
    <t>IT02052100431</t>
  </si>
  <si>
    <t>5690.</t>
  </si>
  <si>
    <t>S.B. INDUSTRIES S.R.L.S.</t>
  </si>
  <si>
    <t>02046420432</t>
  </si>
  <si>
    <t>IT02046420432</t>
  </si>
  <si>
    <t>5691.</t>
  </si>
  <si>
    <t>REDTREE SRLS</t>
  </si>
  <si>
    <t>02036970438</t>
  </si>
  <si>
    <t>IT02036970438</t>
  </si>
  <si>
    <t>5692.</t>
  </si>
  <si>
    <t>LUNA SRL</t>
  </si>
  <si>
    <t>13609550960</t>
  </si>
  <si>
    <t>IT13609550960</t>
  </si>
  <si>
    <t>Monza e della Brianza</t>
  </si>
  <si>
    <t>5693.</t>
  </si>
  <si>
    <t>APTYCA SRL</t>
  </si>
  <si>
    <t>13165020960</t>
  </si>
  <si>
    <t>IT13165020960</t>
  </si>
  <si>
    <t>141929</t>
  </si>
  <si>
    <t>5694.</t>
  </si>
  <si>
    <t>LONG SRL</t>
  </si>
  <si>
    <t>07920120966</t>
  </si>
  <si>
    <t>IT07920120966</t>
  </si>
  <si>
    <t>5695.</t>
  </si>
  <si>
    <t>PARNISARI SRLS</t>
  </si>
  <si>
    <t>02507330468</t>
  </si>
  <si>
    <t>IT02507330468</t>
  </si>
  <si>
    <t>Lucca</t>
  </si>
  <si>
    <t>Toscana</t>
  </si>
  <si>
    <t>5696.</t>
  </si>
  <si>
    <t>I.C.F. INDUSTRIA CONFEZIONI FEMMINILI SRL</t>
  </si>
  <si>
    <t>01305750596</t>
  </si>
  <si>
    <t>IT01305750596</t>
  </si>
  <si>
    <t>141320</t>
  </si>
  <si>
    <t>Latina</t>
  </si>
  <si>
    <t>Lazio</t>
  </si>
  <si>
    <t>n.d.</t>
  </si>
  <si>
    <t>5697.</t>
  </si>
  <si>
    <t>MENA S.R.L.</t>
  </si>
  <si>
    <t>05275860756</t>
  </si>
  <si>
    <t>IT05275860756</t>
  </si>
  <si>
    <t>152010</t>
  </si>
  <si>
    <t>Lecce</t>
  </si>
  <si>
    <t>Puglia</t>
  </si>
  <si>
    <t>5698.</t>
  </si>
  <si>
    <t>VINOLED S.R.L.</t>
  </si>
  <si>
    <t>04629570757</t>
  </si>
  <si>
    <t>IT04629570757</t>
  </si>
  <si>
    <t>141910</t>
  </si>
  <si>
    <t>5699.</t>
  </si>
  <si>
    <t>FRAMBEST SRL</t>
  </si>
  <si>
    <t>04115140131</t>
  </si>
  <si>
    <t>IT04115140131</t>
  </si>
  <si>
    <t>143900</t>
  </si>
  <si>
    <t>Lecco</t>
  </si>
  <si>
    <t>Lombardia</t>
  </si>
  <si>
    <t>5700.</t>
  </si>
  <si>
    <t>NOEMI SOCIETA' A RESPONSABILITA' LIMITATA SEMPLIFICATAIN BREVE NOEMI SRLS</t>
  </si>
  <si>
    <t>03487970133</t>
  </si>
  <si>
    <t>IT03487970133</t>
  </si>
  <si>
    <t>5701.</t>
  </si>
  <si>
    <t>ESTER S.R.L.</t>
  </si>
  <si>
    <t>03262540135</t>
  </si>
  <si>
    <t>IT03262540135</t>
  </si>
  <si>
    <t>5702.</t>
  </si>
  <si>
    <t>APPAREL NETWORK - SOCIETA' A RESPONSABILITA' LIMITATA</t>
  </si>
  <si>
    <t>00924550940</t>
  </si>
  <si>
    <t>IT00924550940</t>
  </si>
  <si>
    <t>141000</t>
  </si>
  <si>
    <t>Isernia</t>
  </si>
  <si>
    <t>Molise</t>
  </si>
  <si>
    <t>5703.</t>
  </si>
  <si>
    <t>LEDA SPORT S.R.L.S.</t>
  </si>
  <si>
    <t>03227770603</t>
  </si>
  <si>
    <t>IT03227770603</t>
  </si>
  <si>
    <t>141929</t>
  </si>
  <si>
    <t>Frosinone</t>
  </si>
  <si>
    <t>5704.</t>
  </si>
  <si>
    <t>MORGAN S.R.L.</t>
  </si>
  <si>
    <t>04199850407</t>
  </si>
  <si>
    <t>IT04199850407</t>
  </si>
  <si>
    <t>141200</t>
  </si>
  <si>
    <t>Forlì-Cesena</t>
  </si>
  <si>
    <t>Emilia-Romagna</t>
  </si>
  <si>
    <t>5705.</t>
  </si>
  <si>
    <t>MODA CREATIVA S.R.L.</t>
  </si>
  <si>
    <t>04110530401</t>
  </si>
  <si>
    <t>IT04110530401</t>
  </si>
  <si>
    <t>5706.</t>
  </si>
  <si>
    <t>SOLETTIFICIO VA.FRA. S.R.L.S.</t>
  </si>
  <si>
    <t>02557060445</t>
  </si>
  <si>
    <t>IT02557060445</t>
  </si>
  <si>
    <t>152020</t>
  </si>
  <si>
    <t>Fermo</t>
  </si>
  <si>
    <t>Marche</t>
  </si>
  <si>
    <t>5707.</t>
  </si>
  <si>
    <t>P448 XT S.R.L.</t>
  </si>
  <si>
    <t>04715350403</t>
  </si>
  <si>
    <t>IT04715350403</t>
  </si>
  <si>
    <t>5708.</t>
  </si>
  <si>
    <t>FASTEMA S.R.L.</t>
  </si>
  <si>
    <t>02356870440</t>
  </si>
  <si>
    <t>IT02356870440</t>
  </si>
  <si>
    <t>5709.</t>
  </si>
  <si>
    <t>APPENNINO ACTIVEWEAR S.R.L.</t>
  </si>
  <si>
    <t>07409460487</t>
  </si>
  <si>
    <t>IT07409460487</t>
  </si>
  <si>
    <t>Firenze</t>
  </si>
  <si>
    <t>Toscana</t>
  </si>
  <si>
    <t>5710.</t>
  </si>
  <si>
    <t>PELLETTERIA ARTIGIANA VIVIANI S.R.L.</t>
  </si>
  <si>
    <t>07340010482</t>
  </si>
  <si>
    <t>IT07340010482</t>
  </si>
  <si>
    <t>151209</t>
  </si>
  <si>
    <t>5711.</t>
  </si>
  <si>
    <t>CRILO' S.R.L.</t>
  </si>
  <si>
    <t>07327080482</t>
  </si>
  <si>
    <t>IT07327080482</t>
  </si>
  <si>
    <t>141310</t>
  </si>
  <si>
    <t>5712.</t>
  </si>
  <si>
    <t>NOI AUTISMO E DISABILITA' SOCIETA' COOPERATIVA SOCIALE</t>
  </si>
  <si>
    <t>07257700489</t>
  </si>
  <si>
    <t>IT07257700489</t>
  </si>
  <si>
    <t>5713.</t>
  </si>
  <si>
    <t>4M S.R.L.</t>
  </si>
  <si>
    <t>07185330482</t>
  </si>
  <si>
    <t>IT07185330482</t>
  </si>
  <si>
    <t>5714.</t>
  </si>
  <si>
    <t>BESPOKE STYLE FLORENCE S.R.L.</t>
  </si>
  <si>
    <t>07052500480</t>
  </si>
  <si>
    <t>IT07052500480</t>
  </si>
  <si>
    <t>5715.</t>
  </si>
  <si>
    <t>A4 STUDIO ARTISTICO SRL</t>
  </si>
  <si>
    <t>07001480487</t>
  </si>
  <si>
    <t>IT07001480487</t>
  </si>
  <si>
    <t>5716.</t>
  </si>
  <si>
    <t>JOHN SMEDLEY LTD</t>
  </si>
  <si>
    <t>06668390484</t>
  </si>
  <si>
    <t>IT06668390484</t>
  </si>
  <si>
    <t>5717.</t>
  </si>
  <si>
    <t>TIE REX SRL SEMPLIFICATA</t>
  </si>
  <si>
    <t>06565910483</t>
  </si>
  <si>
    <t>IT06565910483</t>
  </si>
  <si>
    <t>5718.</t>
  </si>
  <si>
    <t>VERDI - S.R.L.</t>
  </si>
  <si>
    <t>06396060482</t>
  </si>
  <si>
    <t>IT06396060482</t>
  </si>
  <si>
    <t>5719.</t>
  </si>
  <si>
    <t>SPACCATRICE CAPPIANO SRL</t>
  </si>
  <si>
    <t>01964720500</t>
  </si>
  <si>
    <t>IT01964720500</t>
  </si>
  <si>
    <t>151100</t>
  </si>
  <si>
    <t>5720.</t>
  </si>
  <si>
    <t>SILVANA CIRRI BY CISIL BABY S.R.L.</t>
  </si>
  <si>
    <t>05176080488</t>
  </si>
  <si>
    <t>IT05176080488</t>
  </si>
  <si>
    <t>5721.</t>
  </si>
  <si>
    <t>20 NODI S.R.L.</t>
  </si>
  <si>
    <t>04524970714</t>
  </si>
  <si>
    <t>IT04524970714</t>
  </si>
  <si>
    <t>141400</t>
  </si>
  <si>
    <t>Foggia</t>
  </si>
  <si>
    <t>5722.</t>
  </si>
  <si>
    <t>LEGAME BRAND S.R.L.</t>
  </si>
  <si>
    <t>05997650873</t>
  </si>
  <si>
    <t>IT05997650873</t>
  </si>
  <si>
    <t>Catania</t>
  </si>
  <si>
    <t>Sicilia</t>
  </si>
  <si>
    <t>5723.</t>
  </si>
  <si>
    <t>GIGREN S.R.L.</t>
  </si>
  <si>
    <t>05446440876</t>
  </si>
  <si>
    <t>IT05446440876</t>
  </si>
  <si>
    <t>5724.</t>
  </si>
  <si>
    <t>ATELIER S.R.L.</t>
  </si>
  <si>
    <t>02569430784</t>
  </si>
  <si>
    <t>IT02569430784</t>
  </si>
  <si>
    <t>Cosenza</t>
  </si>
  <si>
    <t>Calabria</t>
  </si>
  <si>
    <t>5725.</t>
  </si>
  <si>
    <t>RIVERSIDE TREE S.R.L.</t>
  </si>
  <si>
    <t>01755630199</t>
  </si>
  <si>
    <t>IT01755630199</t>
  </si>
  <si>
    <t>Cremona</t>
  </si>
  <si>
    <t>5726.</t>
  </si>
  <si>
    <t>P&amp;P FASHION GROUP S.R.L. START-UP COSTITUITA A NORMA DELL'ART. 4 COMMA 10 BIS DEL DECRETO LEGGE 24 GENNAIO 2015, N. 3</t>
  </si>
  <si>
    <t>03953380130</t>
  </si>
  <si>
    <t>IT03953380130</t>
  </si>
  <si>
    <t>Como</t>
  </si>
  <si>
    <t>5727.</t>
  </si>
  <si>
    <t>SMAF SOCIETA' A RESPONSABILITA' LIMITATA SEMPLIFICATA</t>
  </si>
  <si>
    <t>02764600694</t>
  </si>
  <si>
    <t>IT02764600694</t>
  </si>
  <si>
    <t>Chieti</t>
  </si>
  <si>
    <t>Abruzzo</t>
  </si>
  <si>
    <t>5728.</t>
  </si>
  <si>
    <t>PSA INNOVA S.R.L.</t>
  </si>
  <si>
    <t>04299950610</t>
  </si>
  <si>
    <t>IT04299950610</t>
  </si>
  <si>
    <t>141000</t>
  </si>
  <si>
    <t>Caserta</t>
  </si>
  <si>
    <t>Campania</t>
  </si>
  <si>
    <t>n.d.</t>
  </si>
  <si>
    <t>5729.</t>
  </si>
  <si>
    <t>ANTILAB SOCIETA' A RESPONSABILITA' LIMITATA SEMPLIFICATA</t>
  </si>
  <si>
    <t>04268800614</t>
  </si>
  <si>
    <t>IT04268800614</t>
  </si>
  <si>
    <t>141320</t>
  </si>
  <si>
    <t>5730.</t>
  </si>
  <si>
    <t>GALLO SOCIETA' PER AZIONI</t>
  </si>
  <si>
    <t>04618670980</t>
  </si>
  <si>
    <t>IT04618670980</t>
  </si>
  <si>
    <t>143100</t>
  </si>
  <si>
    <t>Brescia</t>
  </si>
  <si>
    <t>Lombardia</t>
  </si>
  <si>
    <t>5731.</t>
  </si>
  <si>
    <t>HARDSKIN SRL</t>
  </si>
  <si>
    <t>04994620237</t>
  </si>
  <si>
    <t>IT04994620237</t>
  </si>
  <si>
    <t>141929</t>
  </si>
  <si>
    <t>5732.</t>
  </si>
  <si>
    <t>ALMALIA SRL</t>
  </si>
  <si>
    <t>04521210981</t>
  </si>
  <si>
    <t>IT04521210981</t>
  </si>
  <si>
    <t>143900</t>
  </si>
  <si>
    <t>5733.</t>
  </si>
  <si>
    <t>NEXT SPORT SOCIETA' A RESPONSABILITA' LIMITATA SEMPLIFICATA</t>
  </si>
  <si>
    <t>04441730985</t>
  </si>
  <si>
    <t>IT04441730985</t>
  </si>
  <si>
    <t>5734.</t>
  </si>
  <si>
    <t>LIVREA MOVEMENT S.R.L.S.</t>
  </si>
  <si>
    <t>03869071203</t>
  </si>
  <si>
    <t>IT03869071203</t>
  </si>
  <si>
    <t>141910</t>
  </si>
  <si>
    <t>Bologna</t>
  </si>
  <si>
    <t>Emilia-Romagna</t>
  </si>
  <si>
    <t>5735.</t>
  </si>
  <si>
    <t>MADE FOR YOU S.R.L.</t>
  </si>
  <si>
    <t>03652771209</t>
  </si>
  <si>
    <t>IT03652771209</t>
  </si>
  <si>
    <t>152010</t>
  </si>
  <si>
    <t>5736.</t>
  </si>
  <si>
    <t>210 SRL</t>
  </si>
  <si>
    <t>03555041205</t>
  </si>
  <si>
    <t>IT03555041205</t>
  </si>
  <si>
    <t>141310</t>
  </si>
  <si>
    <t>5737.</t>
  </si>
  <si>
    <t>RETE PELLI MEDITERRANEO</t>
  </si>
  <si>
    <t>01821080627</t>
  </si>
  <si>
    <t>IT01821080627</t>
  </si>
  <si>
    <t>151100</t>
  </si>
  <si>
    <t>Benevento</t>
  </si>
  <si>
    <t>5738.</t>
  </si>
  <si>
    <t>GIUSY GROUP S.R.L.</t>
  </si>
  <si>
    <t>01634890626</t>
  </si>
  <si>
    <t>IT01634890626</t>
  </si>
  <si>
    <t>5739.</t>
  </si>
  <si>
    <t>INNUANCE SRL</t>
  </si>
  <si>
    <t>02804320022</t>
  </si>
  <si>
    <t>IT02804320022</t>
  </si>
  <si>
    <t>Biella</t>
  </si>
  <si>
    <t>Piemonte</t>
  </si>
  <si>
    <t>5740.</t>
  </si>
  <si>
    <t>LA BOTTEGA DI GIORGIA SRL</t>
  </si>
  <si>
    <t>04757110160</t>
  </si>
  <si>
    <t>IT04757110160</t>
  </si>
  <si>
    <t>Bergamo</t>
  </si>
  <si>
    <t>5741.</t>
  </si>
  <si>
    <t>UBBIALI DAVIDE GIOVANNI S.R.L.</t>
  </si>
  <si>
    <t>04752050163</t>
  </si>
  <si>
    <t>IT04752050163</t>
  </si>
  <si>
    <t>5742.</t>
  </si>
  <si>
    <t>MAZZARELLI CAMICIE S.R.L.</t>
  </si>
  <si>
    <t>09002670728</t>
  </si>
  <si>
    <t>IT09002670728</t>
  </si>
  <si>
    <t>141400</t>
  </si>
  <si>
    <t>Bari</t>
  </si>
  <si>
    <t>Puglia</t>
  </si>
  <si>
    <t>5743.</t>
  </si>
  <si>
    <t>DADDATO OPERATIONS S.R.L.</t>
  </si>
  <si>
    <t>08989210722</t>
  </si>
  <si>
    <t>IT08989210722</t>
  </si>
  <si>
    <t>Barletta-Andria-Trani</t>
  </si>
  <si>
    <t>5744.</t>
  </si>
  <si>
    <t>NANALEO CLOTHERAPY SOCIETA' A RESPONSABILITA' LIMITATA SEMPLIFICATA</t>
  </si>
  <si>
    <t>08564710724</t>
  </si>
  <si>
    <t>IT08564710724</t>
  </si>
  <si>
    <t>5745.</t>
  </si>
  <si>
    <t>CALZATURIFICIO YOULY S.R.L.</t>
  </si>
  <si>
    <t>08414010721</t>
  </si>
  <si>
    <t>IT08414010721</t>
  </si>
  <si>
    <t>5746.</t>
  </si>
  <si>
    <t>TRANCERIA DIMONTE'S SOCIETA' A RESPONSABILITA' LIMITATA SEMPLIFIC ATA</t>
  </si>
  <si>
    <t>08228440726</t>
  </si>
  <si>
    <t>IT08228440726</t>
  </si>
  <si>
    <t>152020</t>
  </si>
  <si>
    <t>5747.</t>
  </si>
  <si>
    <t>MANIFATTURE 4 ESSE S.R.L.S. - SOCIETA' A RESPONSABILITA' LIMITATA SEMPLIFICATA</t>
  </si>
  <si>
    <t>08219870725</t>
  </si>
  <si>
    <t>IT08219870725</t>
  </si>
  <si>
    <t>5748.</t>
  </si>
  <si>
    <t>ROXIBEACHWEAR SOCIETA' A RESPONSABILITA' LIMITATA SEMPLIFICATA</t>
  </si>
  <si>
    <t>07735710720</t>
  </si>
  <si>
    <t>IT07735710720</t>
  </si>
  <si>
    <t>5749.</t>
  </si>
  <si>
    <t>GRUPPO B FASHION S.R.L.</t>
  </si>
  <si>
    <t>07087010729</t>
  </si>
  <si>
    <t>IT07087010729</t>
  </si>
  <si>
    <t>5750.</t>
  </si>
  <si>
    <t>CONFEZIONI LUISA S.R.L.</t>
  </si>
  <si>
    <t>05866130726</t>
  </si>
  <si>
    <t>IT05866130726</t>
  </si>
  <si>
    <t>5751.</t>
  </si>
  <si>
    <t>GRUPPO H S.P.A. IN LIQUIDAZIONE</t>
  </si>
  <si>
    <t>00830170726</t>
  </si>
  <si>
    <t>IT00830170726</t>
  </si>
  <si>
    <t>141900</t>
  </si>
  <si>
    <t>5752.</t>
  </si>
  <si>
    <t>D.G. LEATHER INTERNATIONAL S.R.L.</t>
  </si>
  <si>
    <t>01809940644</t>
  </si>
  <si>
    <t>IT01809940644</t>
  </si>
  <si>
    <t>Avellino</t>
  </si>
  <si>
    <t>5753.</t>
  </si>
  <si>
    <t>SPALLINIFICIO STS S.R.L.</t>
  </si>
  <si>
    <t>01791530643</t>
  </si>
  <si>
    <t>IT01791530643</t>
  </si>
  <si>
    <t>5754.</t>
  </si>
  <si>
    <t>HAMANA S.R.L., IN LIQUIDAZIONE</t>
  </si>
  <si>
    <t>01705020640</t>
  </si>
  <si>
    <t>IT01705020640</t>
  </si>
  <si>
    <t>5755.</t>
  </si>
  <si>
    <t>FRANGIPANI SRL</t>
  </si>
  <si>
    <t>02495660512</t>
  </si>
  <si>
    <t>IT02495660512</t>
  </si>
  <si>
    <t>Arezzo</t>
  </si>
  <si>
    <t>Toscana</t>
  </si>
  <si>
    <t>5756.</t>
  </si>
  <si>
    <t>ELI ATELIER SOCIETA' A RESPONSABILITA' LIMITATA</t>
  </si>
  <si>
    <t>02970920423</t>
  </si>
  <si>
    <t>IT02970920423</t>
  </si>
  <si>
    <t>Ancona</t>
  </si>
  <si>
    <t>Marche</t>
  </si>
  <si>
    <t>5757.</t>
  </si>
  <si>
    <t>ALL TRICOT S.R.L.</t>
  </si>
  <si>
    <t>02547930426</t>
  </si>
  <si>
    <t>IT02547930426</t>
  </si>
  <si>
    <t>5758.</t>
  </si>
  <si>
    <t>SNEARK S.R.L.</t>
  </si>
  <si>
    <t>03082980842</t>
  </si>
  <si>
    <t>IT03082980842</t>
  </si>
  <si>
    <t>Agrigento</t>
  </si>
  <si>
    <t>Sicilia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</si>
</sst>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</font>
    <font>
      <b/>
      <sz val="8.5"/>
      <color indexed="56"/>
      <name val="Verdana"/>
      <family val="2"/>
    </font>
    <font>
      <b/>
      <sz val="8.5"/>
      <color indexed="9"/>
      <name val="Verdana"/>
      <family val="2"/>
    </font>
    <font>
      <sz val="8.5"/>
      <color indexed="6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9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1" xfId="0" applyFont="1" applyFill="1" applyBorder="1" applyAlignment="1">
      <alignment horizontal="left" vertical="top" wrapText="1"/>
    </xf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left" vertical="top" wrapText="1"/>
    </xf>
    <xf numFmtId="3" fontId="3" fillId="3" borderId="1" xfId="0" applyNumberFormat="1" applyFont="1" applyFill="1" applyBorder="1" applyAlignment="1">
      <alignment horizontal="right" vertical="top"/>
    </xf>
    <xf numFmtId="3" fontId="3" fillId="6" borderId="1" xfId="0" applyNumberFormat="1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0" fontId="0" fillId="2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ED5DD"/>
      <rgbColor rgb="006D819D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7EBF7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808692"/>
      <rgbColor rgb="0096A3B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583D-9249-0A47-8BBC-17CBC4C056AD}">
  <dimension ref="A1:R5759"/>
  <sheetViews>
    <sheetView tabSelected="1" topLeftCell="A5735" workbookViewId="0"/>
  </sheetViews>
  <sheetFormatPr baseColWidth="10" defaultRowHeight="13" x14ac:dyDescent="0.15"/>
  <cols>
    <col min="1" max="1" width="6" style="3" customWidth="1"/>
    <col min="2" max="2" width="30" style="3" customWidth="1"/>
    <col min="3" max="3" width="25.5" style="3" customWidth="1"/>
    <col min="4" max="4" width="19.1640625" style="3" customWidth="1"/>
    <col min="5" max="6" width="32.6640625" style="3" customWidth="1"/>
    <col min="7" max="7" width="18.83203125" style="3" customWidth="1"/>
    <col min="8" max="8" width="32.6640625" style="3" customWidth="1"/>
    <col min="9" max="9" width="30.1640625" style="3" customWidth="1"/>
    <col min="10" max="18" width="19.5" style="3" customWidth="1"/>
    <col min="19" max="256" width="8.83203125" customWidth="1"/>
  </cols>
  <sheetData>
    <row r="1" spans="1:18" ht="64.75" customHeight="1" x14ac:dyDescent="0.15">
      <c r="A1" s="4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6" t="s">
        <v>12</v>
      </c>
      <c r="L1" s="7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</row>
    <row r="2" spans="1:18" ht="17" customHeight="1" x14ac:dyDescent="0.15">
      <c r="A2" s="8" t="s">
        <v>0</v>
      </c>
      <c r="B2" s="9" t="s">
        <v>20</v>
      </c>
      <c r="C2" s="8" t="s">
        <v>21</v>
      </c>
      <c r="D2" s="8" t="s">
        <v>22</v>
      </c>
      <c r="E2" s="8" t="s">
        <v>23</v>
      </c>
      <c r="F2" s="8" t="s">
        <v>24</v>
      </c>
      <c r="G2" s="8" t="s">
        <v>25</v>
      </c>
      <c r="H2" s="8" t="s">
        <v>26</v>
      </c>
      <c r="I2" s="8" t="str">
        <f>HYPERLINK("http://www.gucci.com/","www.gucci.com")</f>
        <v>www.gucci.com</v>
      </c>
      <c r="J2" s="10">
        <v>4526651</v>
      </c>
      <c r="K2" s="10">
        <v>4526651</v>
      </c>
      <c r="L2" s="10">
        <v>5751586</v>
      </c>
      <c r="M2" s="10">
        <v>461040</v>
      </c>
      <c r="N2" s="10">
        <v>461040</v>
      </c>
      <c r="O2" s="10">
        <v>1410876</v>
      </c>
      <c r="P2" s="10">
        <v>1722</v>
      </c>
      <c r="Q2" s="10">
        <v>1722</v>
      </c>
      <c r="R2" s="10">
        <v>1701</v>
      </c>
    </row>
    <row r="3" spans="1:18" ht="29.5" customHeight="1" x14ac:dyDescent="0.15">
      <c r="A3" s="11" t="s">
        <v>1</v>
      </c>
      <c r="B3" s="1" t="s">
        <v>27</v>
      </c>
      <c r="C3" s="11" t="s">
        <v>28</v>
      </c>
      <c r="D3" s="11" t="s">
        <v>28</v>
      </c>
      <c r="E3" s="11" t="s">
        <v>29</v>
      </c>
      <c r="F3" s="11" t="s">
        <v>24</v>
      </c>
      <c r="G3" s="11" t="s">
        <v>25</v>
      </c>
      <c r="H3" s="11" t="s">
        <v>26</v>
      </c>
      <c r="I3" s="11" t="str">
        <f>HYPERLINK("http://www.gucci.com/","http://www.gucci.com")</f>
        <v>http://www.gucci.com</v>
      </c>
      <c r="J3" s="12">
        <v>2077189</v>
      </c>
      <c r="K3" s="12">
        <v>2077189</v>
      </c>
      <c r="L3" s="13">
        <v>2339879</v>
      </c>
      <c r="M3" s="12">
        <v>49289</v>
      </c>
      <c r="N3" s="12">
        <v>49289</v>
      </c>
      <c r="O3" s="12">
        <v>80529</v>
      </c>
      <c r="P3" s="12">
        <v>1587</v>
      </c>
      <c r="Q3" s="12">
        <v>1587</v>
      </c>
      <c r="R3" s="12">
        <v>1596</v>
      </c>
    </row>
    <row r="4" spans="1:18" ht="17" customHeight="1" x14ac:dyDescent="0.15">
      <c r="A4" s="8" t="s">
        <v>2</v>
      </c>
      <c r="B4" s="9" t="s">
        <v>30</v>
      </c>
      <c r="C4" s="8" t="s">
        <v>31</v>
      </c>
      <c r="D4" s="8" t="s">
        <v>31</v>
      </c>
      <c r="E4" s="8" t="s">
        <v>32</v>
      </c>
      <c r="F4" s="8" t="s">
        <v>33</v>
      </c>
      <c r="G4" s="8" t="s">
        <v>34</v>
      </c>
      <c r="H4" s="8" t="s">
        <v>35</v>
      </c>
      <c r="I4" s="8" t="str">
        <f>HYPERLINK("http://www.industries-group.com/","http://www.industries-group.com")</f>
        <v>http://www.industries-group.com</v>
      </c>
      <c r="J4" s="10">
        <v>1629954</v>
      </c>
      <c r="K4" s="10">
        <v>1629954</v>
      </c>
      <c r="L4" s="10">
        <v>1351047</v>
      </c>
      <c r="M4" s="10">
        <v>305894</v>
      </c>
      <c r="N4" s="10">
        <v>305894</v>
      </c>
      <c r="O4" s="10">
        <v>150154</v>
      </c>
      <c r="P4" s="10">
        <v>1444</v>
      </c>
      <c r="Q4" s="10">
        <v>1444</v>
      </c>
      <c r="R4" s="10">
        <v>1164</v>
      </c>
    </row>
    <row r="5" spans="1:18" ht="17" customHeight="1" x14ac:dyDescent="0.15">
      <c r="A5" s="11" t="s">
        <v>36</v>
      </c>
      <c r="B5" s="1" t="s">
        <v>37</v>
      </c>
      <c r="C5" s="11" t="s">
        <v>38</v>
      </c>
      <c r="D5" s="11" t="s">
        <v>38</v>
      </c>
      <c r="E5" s="11" t="s">
        <v>39</v>
      </c>
      <c r="F5" s="11" t="s">
        <v>33</v>
      </c>
      <c r="G5" s="11" t="s">
        <v>34</v>
      </c>
      <c r="H5" s="11" t="s">
        <v>35</v>
      </c>
      <c r="I5" s="11" t="str">
        <f>HYPERLINK("http://world.dolcegabbana.com/","world.dolcegabbana.com")</f>
        <v>world.dolcegabbana.com</v>
      </c>
      <c r="J5" s="12">
        <v>1129600.6410000001</v>
      </c>
      <c r="K5" s="12">
        <v>1129600.6410000001</v>
      </c>
      <c r="L5" s="13">
        <v>1182746.7320000001</v>
      </c>
      <c r="M5" s="12">
        <v>-73832.827999999994</v>
      </c>
      <c r="N5" s="12">
        <v>-73832.827999999994</v>
      </c>
      <c r="O5" s="12">
        <v>-81168.301999999996</v>
      </c>
      <c r="P5" s="12">
        <v>2818</v>
      </c>
      <c r="Q5" s="12">
        <v>2818</v>
      </c>
      <c r="R5" s="12">
        <v>2685</v>
      </c>
    </row>
    <row r="6" spans="1:18" ht="17" customHeight="1" x14ac:dyDescent="0.15">
      <c r="A6" s="8" t="s">
        <v>40</v>
      </c>
      <c r="B6" s="9" t="s">
        <v>41</v>
      </c>
      <c r="C6" s="8" t="s">
        <v>42</v>
      </c>
      <c r="D6" s="8" t="s">
        <v>43</v>
      </c>
      <c r="E6" s="8" t="s">
        <v>44</v>
      </c>
      <c r="F6" s="8" t="s">
        <v>24</v>
      </c>
      <c r="G6" s="8" t="s">
        <v>45</v>
      </c>
      <c r="H6" s="8" t="s">
        <v>46</v>
      </c>
      <c r="I6" s="8" t="str">
        <f>HYPERLINK("http://www.bottegaveneta.com/","http://www.bottegaveneta.com")</f>
        <v>http://www.bottegaveneta.com</v>
      </c>
      <c r="J6" s="10">
        <v>840890.973</v>
      </c>
      <c r="K6" s="10">
        <v>840890.973</v>
      </c>
      <c r="L6" s="10">
        <v>1129118.8529999999</v>
      </c>
      <c r="M6" s="10">
        <v>81890.33</v>
      </c>
      <c r="N6" s="10">
        <v>81890.33</v>
      </c>
      <c r="O6" s="10">
        <v>177353.17199999999</v>
      </c>
      <c r="P6" s="10">
        <v>388</v>
      </c>
      <c r="Q6" s="10">
        <v>388</v>
      </c>
      <c r="R6" s="10">
        <v>349</v>
      </c>
    </row>
    <row r="7" spans="1:18" ht="17" customHeight="1" x14ac:dyDescent="0.15">
      <c r="A7" s="11" t="s">
        <v>47</v>
      </c>
      <c r="B7" s="1" t="s">
        <v>48</v>
      </c>
      <c r="C7" s="11" t="s">
        <v>49</v>
      </c>
      <c r="D7" s="11" t="s">
        <v>50</v>
      </c>
      <c r="E7" s="11" t="s">
        <v>51</v>
      </c>
      <c r="F7" s="11" t="s">
        <v>52</v>
      </c>
      <c r="G7" s="11" t="s">
        <v>53</v>
      </c>
      <c r="H7" s="11" t="s">
        <v>54</v>
      </c>
      <c r="I7" s="11" t="str">
        <f>HYPERLINK("http://www.solbiati.it/","www.solbiati.it")</f>
        <v>www.solbiati.it</v>
      </c>
      <c r="J7" s="12">
        <v>1296213</v>
      </c>
      <c r="K7" s="12">
        <v>1296213</v>
      </c>
      <c r="L7" s="13">
        <v>972957</v>
      </c>
      <c r="M7" s="12">
        <v>191934</v>
      </c>
      <c r="N7" s="12">
        <v>191934</v>
      </c>
      <c r="O7" s="12">
        <v>101768</v>
      </c>
      <c r="P7" s="12">
        <v>2117</v>
      </c>
      <c r="Q7" s="12">
        <v>2117</v>
      </c>
      <c r="R7" s="12">
        <v>1903</v>
      </c>
    </row>
    <row r="8" spans="1:18" ht="17" customHeight="1" x14ac:dyDescent="0.15">
      <c r="A8" s="8" t="s">
        <v>55</v>
      </c>
      <c r="B8" s="9" t="s">
        <v>56</v>
      </c>
      <c r="C8" s="8" t="s">
        <v>57</v>
      </c>
      <c r="D8" s="8" t="s">
        <v>57</v>
      </c>
      <c r="E8" s="8" t="s">
        <v>58</v>
      </c>
      <c r="F8" s="8" t="s">
        <v>33</v>
      </c>
      <c r="G8" s="8" t="s">
        <v>59</v>
      </c>
      <c r="H8" s="8" t="s">
        <v>60</v>
      </c>
      <c r="I8" s="8" t="str">
        <f>HYPERLINK("http://www.maxmaraorders.com/","www.maxmaraorders.com")</f>
        <v>www.maxmaraorders.com</v>
      </c>
      <c r="J8" s="10">
        <v>1001441.442</v>
      </c>
      <c r="K8" s="10">
        <v>1001441.442</v>
      </c>
      <c r="L8" s="10">
        <v>898361.85499999998</v>
      </c>
      <c r="M8" s="10">
        <v>196678.603</v>
      </c>
      <c r="N8" s="10">
        <v>196678.603</v>
      </c>
      <c r="O8" s="10">
        <v>207350.663</v>
      </c>
      <c r="P8" s="10">
        <v>893</v>
      </c>
      <c r="Q8" s="10">
        <v>893</v>
      </c>
      <c r="R8" s="10">
        <v>580</v>
      </c>
    </row>
    <row r="9" spans="1:18" ht="17" customHeight="1" x14ac:dyDescent="0.15">
      <c r="A9" s="11" t="s">
        <v>61</v>
      </c>
      <c r="B9" s="1" t="s">
        <v>62</v>
      </c>
      <c r="C9" s="11" t="s">
        <v>63</v>
      </c>
      <c r="D9" s="11" t="s">
        <v>63</v>
      </c>
      <c r="E9" s="11" t="s">
        <v>64</v>
      </c>
      <c r="F9" s="11" t="s">
        <v>65</v>
      </c>
      <c r="G9" s="11" t="s">
        <v>25</v>
      </c>
      <c r="H9" s="11" t="s">
        <v>26</v>
      </c>
      <c r="I9" s="11" t="str">
        <f>HYPERLINK("http://store.ferragamo.com/","store.ferragamo.com")</f>
        <v>store.ferragamo.com</v>
      </c>
      <c r="J9" s="12">
        <v>734821</v>
      </c>
      <c r="K9" s="12">
        <v>734821</v>
      </c>
      <c r="L9" s="13">
        <v>740234</v>
      </c>
      <c r="M9" s="12">
        <v>87000</v>
      </c>
      <c r="N9" s="12">
        <v>87000</v>
      </c>
      <c r="O9" s="12">
        <v>89239</v>
      </c>
      <c r="P9" s="12">
        <v>926</v>
      </c>
      <c r="Q9" s="12">
        <v>926</v>
      </c>
      <c r="R9" s="12">
        <v>898</v>
      </c>
    </row>
    <row r="10" spans="1:18" ht="29.5" customHeight="1" x14ac:dyDescent="0.15">
      <c r="A10" s="8" t="s">
        <v>66</v>
      </c>
      <c r="B10" s="9" t="s">
        <v>67</v>
      </c>
      <c r="C10" s="8" t="s">
        <v>68</v>
      </c>
      <c r="D10" s="8" t="s">
        <v>68</v>
      </c>
      <c r="E10" s="8" t="s">
        <v>69</v>
      </c>
      <c r="F10" s="8" t="s">
        <v>24</v>
      </c>
      <c r="G10" s="8" t="s">
        <v>25</v>
      </c>
      <c r="H10" s="8" t="s">
        <v>26</v>
      </c>
      <c r="I10" s="8" t="str">
        <f>HYPERLINK("http://www.ysl.com/","www.ysl.com")</f>
        <v>www.ysl.com</v>
      </c>
      <c r="J10" s="10">
        <v>622639.56200000003</v>
      </c>
      <c r="K10" s="10">
        <v>622639.56200000003</v>
      </c>
      <c r="L10" s="10">
        <v>672707.53200000001</v>
      </c>
      <c r="M10" s="10">
        <v>36200.934000000001</v>
      </c>
      <c r="N10" s="10">
        <v>36200.934000000001</v>
      </c>
      <c r="O10" s="10">
        <v>21693.954000000002</v>
      </c>
      <c r="P10" s="10">
        <v>655</v>
      </c>
      <c r="Q10" s="10">
        <v>655</v>
      </c>
      <c r="R10" s="10">
        <v>578</v>
      </c>
    </row>
    <row r="11" spans="1:18" ht="17" customHeight="1" x14ac:dyDescent="0.15">
      <c r="A11" s="11" t="s">
        <v>70</v>
      </c>
      <c r="B11" s="1" t="s">
        <v>71</v>
      </c>
      <c r="C11" s="11" t="s">
        <v>72</v>
      </c>
      <c r="D11" s="11" t="s">
        <v>72</v>
      </c>
      <c r="E11" s="11" t="s">
        <v>73</v>
      </c>
      <c r="F11" s="11" t="s">
        <v>65</v>
      </c>
      <c r="G11" s="11" t="s">
        <v>74</v>
      </c>
      <c r="H11" s="11" t="s">
        <v>75</v>
      </c>
      <c r="I11" s="11" t="str">
        <f>HYPERLINK("http://www.todsgroup.com/","www.todsgroup.com")</f>
        <v>www.todsgroup.com</v>
      </c>
      <c r="J11" s="12">
        <v>722179</v>
      </c>
      <c r="K11" s="12">
        <v>722179</v>
      </c>
      <c r="L11" s="13">
        <v>651171</v>
      </c>
      <c r="M11" s="12">
        <v>39045</v>
      </c>
      <c r="N11" s="12">
        <v>39045</v>
      </c>
      <c r="O11" s="12">
        <v>58491</v>
      </c>
      <c r="P11" s="12">
        <v>2276</v>
      </c>
      <c r="Q11" s="12">
        <v>2276</v>
      </c>
      <c r="R11" s="12">
        <v>2150</v>
      </c>
    </row>
    <row r="12" spans="1:18" ht="17" customHeight="1" x14ac:dyDescent="0.15">
      <c r="A12" s="8" t="s">
        <v>76</v>
      </c>
      <c r="B12" s="9" t="s">
        <v>77</v>
      </c>
      <c r="C12" s="8" t="s">
        <v>78</v>
      </c>
      <c r="D12" s="8" t="s">
        <v>78</v>
      </c>
      <c r="E12" s="8" t="s">
        <v>79</v>
      </c>
      <c r="F12" s="8" t="s">
        <v>24</v>
      </c>
      <c r="G12" s="8" t="s">
        <v>25</v>
      </c>
      <c r="H12" s="8" t="s">
        <v>26</v>
      </c>
      <c r="I12" s="8" t="str">
        <f>HYPERLINK("http://www.balenciaga.com/","http://www.balenciaga.com")</f>
        <v>http://www.balenciaga.com</v>
      </c>
      <c r="J12" s="10">
        <v>535776.81200000003</v>
      </c>
      <c r="K12" s="10">
        <v>535776.81200000003</v>
      </c>
      <c r="L12" s="10">
        <v>626244.495</v>
      </c>
      <c r="M12" s="10">
        <v>21041.772000000001</v>
      </c>
      <c r="N12" s="10">
        <v>21041.772000000001</v>
      </c>
      <c r="O12" s="10">
        <v>17347.370999999999</v>
      </c>
      <c r="P12" s="10">
        <v>454</v>
      </c>
      <c r="Q12" s="10">
        <v>454</v>
      </c>
      <c r="R12" s="10">
        <v>414</v>
      </c>
    </row>
    <row r="13" spans="1:18" ht="17" customHeight="1" x14ac:dyDescent="0.15">
      <c r="A13" s="11" t="s">
        <v>80</v>
      </c>
      <c r="B13" s="1" t="s">
        <v>81</v>
      </c>
      <c r="C13" s="11" t="s">
        <v>82</v>
      </c>
      <c r="D13" s="11" t="s">
        <v>82</v>
      </c>
      <c r="E13" s="11" t="s">
        <v>83</v>
      </c>
      <c r="F13" s="11" t="s">
        <v>84</v>
      </c>
      <c r="G13" s="11" t="s">
        <v>85</v>
      </c>
      <c r="H13" s="11" t="s">
        <v>86</v>
      </c>
      <c r="I13" s="11" t="str">
        <f>HYPERLINK("http://investor.brunellocucinelli.com/","investor.brunellocucinelli.com")</f>
        <v>investor.brunellocucinelli.com</v>
      </c>
      <c r="J13" s="12">
        <v>766651</v>
      </c>
      <c r="K13" s="12">
        <v>766651</v>
      </c>
      <c r="L13" s="13">
        <v>619832</v>
      </c>
      <c r="M13" s="12">
        <v>108345</v>
      </c>
      <c r="N13" s="12">
        <v>108345</v>
      </c>
      <c r="O13" s="12">
        <v>99840</v>
      </c>
      <c r="P13" s="12">
        <v>1279</v>
      </c>
      <c r="Q13" s="12">
        <v>1279</v>
      </c>
      <c r="R13" s="12">
        <v>1125</v>
      </c>
    </row>
    <row r="14" spans="1:18" ht="17" customHeight="1" x14ac:dyDescent="0.15">
      <c r="A14" s="8" t="s">
        <v>87</v>
      </c>
      <c r="B14" s="9" t="s">
        <v>88</v>
      </c>
      <c r="C14" s="8" t="s">
        <v>89</v>
      </c>
      <c r="D14" s="8" t="s">
        <v>89</v>
      </c>
      <c r="E14" s="8" t="s">
        <v>90</v>
      </c>
      <c r="F14" s="8" t="s">
        <v>65</v>
      </c>
      <c r="G14" s="8" t="s">
        <v>91</v>
      </c>
      <c r="H14" s="8" t="s">
        <v>46</v>
      </c>
      <c r="I14" s="8" t="str">
        <f>HYPERLINK("http://www.geox.biz/","www.geox.biz")</f>
        <v>www.geox.biz</v>
      </c>
      <c r="J14" s="10">
        <v>521219</v>
      </c>
      <c r="K14" s="10">
        <v>521219</v>
      </c>
      <c r="L14" s="10">
        <v>525238</v>
      </c>
      <c r="M14" s="10">
        <v>-3941</v>
      </c>
      <c r="N14" s="10">
        <v>-3941</v>
      </c>
      <c r="O14" s="10">
        <v>-12233</v>
      </c>
      <c r="P14" s="10">
        <v>496</v>
      </c>
      <c r="Q14" s="10">
        <v>496</v>
      </c>
      <c r="R14" s="10">
        <v>479</v>
      </c>
    </row>
    <row r="15" spans="1:18" ht="17" customHeight="1" x14ac:dyDescent="0.15">
      <c r="A15" s="11" t="s">
        <v>92</v>
      </c>
      <c r="B15" s="1" t="s">
        <v>93</v>
      </c>
      <c r="C15" s="11" t="s">
        <v>94</v>
      </c>
      <c r="D15" s="11" t="s">
        <v>94</v>
      </c>
      <c r="E15" s="11" t="s">
        <v>95</v>
      </c>
      <c r="F15" s="11" t="s">
        <v>84</v>
      </c>
      <c r="G15" s="11" t="s">
        <v>45</v>
      </c>
      <c r="H15" s="11" t="s">
        <v>46</v>
      </c>
      <c r="I15" s="11" t="str">
        <f>HYPERLINK("http://www.staffinternational.com/","www.staffinternational.com")</f>
        <v>www.staffinternational.com</v>
      </c>
      <c r="J15" s="12">
        <v>555203.75800000003</v>
      </c>
      <c r="K15" s="12">
        <v>555203.75800000003</v>
      </c>
      <c r="L15" s="13">
        <v>522978.022</v>
      </c>
      <c r="M15" s="12">
        <v>43089.218000000001</v>
      </c>
      <c r="N15" s="12">
        <v>43089.218000000001</v>
      </c>
      <c r="O15" s="12">
        <v>42107.341999999997</v>
      </c>
      <c r="P15" s="12">
        <v>829</v>
      </c>
      <c r="Q15" s="12">
        <v>829</v>
      </c>
      <c r="R15" s="12">
        <v>760</v>
      </c>
    </row>
    <row r="16" spans="1:18" ht="17" customHeight="1" x14ac:dyDescent="0.15">
      <c r="A16" s="8" t="s">
        <v>96</v>
      </c>
      <c r="B16" s="9" t="s">
        <v>97</v>
      </c>
      <c r="C16" s="8" t="s">
        <v>98</v>
      </c>
      <c r="D16" s="8" t="s">
        <v>98</v>
      </c>
      <c r="E16" s="8" t="s">
        <v>99</v>
      </c>
      <c r="F16" s="8" t="s">
        <v>52</v>
      </c>
      <c r="G16" s="8" t="s">
        <v>45</v>
      </c>
      <c r="H16" s="8" t="s">
        <v>46</v>
      </c>
      <c r="I16" s="8" t="str">
        <f>HYPERLINK("http://www.diesel.com/","www.diesel.com")</f>
        <v>www.diesel.com</v>
      </c>
      <c r="J16" s="10">
        <v>417278.49099999998</v>
      </c>
      <c r="K16" s="10">
        <v>417278.49099999998</v>
      </c>
      <c r="L16" s="10">
        <v>411083.43800000002</v>
      </c>
      <c r="M16" s="10">
        <v>10774.727000000001</v>
      </c>
      <c r="N16" s="10">
        <v>10774.727000000001</v>
      </c>
      <c r="O16" s="10">
        <v>-100551.125</v>
      </c>
      <c r="P16" s="10">
        <v>383</v>
      </c>
      <c r="Q16" s="10">
        <v>383</v>
      </c>
      <c r="R16" s="10">
        <v>424</v>
      </c>
    </row>
    <row r="17" spans="1:18" ht="17" customHeight="1" x14ac:dyDescent="0.15">
      <c r="A17" s="11" t="s">
        <v>100</v>
      </c>
      <c r="B17" s="1" t="s">
        <v>101</v>
      </c>
      <c r="C17" s="11" t="s">
        <v>102</v>
      </c>
      <c r="D17" s="11" t="s">
        <v>102</v>
      </c>
      <c r="E17" s="11" t="s">
        <v>103</v>
      </c>
      <c r="F17" s="11" t="s">
        <v>33</v>
      </c>
      <c r="G17" s="11" t="s">
        <v>34</v>
      </c>
      <c r="H17" s="11" t="s">
        <v>35</v>
      </c>
      <c r="I17" s="11" t="str">
        <f>HYPERLINK("http://www.goldengoose.com/","www.goldengoose.com")</f>
        <v>www.goldengoose.com</v>
      </c>
      <c r="J17" s="12">
        <v>416114</v>
      </c>
      <c r="K17" s="12">
        <v>416114</v>
      </c>
      <c r="L17" s="13">
        <v>387276</v>
      </c>
      <c r="M17" s="12">
        <v>59392</v>
      </c>
      <c r="N17" s="12">
        <v>59392</v>
      </c>
      <c r="O17" s="12">
        <v>76915</v>
      </c>
      <c r="P17" s="12">
        <v>474</v>
      </c>
      <c r="Q17" s="12">
        <v>474</v>
      </c>
      <c r="R17" s="12">
        <v>377</v>
      </c>
    </row>
    <row r="18" spans="1:18" ht="17" customHeight="1" x14ac:dyDescent="0.15">
      <c r="A18" s="8" t="s">
        <v>104</v>
      </c>
      <c r="B18" s="9" t="s">
        <v>105</v>
      </c>
      <c r="C18" s="8" t="s">
        <v>106</v>
      </c>
      <c r="D18" s="8" t="s">
        <v>106</v>
      </c>
      <c r="E18" s="8" t="s">
        <v>107</v>
      </c>
      <c r="F18" s="8" t="s">
        <v>33</v>
      </c>
      <c r="G18" s="8" t="s">
        <v>108</v>
      </c>
      <c r="H18" s="8" t="s">
        <v>60</v>
      </c>
      <c r="I18" s="8" t="str">
        <f>HYPERLINK("http://www.liujo.com/","www.liujo.com")</f>
        <v>www.liujo.com</v>
      </c>
      <c r="J18" s="10">
        <v>353661</v>
      </c>
      <c r="K18" s="10">
        <v>353661</v>
      </c>
      <c r="L18" s="10">
        <v>364831</v>
      </c>
      <c r="M18" s="10">
        <v>19665</v>
      </c>
      <c r="N18" s="10">
        <v>19665</v>
      </c>
      <c r="O18" s="10">
        <v>51523</v>
      </c>
      <c r="P18" s="10">
        <v>892</v>
      </c>
      <c r="Q18" s="10">
        <v>892</v>
      </c>
      <c r="R18" s="10">
        <v>863</v>
      </c>
    </row>
    <row r="19" spans="1:18" ht="17" customHeight="1" x14ac:dyDescent="0.15">
      <c r="A19" s="11" t="s">
        <v>109</v>
      </c>
      <c r="B19" s="1" t="s">
        <v>110</v>
      </c>
      <c r="C19" s="11" t="s">
        <v>111</v>
      </c>
      <c r="D19" s="11" t="s">
        <v>111</v>
      </c>
      <c r="E19" s="11" t="s">
        <v>112</v>
      </c>
      <c r="F19" s="11" t="s">
        <v>33</v>
      </c>
      <c r="G19" s="11" t="s">
        <v>59</v>
      </c>
      <c r="H19" s="11" t="s">
        <v>60</v>
      </c>
      <c r="I19" s="11" t="str">
        <f>HYPERLINK("http://www.mnorders.com/","www.mnorders.com")</f>
        <v>www.mnorders.com</v>
      </c>
      <c r="J19" s="12">
        <v>397712.93</v>
      </c>
      <c r="K19" s="12">
        <v>397712.93</v>
      </c>
      <c r="L19" s="13">
        <v>339403.95699999999</v>
      </c>
      <c r="M19" s="12">
        <v>15397.544</v>
      </c>
      <c r="N19" s="12">
        <v>15397.544</v>
      </c>
      <c r="O19" s="12">
        <v>9835.6659999999993</v>
      </c>
      <c r="P19" s="12">
        <v>902</v>
      </c>
      <c r="Q19" s="12">
        <v>902</v>
      </c>
      <c r="R19" s="12">
        <v>908</v>
      </c>
    </row>
    <row r="20" spans="1:18" ht="29.5" customHeight="1" x14ac:dyDescent="0.15">
      <c r="A20" s="8" t="s">
        <v>113</v>
      </c>
      <c r="B20" s="9" t="s">
        <v>114</v>
      </c>
      <c r="C20" s="8" t="s">
        <v>115</v>
      </c>
      <c r="D20" s="8" t="s">
        <v>115</v>
      </c>
      <c r="E20" s="8" t="s">
        <v>116</v>
      </c>
      <c r="F20" s="8" t="s">
        <v>24</v>
      </c>
      <c r="G20" s="8" t="s">
        <v>25</v>
      </c>
      <c r="H20" s="8" t="s">
        <v>26</v>
      </c>
      <c r="I20" s="8" t="str">
        <f>HYPERLINK("http://www.alexandermcqueen.com/","www.alexandermcqueen.com")</f>
        <v>www.alexandermcqueen.com</v>
      </c>
      <c r="J20" s="10">
        <v>204449.60699999999</v>
      </c>
      <c r="K20" s="10">
        <v>204449.60699999999</v>
      </c>
      <c r="L20" s="10">
        <v>329151.23700000002</v>
      </c>
      <c r="M20" s="10">
        <v>9504.8160000000007</v>
      </c>
      <c r="N20" s="10">
        <v>9504.8160000000007</v>
      </c>
      <c r="O20" s="10">
        <v>14100.118</v>
      </c>
      <c r="P20" s="10">
        <v>221</v>
      </c>
      <c r="Q20" s="10">
        <v>221</v>
      </c>
      <c r="R20" s="10">
        <v>144</v>
      </c>
    </row>
    <row r="21" spans="1:18" ht="29.5" customHeight="1" x14ac:dyDescent="0.15">
      <c r="A21" s="11" t="s">
        <v>117</v>
      </c>
      <c r="B21" s="1" t="s">
        <v>118</v>
      </c>
      <c r="C21" s="11" t="s">
        <v>119</v>
      </c>
      <c r="D21" s="11" t="s">
        <v>119</v>
      </c>
      <c r="E21" s="11" t="s">
        <v>120</v>
      </c>
      <c r="F21" s="11" t="s">
        <v>52</v>
      </c>
      <c r="G21" s="11" t="s">
        <v>121</v>
      </c>
      <c r="H21" s="11" t="s">
        <v>60</v>
      </c>
      <c r="I21" s="11" t="str">
        <f>HYPERLINK("http://www.stoneisland.com/","www.stoneisland.com")</f>
        <v>www.stoneisland.com</v>
      </c>
      <c r="J21" s="12">
        <v>371647</v>
      </c>
      <c r="K21" s="12">
        <v>371647</v>
      </c>
      <c r="L21" s="13">
        <v>327225</v>
      </c>
      <c r="M21" s="12">
        <v>47156</v>
      </c>
      <c r="N21" s="12">
        <v>47156</v>
      </c>
      <c r="O21" s="12">
        <v>40751</v>
      </c>
      <c r="P21" s="12">
        <v>249</v>
      </c>
      <c r="Q21" s="12">
        <v>249</v>
      </c>
      <c r="R21" s="12">
        <v>227</v>
      </c>
    </row>
    <row r="22" spans="1:18" ht="17" customHeight="1" x14ac:dyDescent="0.15">
      <c r="A22" s="8" t="s">
        <v>122</v>
      </c>
      <c r="B22" s="9" t="s">
        <v>123</v>
      </c>
      <c r="C22" s="8" t="s">
        <v>124</v>
      </c>
      <c r="D22" s="8" t="s">
        <v>124</v>
      </c>
      <c r="E22" s="8" t="s">
        <v>125</v>
      </c>
      <c r="F22" s="8" t="s">
        <v>126</v>
      </c>
      <c r="G22" s="8" t="s">
        <v>45</v>
      </c>
      <c r="H22" s="8" t="s">
        <v>46</v>
      </c>
      <c r="I22" s="8" t="str">
        <f>HYPERLINK("http://www.pasubio.com/","http://www.pasubio.com")</f>
        <v>http://www.pasubio.com</v>
      </c>
      <c r="J22" s="10">
        <v>318342.38400000002</v>
      </c>
      <c r="K22" s="10">
        <v>318342.38400000002</v>
      </c>
      <c r="L22" s="10">
        <v>308808.55300000001</v>
      </c>
      <c r="M22" s="10">
        <v>-163692.87599999999</v>
      </c>
      <c r="N22" s="10">
        <v>-163692.87599999999</v>
      </c>
      <c r="O22" s="10">
        <v>-10558.172</v>
      </c>
      <c r="P22" s="10">
        <v>683</v>
      </c>
      <c r="Q22" s="10">
        <v>683</v>
      </c>
      <c r="R22" s="10">
        <v>520</v>
      </c>
    </row>
    <row r="23" spans="1:18" ht="29.5" customHeight="1" x14ac:dyDescent="0.15">
      <c r="A23" s="11" t="s">
        <v>127</v>
      </c>
      <c r="B23" s="1" t="s">
        <v>128</v>
      </c>
      <c r="C23" s="11" t="s">
        <v>129</v>
      </c>
      <c r="D23" s="11" t="s">
        <v>129</v>
      </c>
      <c r="E23" s="11" t="s">
        <v>130</v>
      </c>
      <c r="F23" s="11" t="s">
        <v>33</v>
      </c>
      <c r="G23" s="11" t="s">
        <v>131</v>
      </c>
      <c r="H23" s="11" t="s">
        <v>54</v>
      </c>
      <c r="I23" s="11" t="str">
        <f>HYPERLINK("http://www.archiviozegna.com/it/family_tree/140/detail","www.archiviozegna.com/it/family_tree/140/detail")</f>
        <v>www.archiviozegna.com/it/family_tree/140/detail</v>
      </c>
      <c r="J23" s="12">
        <v>332823.19</v>
      </c>
      <c r="K23" s="12">
        <v>332823.19</v>
      </c>
      <c r="L23" s="13">
        <v>308190.24400000001</v>
      </c>
      <c r="M23" s="12">
        <v>2584.8870000000002</v>
      </c>
      <c r="N23" s="12">
        <v>2584.8870000000002</v>
      </c>
      <c r="O23" s="12">
        <v>6827.1379999999999</v>
      </c>
      <c r="P23" s="12">
        <v>1017</v>
      </c>
      <c r="Q23" s="12">
        <v>1017</v>
      </c>
      <c r="R23" s="12">
        <v>946</v>
      </c>
    </row>
    <row r="24" spans="1:18" ht="17" customHeight="1" x14ac:dyDescent="0.15">
      <c r="A24" s="8" t="s">
        <v>132</v>
      </c>
      <c r="B24" s="9" t="s">
        <v>133</v>
      </c>
      <c r="C24" s="8" t="s">
        <v>134</v>
      </c>
      <c r="D24" s="8" t="s">
        <v>134</v>
      </c>
      <c r="E24" s="8" t="s">
        <v>135</v>
      </c>
      <c r="F24" s="8" t="s">
        <v>126</v>
      </c>
      <c r="G24" s="8" t="s">
        <v>45</v>
      </c>
      <c r="H24" s="8" t="s">
        <v>46</v>
      </c>
      <c r="I24" s="8" t="str">
        <f>HYPERLINK("http://www.mastrotto.com/","www.mastrotto.com")</f>
        <v>www.mastrotto.com</v>
      </c>
      <c r="J24" s="10">
        <v>306934.78200000001</v>
      </c>
      <c r="K24" s="10">
        <v>306934.78200000001</v>
      </c>
      <c r="L24" s="10">
        <v>298030.99800000002</v>
      </c>
      <c r="M24" s="10">
        <v>21167.844000000001</v>
      </c>
      <c r="N24" s="10">
        <v>21167.844000000001</v>
      </c>
      <c r="O24" s="10">
        <v>28494.102999999999</v>
      </c>
      <c r="P24" s="10">
        <v>950</v>
      </c>
      <c r="Q24" s="10">
        <v>950</v>
      </c>
      <c r="R24" s="10">
        <v>950</v>
      </c>
    </row>
    <row r="25" spans="1:18" ht="17" customHeight="1" x14ac:dyDescent="0.15">
      <c r="A25" s="11" t="s">
        <v>136</v>
      </c>
      <c r="B25" s="1" t="s">
        <v>137</v>
      </c>
      <c r="C25" s="11" t="s">
        <v>138</v>
      </c>
      <c r="D25" s="11" t="s">
        <v>138</v>
      </c>
      <c r="E25" s="11" t="s">
        <v>139</v>
      </c>
      <c r="F25" s="11" t="s">
        <v>65</v>
      </c>
      <c r="G25" s="11" t="s">
        <v>91</v>
      </c>
      <c r="H25" s="11" t="s">
        <v>46</v>
      </c>
      <c r="I25" s="11" t="str">
        <f>HYPERLINK("http://www.alpinestarsinc.com/","http://www.alpinestarsinc.com")</f>
        <v>http://www.alpinestarsinc.com</v>
      </c>
      <c r="J25" s="12">
        <v>278375.658</v>
      </c>
      <c r="K25" s="12">
        <v>298441.50300000003</v>
      </c>
      <c r="L25" s="13">
        <v>292692.97499999998</v>
      </c>
      <c r="M25" s="12">
        <v>9171.8619999999992</v>
      </c>
      <c r="N25" s="12">
        <v>15322.15</v>
      </c>
      <c r="O25" s="12">
        <v>23037.030999999999</v>
      </c>
      <c r="P25" s="12">
        <v>491</v>
      </c>
      <c r="Q25" s="12">
        <v>456</v>
      </c>
      <c r="R25" s="12">
        <v>432</v>
      </c>
    </row>
    <row r="26" spans="1:18" ht="29.5" customHeight="1" x14ac:dyDescent="0.15">
      <c r="A26" s="8" t="s">
        <v>140</v>
      </c>
      <c r="B26" s="9" t="s">
        <v>141</v>
      </c>
      <c r="C26" s="8" t="s">
        <v>142</v>
      </c>
      <c r="D26" s="8" t="s">
        <v>143</v>
      </c>
      <c r="E26" s="8" t="s">
        <v>144</v>
      </c>
      <c r="F26" s="8" t="s">
        <v>126</v>
      </c>
      <c r="G26" s="8" t="s">
        <v>45</v>
      </c>
      <c r="H26" s="8" t="s">
        <v>46</v>
      </c>
      <c r="I26" s="8" t="str">
        <f>HYPERLINK("http://www.rinomastrotto.com/","www.rinomastrotto.com")</f>
        <v>www.rinomastrotto.com</v>
      </c>
      <c r="J26" s="10">
        <v>272521.54200000002</v>
      </c>
      <c r="K26" s="10">
        <v>272521.54200000002</v>
      </c>
      <c r="L26" s="10">
        <v>269136.49300000002</v>
      </c>
      <c r="M26" s="10">
        <v>4027.49</v>
      </c>
      <c r="N26" s="10">
        <v>4027.49</v>
      </c>
      <c r="O26" s="10">
        <v>9100.5040000000008</v>
      </c>
      <c r="P26" s="10">
        <v>533</v>
      </c>
      <c r="Q26" s="10">
        <v>533</v>
      </c>
      <c r="R26" s="10">
        <v>533</v>
      </c>
    </row>
    <row r="27" spans="1:18" ht="17" customHeight="1" x14ac:dyDescent="0.15">
      <c r="A27" s="11" t="s">
        <v>145</v>
      </c>
      <c r="B27" s="1" t="s">
        <v>146</v>
      </c>
      <c r="C27" s="11" t="s">
        <v>147</v>
      </c>
      <c r="D27" s="11" t="s">
        <v>147</v>
      </c>
      <c r="E27" s="11" t="s">
        <v>148</v>
      </c>
      <c r="F27" s="11" t="s">
        <v>52</v>
      </c>
      <c r="G27" s="11" t="s">
        <v>45</v>
      </c>
      <c r="H27" s="11" t="s">
        <v>46</v>
      </c>
      <c r="I27" s="11" t="str">
        <f>HYPERLINK("http://web.campagnolo.it/","web.campagnolo.it")</f>
        <v>web.campagnolo.it</v>
      </c>
      <c r="J27" s="12">
        <v>226845.29</v>
      </c>
      <c r="K27" s="12">
        <v>226845.29</v>
      </c>
      <c r="L27" s="13">
        <v>254403.554</v>
      </c>
      <c r="M27" s="12">
        <v>28143.891</v>
      </c>
      <c r="N27" s="12">
        <v>28143.891</v>
      </c>
      <c r="O27" s="12">
        <v>25984.144</v>
      </c>
      <c r="P27" s="12">
        <v>516</v>
      </c>
      <c r="Q27" s="12">
        <v>516</v>
      </c>
      <c r="R27" s="12">
        <v>473</v>
      </c>
    </row>
    <row r="28" spans="1:18" ht="17" customHeight="1" x14ac:dyDescent="0.15">
      <c r="A28" s="8" t="s">
        <v>149</v>
      </c>
      <c r="B28" s="9" t="s">
        <v>150</v>
      </c>
      <c r="C28" s="8" t="s">
        <v>151</v>
      </c>
      <c r="D28" s="8" t="s">
        <v>151</v>
      </c>
      <c r="E28" s="8" t="s">
        <v>152</v>
      </c>
      <c r="F28" s="8" t="s">
        <v>52</v>
      </c>
      <c r="G28" s="8" t="s">
        <v>91</v>
      </c>
      <c r="H28" s="8" t="s">
        <v>46</v>
      </c>
      <c r="I28" s="8" t="str">
        <f>HYPERLINK("http://www.replay.it/it/replay-info","http://www.replay.it/it/replay-info")</f>
        <v>http://www.replay.it/it/replay-info</v>
      </c>
      <c r="J28" s="10">
        <v>246545.98699999999</v>
      </c>
      <c r="K28" s="10">
        <v>246545.98699999999</v>
      </c>
      <c r="L28" s="10">
        <v>251068.33300000001</v>
      </c>
      <c r="M28" s="10">
        <v>1380.249</v>
      </c>
      <c r="N28" s="10">
        <v>1380.249</v>
      </c>
      <c r="O28" s="10">
        <v>4620.1099999999997</v>
      </c>
      <c r="P28" s="10">
        <v>428</v>
      </c>
      <c r="Q28" s="10">
        <v>428</v>
      </c>
      <c r="R28" s="10">
        <v>417</v>
      </c>
    </row>
    <row r="29" spans="1:18" ht="17" customHeight="1" x14ac:dyDescent="0.15">
      <c r="A29" s="11" t="s">
        <v>153</v>
      </c>
      <c r="B29" s="1" t="s">
        <v>154</v>
      </c>
      <c r="C29" s="11" t="s">
        <v>155</v>
      </c>
      <c r="D29" s="11" t="s">
        <v>155</v>
      </c>
      <c r="E29" s="11" t="s">
        <v>156</v>
      </c>
      <c r="F29" s="11" t="s">
        <v>24</v>
      </c>
      <c r="G29" s="11" t="s">
        <v>25</v>
      </c>
      <c r="H29" s="11" t="s">
        <v>26</v>
      </c>
      <c r="I29" s="11" t="str">
        <f>HYPERLINK("http://www.celine.fr/","http://www.celine.fr")</f>
        <v>http://www.celine.fr</v>
      </c>
      <c r="J29" s="12">
        <v>265545.06699999998</v>
      </c>
      <c r="K29" s="12">
        <v>265545.06699999998</v>
      </c>
      <c r="L29" s="13">
        <v>248603.07699999999</v>
      </c>
      <c r="M29" s="12">
        <v>15219.942999999999</v>
      </c>
      <c r="N29" s="12">
        <v>15219.942999999999</v>
      </c>
      <c r="O29" s="12">
        <v>13797.284</v>
      </c>
      <c r="P29" s="12">
        <v>634</v>
      </c>
      <c r="Q29" s="12">
        <v>634</v>
      </c>
      <c r="R29" s="12">
        <v>520</v>
      </c>
    </row>
    <row r="30" spans="1:18" ht="17" customHeight="1" x14ac:dyDescent="0.15">
      <c r="A30" s="8" t="s">
        <v>157</v>
      </c>
      <c r="B30" s="9" t="s">
        <v>158</v>
      </c>
      <c r="C30" s="8" t="s">
        <v>159</v>
      </c>
      <c r="D30" s="8" t="s">
        <v>159</v>
      </c>
      <c r="E30" s="8" t="s">
        <v>160</v>
      </c>
      <c r="F30" s="8" t="s">
        <v>161</v>
      </c>
      <c r="G30" s="8" t="s">
        <v>45</v>
      </c>
      <c r="H30" s="8" t="s">
        <v>46</v>
      </c>
      <c r="I30" s="8" t="str">
        <f>HYPERLINK("http://www.dainese.com/","www.dainese.com")</f>
        <v>www.dainese.com</v>
      </c>
      <c r="J30" s="10">
        <v>208782</v>
      </c>
      <c r="K30" s="10">
        <v>208782</v>
      </c>
      <c r="L30" s="10">
        <v>245515</v>
      </c>
      <c r="M30" s="10">
        <v>-40374</v>
      </c>
      <c r="N30" s="10">
        <v>-40374</v>
      </c>
      <c r="O30" s="10">
        <v>7826</v>
      </c>
      <c r="P30" s="10">
        <v>467</v>
      </c>
      <c r="Q30" s="10">
        <v>467</v>
      </c>
      <c r="R30" s="10">
        <v>419</v>
      </c>
    </row>
    <row r="31" spans="1:18" ht="17" customHeight="1" x14ac:dyDescent="0.15">
      <c r="A31" s="11" t="s">
        <v>162</v>
      </c>
      <c r="B31" s="1" t="s">
        <v>163</v>
      </c>
      <c r="C31" s="11" t="s">
        <v>164</v>
      </c>
      <c r="D31" s="11" t="s">
        <v>164</v>
      </c>
      <c r="E31" s="11" t="s">
        <v>165</v>
      </c>
      <c r="F31" s="11" t="s">
        <v>84</v>
      </c>
      <c r="G31" s="11" t="s">
        <v>166</v>
      </c>
      <c r="H31" s="11" t="s">
        <v>167</v>
      </c>
      <c r="I31" s="11" t="str">
        <f>HYPERLINK("http://www.falconeri.com/","www.falconeri.com")</f>
        <v>www.falconeri.com</v>
      </c>
      <c r="J31" s="12">
        <v>246935.12700000001</v>
      </c>
      <c r="K31" s="12">
        <v>257725.272</v>
      </c>
      <c r="L31" s="13">
        <v>239205.65</v>
      </c>
      <c r="M31" s="12">
        <v>-6640.0349999999999</v>
      </c>
      <c r="N31" s="12">
        <v>-3447.1990000000001</v>
      </c>
      <c r="O31" s="12">
        <v>-5588.6620000000003</v>
      </c>
      <c r="P31" s="12">
        <v>656</v>
      </c>
      <c r="Q31" s="12">
        <v>661</v>
      </c>
      <c r="R31" s="12">
        <v>635</v>
      </c>
    </row>
    <row r="32" spans="1:18" ht="17" customHeight="1" x14ac:dyDescent="0.15">
      <c r="A32" s="8" t="s">
        <v>168</v>
      </c>
      <c r="B32" s="9" t="s">
        <v>169</v>
      </c>
      <c r="C32" s="8" t="s">
        <v>170</v>
      </c>
      <c r="D32" s="8" t="s">
        <v>170</v>
      </c>
      <c r="E32" s="8" t="s">
        <v>171</v>
      </c>
      <c r="F32" s="8" t="s">
        <v>65</v>
      </c>
      <c r="G32" s="8" t="s">
        <v>172</v>
      </c>
      <c r="H32" s="8" t="s">
        <v>173</v>
      </c>
      <c r="I32" s="8" t="str">
        <f>HYPERLINK("http://www.leoshoes.it/","http://www.leoshoes.it")</f>
        <v>http://www.leoshoes.it</v>
      </c>
      <c r="J32" s="10">
        <v>210006.446</v>
      </c>
      <c r="K32" s="10">
        <v>210006.446</v>
      </c>
      <c r="L32" s="10">
        <v>234293.992</v>
      </c>
      <c r="M32" s="10">
        <v>19711.677</v>
      </c>
      <c r="N32" s="10">
        <v>19711.677</v>
      </c>
      <c r="O32" s="10">
        <v>19608.620999999999</v>
      </c>
      <c r="P32" s="10">
        <v>820</v>
      </c>
      <c r="Q32" s="10">
        <v>820</v>
      </c>
      <c r="R32" s="10">
        <v>791</v>
      </c>
    </row>
    <row r="33" spans="1:18" ht="17" customHeight="1" x14ac:dyDescent="0.15">
      <c r="A33" s="11" t="s">
        <v>174</v>
      </c>
      <c r="B33" s="1" t="s">
        <v>175</v>
      </c>
      <c r="C33" s="11" t="s">
        <v>176</v>
      </c>
      <c r="D33" s="11" t="s">
        <v>176</v>
      </c>
      <c r="E33" s="11" t="s">
        <v>177</v>
      </c>
      <c r="F33" s="11" t="s">
        <v>178</v>
      </c>
      <c r="G33" s="11" t="s">
        <v>179</v>
      </c>
      <c r="H33" s="11" t="s">
        <v>180</v>
      </c>
      <c r="I33" s="11" t="str">
        <f>HYPERLINK("http://www.renatocorti.it/","www.renatocorti.it")</f>
        <v>www.renatocorti.it</v>
      </c>
      <c r="J33" s="12">
        <v>275108.24800000002</v>
      </c>
      <c r="K33" s="12">
        <v>275108.24800000002</v>
      </c>
      <c r="L33" s="13">
        <v>233300.299</v>
      </c>
      <c r="M33" s="12">
        <v>54961.892</v>
      </c>
      <c r="N33" s="12">
        <v>54961.892</v>
      </c>
      <c r="O33" s="12">
        <v>66245.902000000002</v>
      </c>
      <c r="P33" s="12">
        <v>433</v>
      </c>
      <c r="Q33" s="12">
        <v>433</v>
      </c>
      <c r="R33" s="12">
        <v>417</v>
      </c>
    </row>
    <row r="34" spans="1:18" ht="17" customHeight="1" x14ac:dyDescent="0.15">
      <c r="A34" s="8" t="s">
        <v>181</v>
      </c>
      <c r="B34" s="9" t="s">
        <v>182</v>
      </c>
      <c r="C34" s="8" t="s">
        <v>183</v>
      </c>
      <c r="D34" s="8" t="s">
        <v>183</v>
      </c>
      <c r="E34" s="8" t="s">
        <v>184</v>
      </c>
      <c r="F34" s="8" t="s">
        <v>185</v>
      </c>
      <c r="G34" s="8" t="s">
        <v>186</v>
      </c>
      <c r="H34" s="8" t="s">
        <v>187</v>
      </c>
      <c r="I34" s="8" t="str">
        <f>HYPERLINK("http://www.crisconf.it/","www.crisconf.it")</f>
        <v>www.crisconf.it</v>
      </c>
      <c r="J34" s="10">
        <v>233708.522</v>
      </c>
      <c r="K34" s="10">
        <v>233708.522</v>
      </c>
      <c r="L34" s="10">
        <v>222705.78099999999</v>
      </c>
      <c r="M34" s="10">
        <v>-70312.106</v>
      </c>
      <c r="N34" s="10">
        <v>-70312.106</v>
      </c>
      <c r="O34" s="10">
        <v>3811.377</v>
      </c>
      <c r="P34" s="10">
        <v>551</v>
      </c>
      <c r="Q34" s="10">
        <v>551</v>
      </c>
      <c r="R34" s="10">
        <v>572</v>
      </c>
    </row>
    <row r="35" spans="1:18" ht="17" customHeight="1" x14ac:dyDescent="0.15">
      <c r="A35" s="11" t="s">
        <v>188</v>
      </c>
      <c r="B35" s="1" t="s">
        <v>189</v>
      </c>
      <c r="C35" s="11" t="s">
        <v>190</v>
      </c>
      <c r="D35" s="11" t="s">
        <v>190</v>
      </c>
      <c r="E35" s="11" t="s">
        <v>191</v>
      </c>
      <c r="F35" s="11" t="s">
        <v>192</v>
      </c>
      <c r="G35" s="11" t="s">
        <v>193</v>
      </c>
      <c r="H35" s="11" t="s">
        <v>194</v>
      </c>
      <c r="I35" s="11" t="str">
        <f>HYPERLINK("http://www.imac-italia.it/","www.imac-italia.it")</f>
        <v>www.imac-italia.it</v>
      </c>
      <c r="J35" s="12">
        <v>210479.11300000001</v>
      </c>
      <c r="K35" s="12">
        <v>210479.11300000001</v>
      </c>
      <c r="L35" s="13">
        <v>217055.55</v>
      </c>
      <c r="M35" s="12">
        <v>5659.241</v>
      </c>
      <c r="N35" s="12">
        <v>5659.241</v>
      </c>
      <c r="O35" s="12">
        <v>8263.6720000000005</v>
      </c>
      <c r="P35" s="12">
        <v>491</v>
      </c>
      <c r="Q35" s="12">
        <v>491</v>
      </c>
      <c r="R35" s="12">
        <v>507</v>
      </c>
    </row>
    <row r="36" spans="1:18" ht="17" customHeight="1" x14ac:dyDescent="0.15">
      <c r="A36" s="8" t="s">
        <v>195</v>
      </c>
      <c r="B36" s="9" t="s">
        <v>196</v>
      </c>
      <c r="C36" s="8" t="s">
        <v>197</v>
      </c>
      <c r="D36" s="8" t="s">
        <v>197</v>
      </c>
      <c r="E36" s="8" t="s">
        <v>198</v>
      </c>
      <c r="F36" s="8" t="s">
        <v>192</v>
      </c>
      <c r="G36" s="8" t="s">
        <v>199</v>
      </c>
      <c r="H36" s="8" t="s">
        <v>200</v>
      </c>
      <c r="I36" s="8" t="str">
        <f>HYPERLINK("http://grisport.it/","grisport.it")</f>
        <v>grisport.it</v>
      </c>
      <c r="J36" s="10">
        <v>178647.959</v>
      </c>
      <c r="K36" s="10">
        <v>178647.959</v>
      </c>
      <c r="L36" s="10">
        <v>213503.40900000001</v>
      </c>
      <c r="M36" s="10">
        <v>9671.2929999999997</v>
      </c>
      <c r="N36" s="10">
        <v>9671.2929999999997</v>
      </c>
      <c r="O36" s="10">
        <v>14215.802</v>
      </c>
      <c r="P36" s="10">
        <v>248</v>
      </c>
      <c r="Q36" s="10">
        <v>248</v>
      </c>
      <c r="R36" s="10">
        <v>243</v>
      </c>
    </row>
    <row r="37" spans="1:18" ht="17" customHeight="1" x14ac:dyDescent="0.15">
      <c r="A37" s="11" t="s">
        <v>201</v>
      </c>
      <c r="B37" s="1" t="s">
        <v>202</v>
      </c>
      <c r="C37" s="11" t="s">
        <v>203</v>
      </c>
      <c r="D37" s="11" t="s">
        <v>203</v>
      </c>
      <c r="E37" s="11" t="s">
        <v>204</v>
      </c>
      <c r="F37" s="11" t="s">
        <v>205</v>
      </c>
      <c r="G37" s="11" t="s">
        <v>206</v>
      </c>
      <c r="H37" s="11" t="s">
        <v>187</v>
      </c>
      <c r="I37" s="11" t="str">
        <f>HYPERLINK("http://www.twin-set.com/","www.twin-set.com")</f>
        <v>www.twin-set.com</v>
      </c>
      <c r="J37" s="12">
        <v>194783.25700000001</v>
      </c>
      <c r="K37" s="12">
        <v>194783.25700000001</v>
      </c>
      <c r="L37" s="13">
        <v>191179.22099999999</v>
      </c>
      <c r="M37" s="12">
        <v>-8528.3989999999994</v>
      </c>
      <c r="N37" s="12">
        <v>-8528.3989999999994</v>
      </c>
      <c r="O37" s="12">
        <v>-8097.4409999999998</v>
      </c>
      <c r="P37" s="12">
        <v>862</v>
      </c>
      <c r="Q37" s="12">
        <v>862</v>
      </c>
      <c r="R37" s="12">
        <v>846</v>
      </c>
    </row>
    <row r="38" spans="1:18" ht="17" customHeight="1" x14ac:dyDescent="0.15">
      <c r="A38" s="8" t="s">
        <v>207</v>
      </c>
      <c r="B38" s="9" t="s">
        <v>208</v>
      </c>
      <c r="C38" s="8" t="s">
        <v>209</v>
      </c>
      <c r="D38" s="8" t="s">
        <v>210</v>
      </c>
      <c r="E38" s="8" t="s">
        <v>211</v>
      </c>
      <c r="F38" s="8" t="s">
        <v>212</v>
      </c>
      <c r="G38" s="8" t="s">
        <v>213</v>
      </c>
      <c r="H38" s="8" t="s">
        <v>214</v>
      </c>
      <c r="I38" s="8" t="str">
        <f>HYPERLINK("http://www.originalmarines.com/","http://www.originalmarines.com")</f>
        <v>http://www.originalmarines.com</v>
      </c>
      <c r="J38" s="10">
        <v>185009.66500000001</v>
      </c>
      <c r="K38" s="10">
        <v>185009.66500000001</v>
      </c>
      <c r="L38" s="10">
        <v>183782.69200000001</v>
      </c>
      <c r="M38" s="10">
        <v>-16.571999999999999</v>
      </c>
      <c r="N38" s="10">
        <v>-16.571999999999999</v>
      </c>
      <c r="O38" s="10">
        <v>683.98199999999997</v>
      </c>
      <c r="P38" s="10">
        <v>1252</v>
      </c>
      <c r="Q38" s="10">
        <v>1252</v>
      </c>
      <c r="R38" s="10">
        <v>1208</v>
      </c>
    </row>
    <row r="39" spans="1:18" ht="17" customHeight="1" x14ac:dyDescent="0.15">
      <c r="A39" s="11" t="s">
        <v>215</v>
      </c>
      <c r="B39" s="1" t="s">
        <v>216</v>
      </c>
      <c r="C39" s="11" t="s">
        <v>217</v>
      </c>
      <c r="D39" s="11" t="s">
        <v>217</v>
      </c>
      <c r="E39" s="11" t="s">
        <v>218</v>
      </c>
      <c r="F39" s="11" t="s">
        <v>178</v>
      </c>
      <c r="G39" s="11" t="s">
        <v>219</v>
      </c>
      <c r="H39" s="11" t="s">
        <v>220</v>
      </c>
      <c r="I39" s="11" t="str">
        <f>HYPERLINK("http://mabi.it/","mabi.it")</f>
        <v>mabi.it</v>
      </c>
      <c r="J39" s="12">
        <v>209427.32399999999</v>
      </c>
      <c r="K39" s="12">
        <v>209427.32399999999</v>
      </c>
      <c r="L39" s="13">
        <v>171477.462</v>
      </c>
      <c r="M39" s="12">
        <v>58799.834999999999</v>
      </c>
      <c r="N39" s="12">
        <v>58799.834999999999</v>
      </c>
      <c r="O39" s="12">
        <v>39327.785000000003</v>
      </c>
      <c r="P39" s="12">
        <v>148</v>
      </c>
      <c r="Q39" s="12">
        <v>148</v>
      </c>
      <c r="R39" s="12">
        <v>132</v>
      </c>
    </row>
    <row r="40" spans="1:18" ht="17" customHeight="1" x14ac:dyDescent="0.15">
      <c r="A40" s="8" t="s">
        <v>221</v>
      </c>
      <c r="B40" s="9" t="s">
        <v>222</v>
      </c>
      <c r="C40" s="8" t="s">
        <v>223</v>
      </c>
      <c r="D40" s="8" t="s">
        <v>223</v>
      </c>
      <c r="E40" s="8" t="s">
        <v>224</v>
      </c>
      <c r="F40" s="8" t="s">
        <v>192</v>
      </c>
      <c r="G40" s="8" t="s">
        <v>199</v>
      </c>
      <c r="H40" s="8" t="s">
        <v>200</v>
      </c>
      <c r="I40" s="8" t="str">
        <f>HYPERLINK("http://www.diadora.com/","www.diadora.com")</f>
        <v>www.diadora.com</v>
      </c>
      <c r="J40" s="10">
        <v>175670</v>
      </c>
      <c r="K40" s="10">
        <v>175670</v>
      </c>
      <c r="L40" s="10">
        <v>170816</v>
      </c>
      <c r="M40" s="10">
        <v>1618</v>
      </c>
      <c r="N40" s="10">
        <v>1618</v>
      </c>
      <c r="O40" s="10">
        <v>3293</v>
      </c>
      <c r="P40" s="10">
        <v>211</v>
      </c>
      <c r="Q40" s="10">
        <v>211</v>
      </c>
      <c r="R40" s="10">
        <v>207</v>
      </c>
    </row>
    <row r="41" spans="1:18" ht="17" customHeight="1" x14ac:dyDescent="0.15">
      <c r="A41" s="11" t="s">
        <v>225</v>
      </c>
      <c r="B41" s="1" t="s">
        <v>226</v>
      </c>
      <c r="C41" s="11" t="s">
        <v>227</v>
      </c>
      <c r="D41" s="11" t="s">
        <v>227</v>
      </c>
      <c r="E41" s="11" t="s">
        <v>228</v>
      </c>
      <c r="F41" s="11" t="s">
        <v>229</v>
      </c>
      <c r="G41" s="11" t="s">
        <v>230</v>
      </c>
      <c r="H41" s="11" t="s">
        <v>200</v>
      </c>
      <c r="I41" s="11" t="str">
        <f>HYPERLINK("http://www.faeda.com/","www.faeda.com")</f>
        <v>www.faeda.com</v>
      </c>
      <c r="J41" s="12">
        <v>151827.44</v>
      </c>
      <c r="K41" s="12">
        <v>151827.44</v>
      </c>
      <c r="L41" s="13">
        <v>164022.18799999999</v>
      </c>
      <c r="M41" s="12">
        <v>1075.78</v>
      </c>
      <c r="N41" s="12">
        <v>1075.78</v>
      </c>
      <c r="O41" s="12">
        <v>3339.2530000000002</v>
      </c>
      <c r="P41" s="12">
        <v>472</v>
      </c>
      <c r="Q41" s="12">
        <v>472</v>
      </c>
      <c r="R41" s="12">
        <v>455</v>
      </c>
    </row>
    <row r="42" spans="1:18" ht="29.5" customHeight="1" x14ac:dyDescent="0.15">
      <c r="A42" s="8" t="s">
        <v>231</v>
      </c>
      <c r="B42" s="9" t="s">
        <v>232</v>
      </c>
      <c r="C42" s="8" t="s">
        <v>233</v>
      </c>
      <c r="D42" s="8" t="s">
        <v>234</v>
      </c>
      <c r="E42" s="8" t="s">
        <v>235</v>
      </c>
      <c r="F42" s="8" t="s">
        <v>236</v>
      </c>
      <c r="G42" s="8" t="s">
        <v>237</v>
      </c>
      <c r="H42" s="8" t="s">
        <v>180</v>
      </c>
      <c r="I42" s="8" t="str">
        <f>HYPERLINK("http://www.goldenladycompany.com/","www.goldenladycompany.com")</f>
        <v>www.goldenladycompany.com</v>
      </c>
      <c r="J42" s="10">
        <v>167387.43400000001</v>
      </c>
      <c r="K42" s="10">
        <v>167387.43400000001</v>
      </c>
      <c r="L42" s="10">
        <v>159231.948</v>
      </c>
      <c r="M42" s="10">
        <v>3667.1990000000001</v>
      </c>
      <c r="N42" s="10">
        <v>3667.1990000000001</v>
      </c>
      <c r="O42" s="10">
        <v>6031.6880000000001</v>
      </c>
      <c r="P42" s="10">
        <v>754</v>
      </c>
      <c r="Q42" s="10">
        <v>754</v>
      </c>
      <c r="R42" s="10">
        <v>801</v>
      </c>
    </row>
    <row r="43" spans="1:18" ht="29.5" customHeight="1" x14ac:dyDescent="0.15">
      <c r="A43" s="11" t="s">
        <v>238</v>
      </c>
      <c r="B43" s="1" t="s">
        <v>239</v>
      </c>
      <c r="C43" s="11" t="s">
        <v>240</v>
      </c>
      <c r="D43" s="11" t="s">
        <v>240</v>
      </c>
      <c r="E43" s="11" t="s">
        <v>241</v>
      </c>
      <c r="F43" s="11" t="s">
        <v>192</v>
      </c>
      <c r="G43" s="11" t="s">
        <v>199</v>
      </c>
      <c r="H43" s="11" t="s">
        <v>200</v>
      </c>
      <c r="I43" s="11" t="str">
        <f>HYPERLINK("http://world.scarpa.com/","world.scarpa.com")</f>
        <v>world.scarpa.com</v>
      </c>
      <c r="J43" s="12">
        <v>136410.42499999999</v>
      </c>
      <c r="K43" s="12">
        <v>136410.42499999999</v>
      </c>
      <c r="L43" s="13">
        <v>155321.68299999999</v>
      </c>
      <c r="M43" s="12">
        <v>6472.8469999999998</v>
      </c>
      <c r="N43" s="12">
        <v>6472.8469999999998</v>
      </c>
      <c r="O43" s="12">
        <v>9026.3160000000007</v>
      </c>
      <c r="P43" s="12">
        <v>374</v>
      </c>
      <c r="Q43" s="12">
        <v>374</v>
      </c>
      <c r="R43" s="12">
        <v>356</v>
      </c>
    </row>
    <row r="44" spans="1:18" ht="29.5" customHeight="1" x14ac:dyDescent="0.15">
      <c r="A44" s="8" t="s">
        <v>242</v>
      </c>
      <c r="B44" s="9" t="s">
        <v>243</v>
      </c>
      <c r="C44" s="8" t="s">
        <v>244</v>
      </c>
      <c r="D44" s="8" t="s">
        <v>245</v>
      </c>
      <c r="E44" s="8" t="s">
        <v>246</v>
      </c>
      <c r="F44" s="8" t="s">
        <v>185</v>
      </c>
      <c r="G44" s="8" t="s">
        <v>247</v>
      </c>
      <c r="H44" s="8" t="s">
        <v>200</v>
      </c>
      <c r="I44" s="8" t="str">
        <f>HYPERLINK("http://www.swinger.it/","www.swinger.it")</f>
        <v>www.swinger.it</v>
      </c>
      <c r="J44" s="10">
        <v>145352.541</v>
      </c>
      <c r="K44" s="10">
        <v>172959.516</v>
      </c>
      <c r="L44" s="10">
        <v>154942.00399999999</v>
      </c>
      <c r="M44" s="10">
        <v>9906.3610000000008</v>
      </c>
      <c r="N44" s="10">
        <v>22490.508000000002</v>
      </c>
      <c r="O44" s="10">
        <v>20523.944</v>
      </c>
      <c r="P44" s="10">
        <v>248</v>
      </c>
      <c r="Q44" s="10">
        <v>248</v>
      </c>
      <c r="R44" s="10">
        <v>201</v>
      </c>
    </row>
    <row r="45" spans="1:18" ht="17" customHeight="1" x14ac:dyDescent="0.15">
      <c r="A45" s="11" t="s">
        <v>248</v>
      </c>
      <c r="B45" s="1" t="s">
        <v>249</v>
      </c>
      <c r="C45" s="11" t="s">
        <v>250</v>
      </c>
      <c r="D45" s="11" t="s">
        <v>251</v>
      </c>
      <c r="E45" s="11" t="s">
        <v>252</v>
      </c>
      <c r="F45" s="11" t="s">
        <v>192</v>
      </c>
      <c r="G45" s="11" t="s">
        <v>253</v>
      </c>
      <c r="H45" s="11" t="s">
        <v>187</v>
      </c>
      <c r="I45" s="11" t="str">
        <f>HYPERLINK("http://www.pollini.com/","http://www.pollini.com")</f>
        <v>http://www.pollini.com</v>
      </c>
      <c r="J45" s="12">
        <v>133253.59899999999</v>
      </c>
      <c r="K45" s="12">
        <v>133253.59899999999</v>
      </c>
      <c r="L45" s="13">
        <v>154884.41200000001</v>
      </c>
      <c r="M45" s="12">
        <v>1320.306</v>
      </c>
      <c r="N45" s="12">
        <v>1320.306</v>
      </c>
      <c r="O45" s="12">
        <v>944.66600000000005</v>
      </c>
      <c r="P45" s="12">
        <v>203</v>
      </c>
      <c r="Q45" s="12">
        <v>203</v>
      </c>
      <c r="R45" s="12">
        <v>190</v>
      </c>
    </row>
    <row r="46" spans="1:18" ht="17" customHeight="1" x14ac:dyDescent="0.15">
      <c r="A46" s="8" t="s">
        <v>254</v>
      </c>
      <c r="B46" s="9" t="s">
        <v>255</v>
      </c>
      <c r="C46" s="8" t="s">
        <v>256</v>
      </c>
      <c r="D46" s="8" t="s">
        <v>256</v>
      </c>
      <c r="E46" s="8" t="s">
        <v>257</v>
      </c>
      <c r="F46" s="8" t="s">
        <v>205</v>
      </c>
      <c r="G46" s="8" t="s">
        <v>258</v>
      </c>
      <c r="H46" s="8" t="s">
        <v>187</v>
      </c>
      <c r="I46" s="8" t="str">
        <f>HYPERLINK("http://www.maxmarafashion.com/","http://www.maxmarafashion.com")</f>
        <v>http://www.maxmarafashion.com</v>
      </c>
      <c r="J46" s="10">
        <v>163899.18599999999</v>
      </c>
      <c r="K46" s="10">
        <v>163899.18599999999</v>
      </c>
      <c r="L46" s="10">
        <v>151477.478</v>
      </c>
      <c r="M46" s="10">
        <v>10800.601000000001</v>
      </c>
      <c r="N46" s="10">
        <v>10800.601000000001</v>
      </c>
      <c r="O46" s="10">
        <v>691.17899999999997</v>
      </c>
      <c r="P46" s="10">
        <v>189</v>
      </c>
      <c r="Q46" s="10">
        <v>189</v>
      </c>
      <c r="R46" s="10">
        <v>194</v>
      </c>
    </row>
    <row r="47" spans="1:18" ht="17" customHeight="1" x14ac:dyDescent="0.15">
      <c r="A47" s="11" t="s">
        <v>259</v>
      </c>
      <c r="B47" s="1" t="s">
        <v>260</v>
      </c>
      <c r="C47" s="11" t="s">
        <v>261</v>
      </c>
      <c r="D47" s="11" t="s">
        <v>261</v>
      </c>
      <c r="E47" s="11" t="s">
        <v>262</v>
      </c>
      <c r="F47" s="11" t="s">
        <v>185</v>
      </c>
      <c r="G47" s="11" t="s">
        <v>179</v>
      </c>
      <c r="H47" s="11" t="s">
        <v>180</v>
      </c>
      <c r="I47" s="11" t="str">
        <f>HYPERLINK("http://www.marni.com/","http://www.marni.com")</f>
        <v>http://www.marni.com</v>
      </c>
      <c r="J47" s="12">
        <v>153839.08499999999</v>
      </c>
      <c r="K47" s="12">
        <v>153839.08499999999</v>
      </c>
      <c r="L47" s="13">
        <v>151026.46299999999</v>
      </c>
      <c r="M47" s="12">
        <v>-4064.078</v>
      </c>
      <c r="N47" s="12">
        <v>-4064.078</v>
      </c>
      <c r="O47" s="12">
        <v>7759.3869999999997</v>
      </c>
      <c r="P47" s="12">
        <v>175</v>
      </c>
      <c r="Q47" s="12">
        <v>175</v>
      </c>
      <c r="R47" s="12">
        <v>163</v>
      </c>
    </row>
    <row r="48" spans="1:18" ht="17" customHeight="1" x14ac:dyDescent="0.15">
      <c r="A48" s="8" t="s">
        <v>263</v>
      </c>
      <c r="B48" s="9" t="s">
        <v>264</v>
      </c>
      <c r="C48" s="8" t="s">
        <v>265</v>
      </c>
      <c r="D48" s="8" t="s">
        <v>266</v>
      </c>
      <c r="E48" s="8" t="s">
        <v>267</v>
      </c>
      <c r="F48" s="8" t="s">
        <v>229</v>
      </c>
      <c r="G48" s="8" t="s">
        <v>230</v>
      </c>
      <c r="H48" s="8" t="s">
        <v>200</v>
      </c>
      <c r="I48" s="8" t="str">
        <f>HYPERLINK("http://www.gruppodani.com/","www.gruppodani.com")</f>
        <v>www.gruppodani.com</v>
      </c>
      <c r="J48" s="10">
        <v>134470.47500000001</v>
      </c>
      <c r="K48" s="10">
        <v>134470.47500000001</v>
      </c>
      <c r="L48" s="10">
        <v>150581.91699999999</v>
      </c>
      <c r="M48" s="10">
        <v>615.27200000000005</v>
      </c>
      <c r="N48" s="10">
        <v>615.27200000000005</v>
      </c>
      <c r="O48" s="10">
        <v>1333.7329999999999</v>
      </c>
      <c r="P48" s="10">
        <v>694</v>
      </c>
      <c r="Q48" s="10">
        <v>694</v>
      </c>
      <c r="R48" s="10">
        <v>679</v>
      </c>
    </row>
    <row r="49" spans="1:18" ht="17" customHeight="1" x14ac:dyDescent="0.15">
      <c r="A49" s="11" t="s">
        <v>268</v>
      </c>
      <c r="B49" s="1" t="s">
        <v>269</v>
      </c>
      <c r="C49" s="11" t="s">
        <v>270</v>
      </c>
      <c r="D49" s="11" t="s">
        <v>270</v>
      </c>
      <c r="E49" s="11" t="s">
        <v>271</v>
      </c>
      <c r="F49" s="11" t="s">
        <v>192</v>
      </c>
      <c r="G49" s="11" t="s">
        <v>272</v>
      </c>
      <c r="H49" s="11" t="s">
        <v>273</v>
      </c>
      <c r="I49" s="11" t="str">
        <f>HYPERLINK("http://www.cofra.it/","www.cofra.it")</f>
        <v>www.cofra.it</v>
      </c>
      <c r="J49" s="12">
        <v>132547.44099999999</v>
      </c>
      <c r="K49" s="12">
        <v>132547.44099999999</v>
      </c>
      <c r="L49" s="13">
        <v>133615.18400000001</v>
      </c>
      <c r="M49" s="12">
        <v>24003.811000000002</v>
      </c>
      <c r="N49" s="12">
        <v>24003.811000000002</v>
      </c>
      <c r="O49" s="12">
        <v>23957.26</v>
      </c>
      <c r="P49" s="12">
        <v>1876</v>
      </c>
      <c r="Q49" s="12">
        <v>1876</v>
      </c>
      <c r="R49" s="12">
        <v>1947</v>
      </c>
    </row>
    <row r="50" spans="1:18" ht="29.5" customHeight="1" x14ac:dyDescent="0.15">
      <c r="A50" s="8" t="s">
        <v>274</v>
      </c>
      <c r="B50" s="9" t="s">
        <v>275</v>
      </c>
      <c r="C50" s="8" t="s">
        <v>276</v>
      </c>
      <c r="D50" s="8" t="s">
        <v>276</v>
      </c>
      <c r="E50" s="8" t="s">
        <v>277</v>
      </c>
      <c r="F50" s="8" t="s">
        <v>192</v>
      </c>
      <c r="G50" s="8" t="s">
        <v>278</v>
      </c>
      <c r="H50" s="8" t="s">
        <v>279</v>
      </c>
      <c r="I50" s="8" t="str">
        <f>HYPERLINK("http://www.calzaturificiogensi.com/","www.calzaturificiogensi.com")</f>
        <v>www.calzaturificiogensi.com</v>
      </c>
      <c r="J50" s="10">
        <v>121028.386</v>
      </c>
      <c r="K50" s="10">
        <v>121028.386</v>
      </c>
      <c r="L50" s="10">
        <v>130061.33500000001</v>
      </c>
      <c r="M50" s="10">
        <v>7241.3950000000004</v>
      </c>
      <c r="N50" s="10">
        <v>7241.3950000000004</v>
      </c>
      <c r="O50" s="10">
        <v>7228.7179999999998</v>
      </c>
      <c r="P50" s="10">
        <v>321</v>
      </c>
      <c r="Q50" s="10">
        <v>321</v>
      </c>
      <c r="R50" s="10">
        <v>307</v>
      </c>
    </row>
    <row r="51" spans="1:18" ht="17" customHeight="1" x14ac:dyDescent="0.15">
      <c r="A51" s="11" t="s">
        <v>280</v>
      </c>
      <c r="B51" s="1" t="s">
        <v>281</v>
      </c>
      <c r="C51" s="11" t="s">
        <v>282</v>
      </c>
      <c r="D51" s="11" t="s">
        <v>283</v>
      </c>
      <c r="E51" s="11" t="s">
        <v>284</v>
      </c>
      <c r="F51" s="11" t="s">
        <v>185</v>
      </c>
      <c r="G51" s="11" t="s">
        <v>285</v>
      </c>
      <c r="H51" s="11" t="s">
        <v>180</v>
      </c>
      <c r="I51" s="11" t="str">
        <f>HYPERLINK("http://www.canali.com/it_it/","www.canali.com/it_it/")</f>
        <v>www.canali.com/it_it/</v>
      </c>
      <c r="J51" s="12">
        <v>146277.978</v>
      </c>
      <c r="K51" s="12">
        <v>146277.978</v>
      </c>
      <c r="L51" s="13">
        <v>129461.77899999999</v>
      </c>
      <c r="M51" s="12">
        <v>12810.299000000001</v>
      </c>
      <c r="N51" s="12">
        <v>12810.299000000001</v>
      </c>
      <c r="O51" s="12">
        <v>13406.031999999999</v>
      </c>
      <c r="P51" s="12">
        <v>1078</v>
      </c>
      <c r="Q51" s="12">
        <v>1078</v>
      </c>
      <c r="R51" s="12">
        <v>1060</v>
      </c>
    </row>
    <row r="52" spans="1:18" ht="17" customHeight="1" x14ac:dyDescent="0.15">
      <c r="A52" s="8" t="s">
        <v>286</v>
      </c>
      <c r="B52" s="9" t="s">
        <v>287</v>
      </c>
      <c r="C52" s="8" t="s">
        <v>288</v>
      </c>
      <c r="D52" s="8" t="s">
        <v>288</v>
      </c>
      <c r="E52" s="8" t="s">
        <v>289</v>
      </c>
      <c r="F52" s="8" t="s">
        <v>212</v>
      </c>
      <c r="G52" s="8" t="s">
        <v>290</v>
      </c>
      <c r="H52" s="8" t="s">
        <v>291</v>
      </c>
      <c r="I52" s="8" t="str">
        <f>HYPERLINK("http://www.herno.it/","www.herno.it")</f>
        <v>www.herno.it</v>
      </c>
      <c r="J52" s="10">
        <v>151946.31200000001</v>
      </c>
      <c r="K52" s="10">
        <v>151946.31200000001</v>
      </c>
      <c r="L52" s="10">
        <v>128413.814</v>
      </c>
      <c r="M52" s="10">
        <v>5279.4520000000002</v>
      </c>
      <c r="N52" s="10">
        <v>5279.4520000000002</v>
      </c>
      <c r="O52" s="10">
        <v>4024.4780000000001</v>
      </c>
      <c r="P52" s="10">
        <v>236</v>
      </c>
      <c r="Q52" s="10">
        <v>236</v>
      </c>
      <c r="R52" s="10">
        <v>217</v>
      </c>
    </row>
    <row r="53" spans="1:18" ht="17" customHeight="1" x14ac:dyDescent="0.15">
      <c r="A53" s="11" t="s">
        <v>292</v>
      </c>
      <c r="B53" s="1" t="s">
        <v>293</v>
      </c>
      <c r="C53" s="11" t="s">
        <v>294</v>
      </c>
      <c r="D53" s="11" t="s">
        <v>294</v>
      </c>
      <c r="E53" s="11" t="s">
        <v>295</v>
      </c>
      <c r="F53" s="11" t="s">
        <v>178</v>
      </c>
      <c r="G53" s="11" t="s">
        <v>179</v>
      </c>
      <c r="H53" s="11" t="s">
        <v>180</v>
      </c>
      <c r="I53" s="11" t="str">
        <f>HYPERLINK("http://www.fontanamilano1915.it/","www.fontanamilano1915.it")</f>
        <v>www.fontanamilano1915.it</v>
      </c>
      <c r="J53" s="12">
        <v>177675.78</v>
      </c>
      <c r="K53" s="12">
        <v>177675.78</v>
      </c>
      <c r="L53" s="13">
        <v>128274.789</v>
      </c>
      <c r="M53" s="12">
        <v>23861.542000000001</v>
      </c>
      <c r="N53" s="12">
        <v>23861.542000000001</v>
      </c>
      <c r="O53" s="12">
        <v>14049.669</v>
      </c>
      <c r="P53" s="12">
        <v>266</v>
      </c>
      <c r="Q53" s="12">
        <v>266</v>
      </c>
      <c r="R53" s="12">
        <v>252</v>
      </c>
    </row>
    <row r="54" spans="1:18" ht="17" customHeight="1" x14ac:dyDescent="0.15">
      <c r="A54" s="8" t="s">
        <v>296</v>
      </c>
      <c r="B54" s="9" t="s">
        <v>297</v>
      </c>
      <c r="C54" s="8" t="s">
        <v>298</v>
      </c>
      <c r="D54" s="8" t="s">
        <v>298</v>
      </c>
      <c r="E54" s="8" t="s">
        <v>299</v>
      </c>
      <c r="F54" s="8" t="s">
        <v>192</v>
      </c>
      <c r="G54" s="8" t="s">
        <v>300</v>
      </c>
      <c r="H54" s="8" t="s">
        <v>194</v>
      </c>
      <c r="I54" s="8" t="str">
        <f>HYPERLINK("http://www.nerogiardini.it/","www.nerogiardini.it")</f>
        <v>www.nerogiardini.it</v>
      </c>
      <c r="J54" s="10">
        <v>122264.677</v>
      </c>
      <c r="K54" s="10">
        <v>122264.677</v>
      </c>
      <c r="L54" s="10">
        <v>121244.2</v>
      </c>
      <c r="M54" s="10">
        <v>6658.6329999999998</v>
      </c>
      <c r="N54" s="10">
        <v>6658.6329999999998</v>
      </c>
      <c r="O54" s="10">
        <v>5624.7489999999998</v>
      </c>
      <c r="P54" s="10">
        <v>274</v>
      </c>
      <c r="Q54" s="10">
        <v>274</v>
      </c>
      <c r="R54" s="10">
        <v>285</v>
      </c>
    </row>
    <row r="55" spans="1:18" ht="17" customHeight="1" x14ac:dyDescent="0.15">
      <c r="A55" s="11" t="s">
        <v>301</v>
      </c>
      <c r="B55" s="1" t="s">
        <v>302</v>
      </c>
      <c r="C55" s="11" t="s">
        <v>303</v>
      </c>
      <c r="D55" s="11" t="s">
        <v>303</v>
      </c>
      <c r="E55" s="11" t="s">
        <v>304</v>
      </c>
      <c r="F55" s="11" t="s">
        <v>212</v>
      </c>
      <c r="G55" s="11" t="s">
        <v>179</v>
      </c>
      <c r="H55" s="11" t="s">
        <v>180</v>
      </c>
      <c r="I55" s="11" t="str">
        <f>HYPERLINK("http://www.jilsander.com/","www.jilsander.com")</f>
        <v>www.jilsander.com</v>
      </c>
      <c r="J55" s="12">
        <v>148357</v>
      </c>
      <c r="K55" s="12">
        <v>148357</v>
      </c>
      <c r="L55" s="13">
        <v>119325</v>
      </c>
      <c r="M55" s="12">
        <v>7582</v>
      </c>
      <c r="N55" s="12">
        <v>7582</v>
      </c>
      <c r="O55" s="12">
        <v>17065</v>
      </c>
      <c r="P55" s="12">
        <v>159</v>
      </c>
      <c r="Q55" s="12">
        <v>159</v>
      </c>
      <c r="R55" s="12">
        <v>130</v>
      </c>
    </row>
    <row r="56" spans="1:18" ht="17" customHeight="1" x14ac:dyDescent="0.15">
      <c r="A56" s="8" t="s">
        <v>305</v>
      </c>
      <c r="B56" s="9" t="s">
        <v>306</v>
      </c>
      <c r="C56" s="8" t="s">
        <v>307</v>
      </c>
      <c r="D56" s="8" t="s">
        <v>307</v>
      </c>
      <c r="E56" s="8" t="s">
        <v>308</v>
      </c>
      <c r="F56" s="8" t="s">
        <v>205</v>
      </c>
      <c r="G56" s="8" t="s">
        <v>309</v>
      </c>
      <c r="H56" s="8" t="s">
        <v>180</v>
      </c>
      <c r="I56" s="8" t="str">
        <f>HYPERLINK("http://www.paulshark.it/","www.paulshark.it")</f>
        <v>www.paulshark.it</v>
      </c>
      <c r="J56" s="10">
        <v>122477.35</v>
      </c>
      <c r="K56" s="10">
        <v>122477.35</v>
      </c>
      <c r="L56" s="10">
        <v>118717.519</v>
      </c>
      <c r="M56" s="10">
        <v>8534.9169999999995</v>
      </c>
      <c r="N56" s="10">
        <v>8534.9169999999995</v>
      </c>
      <c r="O56" s="10">
        <v>7675.8119999999999</v>
      </c>
      <c r="P56" s="10">
        <v>300</v>
      </c>
      <c r="Q56" s="10">
        <v>300</v>
      </c>
      <c r="R56" s="10">
        <v>273</v>
      </c>
    </row>
    <row r="57" spans="1:18" ht="29.5" customHeight="1" x14ac:dyDescent="0.15">
      <c r="A57" s="11" t="s">
        <v>310</v>
      </c>
      <c r="B57" s="1" t="s">
        <v>311</v>
      </c>
      <c r="C57" s="11" t="s">
        <v>312</v>
      </c>
      <c r="D57" s="11" t="s">
        <v>312</v>
      </c>
      <c r="E57" s="11" t="s">
        <v>313</v>
      </c>
      <c r="F57" s="11" t="s">
        <v>314</v>
      </c>
      <c r="G57" s="11" t="s">
        <v>315</v>
      </c>
      <c r="H57" s="11" t="s">
        <v>200</v>
      </c>
      <c r="I57" s="11" t="str">
        <f>HYPERLINK("http://www.mvcgroup.com/","www.mvcgroup.com")</f>
        <v>www.mvcgroup.com</v>
      </c>
      <c r="J57" s="12">
        <v>115264.891</v>
      </c>
      <c r="K57" s="14" t="s">
        <v>316</v>
      </c>
      <c r="L57" s="13">
        <v>115264.891</v>
      </c>
      <c r="M57" s="12">
        <v>8341.3690000000006</v>
      </c>
      <c r="N57" s="14" t="s">
        <v>316</v>
      </c>
      <c r="O57" s="12">
        <v>8341.3690000000006</v>
      </c>
      <c r="P57" s="12">
        <v>235</v>
      </c>
      <c r="Q57" s="14" t="s">
        <v>316</v>
      </c>
      <c r="R57" s="12">
        <v>235</v>
      </c>
    </row>
    <row r="58" spans="1:18" ht="17" customHeight="1" x14ac:dyDescent="0.15">
      <c r="A58" s="8" t="s">
        <v>317</v>
      </c>
      <c r="B58" s="9" t="s">
        <v>318</v>
      </c>
      <c r="C58" s="8" t="s">
        <v>319</v>
      </c>
      <c r="D58" s="8" t="s">
        <v>319</v>
      </c>
      <c r="E58" s="8" t="s">
        <v>320</v>
      </c>
      <c r="F58" s="8" t="s">
        <v>185</v>
      </c>
      <c r="G58" s="8" t="s">
        <v>321</v>
      </c>
      <c r="H58" s="8" t="s">
        <v>322</v>
      </c>
      <c r="I58" s="8" t="str">
        <f>HYPERLINK("http://www.luisaspagnoli.com/","www.luisaspagnoli.com")</f>
        <v>www.luisaspagnoli.com</v>
      </c>
      <c r="J58" s="10">
        <v>123825.89599999999</v>
      </c>
      <c r="K58" s="10">
        <v>123825.89599999999</v>
      </c>
      <c r="L58" s="10">
        <v>112862.683</v>
      </c>
      <c r="M58" s="10">
        <v>-1872.183</v>
      </c>
      <c r="N58" s="10">
        <v>-1872.183</v>
      </c>
      <c r="O58" s="10">
        <v>509.57100000000003</v>
      </c>
      <c r="P58" s="10">
        <v>836</v>
      </c>
      <c r="Q58" s="10">
        <v>836</v>
      </c>
      <c r="R58" s="10">
        <v>792</v>
      </c>
    </row>
    <row r="59" spans="1:18" ht="17" customHeight="1" x14ac:dyDescent="0.15">
      <c r="A59" s="11" t="s">
        <v>323</v>
      </c>
      <c r="B59" s="1" t="s">
        <v>324</v>
      </c>
      <c r="C59" s="11" t="s">
        <v>325</v>
      </c>
      <c r="D59" s="11" t="s">
        <v>325</v>
      </c>
      <c r="E59" s="11" t="s">
        <v>326</v>
      </c>
      <c r="F59" s="11" t="s">
        <v>327</v>
      </c>
      <c r="G59" s="11" t="s">
        <v>199</v>
      </c>
      <c r="H59" s="11" t="s">
        <v>200</v>
      </c>
      <c r="I59" s="11" t="str">
        <f>HYPERLINK("http://www.lowa.it/","www.lowa.it")</f>
        <v>www.lowa.it</v>
      </c>
      <c r="J59" s="12">
        <v>119058.037</v>
      </c>
      <c r="K59" s="12">
        <v>119058.037</v>
      </c>
      <c r="L59" s="13">
        <v>111922.933</v>
      </c>
      <c r="M59" s="12">
        <v>5945.2449999999999</v>
      </c>
      <c r="N59" s="12">
        <v>5945.2449999999999</v>
      </c>
      <c r="O59" s="12">
        <v>3614.585</v>
      </c>
      <c r="P59" s="12">
        <v>69</v>
      </c>
      <c r="Q59" s="12">
        <v>69</v>
      </c>
      <c r="R59" s="12">
        <v>71</v>
      </c>
    </row>
    <row r="60" spans="1:18" ht="29.5" customHeight="1" x14ac:dyDescent="0.15">
      <c r="A60" s="8" t="s">
        <v>328</v>
      </c>
      <c r="B60" s="9" t="s">
        <v>329</v>
      </c>
      <c r="C60" s="8" t="s">
        <v>330</v>
      </c>
      <c r="D60" s="8" t="s">
        <v>331</v>
      </c>
      <c r="E60" s="8" t="s">
        <v>332</v>
      </c>
      <c r="F60" s="8" t="s">
        <v>333</v>
      </c>
      <c r="G60" s="8" t="s">
        <v>285</v>
      </c>
      <c r="H60" s="8" t="s">
        <v>180</v>
      </c>
      <c r="I60" s="8" t="str">
        <f>HYPERLINK("http://www.colmar.com/","www.colmar.com")</f>
        <v>www.colmar.com</v>
      </c>
      <c r="J60" s="10">
        <v>117912.117</v>
      </c>
      <c r="K60" s="10">
        <v>117912.117</v>
      </c>
      <c r="L60" s="10">
        <v>111823.921</v>
      </c>
      <c r="M60" s="10">
        <v>5588.19</v>
      </c>
      <c r="N60" s="10">
        <v>5588.19</v>
      </c>
      <c r="O60" s="10">
        <v>3644.52</v>
      </c>
      <c r="P60" s="10">
        <v>245</v>
      </c>
      <c r="Q60" s="10">
        <v>245</v>
      </c>
      <c r="R60" s="10">
        <v>254</v>
      </c>
    </row>
    <row r="61" spans="1:18" ht="17" customHeight="1" x14ac:dyDescent="0.15">
      <c r="A61" s="11" t="s">
        <v>334</v>
      </c>
      <c r="B61" s="1" t="s">
        <v>335</v>
      </c>
      <c r="C61" s="11" t="s">
        <v>336</v>
      </c>
      <c r="D61" s="11" t="s">
        <v>336</v>
      </c>
      <c r="E61" s="11" t="s">
        <v>337</v>
      </c>
      <c r="F61" s="11" t="s">
        <v>185</v>
      </c>
      <c r="G61" s="11" t="s">
        <v>338</v>
      </c>
      <c r="H61" s="11" t="s">
        <v>291</v>
      </c>
      <c r="I61" s="11" t="str">
        <f>HYPERLINK("http://www.rickowens.eu/en","www.rickowens.eu/en")</f>
        <v>www.rickowens.eu/en</v>
      </c>
      <c r="J61" s="12">
        <v>125267.435</v>
      </c>
      <c r="K61" s="12">
        <v>125267.435</v>
      </c>
      <c r="L61" s="13">
        <v>107365.72900000001</v>
      </c>
      <c r="M61" s="12">
        <v>14391.079</v>
      </c>
      <c r="N61" s="12">
        <v>14391.079</v>
      </c>
      <c r="O61" s="12">
        <v>17989.343000000001</v>
      </c>
      <c r="P61" s="12">
        <v>177</v>
      </c>
      <c r="Q61" s="12">
        <v>177</v>
      </c>
      <c r="R61" s="12">
        <v>165</v>
      </c>
    </row>
    <row r="62" spans="1:18" ht="17" customHeight="1" x14ac:dyDescent="0.15">
      <c r="A62" s="8" t="s">
        <v>339</v>
      </c>
      <c r="B62" s="9" t="s">
        <v>340</v>
      </c>
      <c r="C62" s="8" t="s">
        <v>341</v>
      </c>
      <c r="D62" s="8" t="s">
        <v>341</v>
      </c>
      <c r="E62" s="8" t="s">
        <v>342</v>
      </c>
      <c r="F62" s="8" t="s">
        <v>343</v>
      </c>
      <c r="G62" s="8" t="s">
        <v>285</v>
      </c>
      <c r="H62" s="8" t="s">
        <v>180</v>
      </c>
      <c r="I62" s="8" t="str">
        <f>HYPERLINK("http://www.isaseta.it/","www.isaseta.it")</f>
        <v>www.isaseta.it</v>
      </c>
      <c r="J62" s="10">
        <v>98153.303</v>
      </c>
      <c r="K62" s="10">
        <v>98153.303</v>
      </c>
      <c r="L62" s="10">
        <v>102030.05</v>
      </c>
      <c r="M62" s="10">
        <v>8810.4850000000006</v>
      </c>
      <c r="N62" s="10">
        <v>8810.4850000000006</v>
      </c>
      <c r="O62" s="10">
        <v>7114.4219999999996</v>
      </c>
      <c r="P62" s="10">
        <v>333</v>
      </c>
      <c r="Q62" s="10">
        <v>333</v>
      </c>
      <c r="R62" s="10">
        <v>315</v>
      </c>
    </row>
    <row r="63" spans="1:18" ht="17" customHeight="1" x14ac:dyDescent="0.15">
      <c r="A63" s="11" t="s">
        <v>344</v>
      </c>
      <c r="B63" s="1" t="s">
        <v>345</v>
      </c>
      <c r="C63" s="11" t="s">
        <v>346</v>
      </c>
      <c r="D63" s="11" t="s">
        <v>346</v>
      </c>
      <c r="E63" s="11" t="s">
        <v>347</v>
      </c>
      <c r="F63" s="11" t="s">
        <v>185</v>
      </c>
      <c r="G63" s="11" t="s">
        <v>213</v>
      </c>
      <c r="H63" s="11" t="s">
        <v>214</v>
      </c>
      <c r="I63" s="11" t="str">
        <f>HYPERLINK("http://us.kiton.com/","us.kiton.com")</f>
        <v>us.kiton.com</v>
      </c>
      <c r="J63" s="12">
        <v>122454.69100000001</v>
      </c>
      <c r="K63" s="12">
        <v>122454.69100000001</v>
      </c>
      <c r="L63" s="13">
        <v>100764.046</v>
      </c>
      <c r="M63" s="12">
        <v>4858.8850000000002</v>
      </c>
      <c r="N63" s="12">
        <v>4858.8850000000002</v>
      </c>
      <c r="O63" s="12">
        <v>5638.2659999999996</v>
      </c>
      <c r="P63" s="12">
        <v>383</v>
      </c>
      <c r="Q63" s="12">
        <v>383</v>
      </c>
      <c r="R63" s="12">
        <v>374</v>
      </c>
    </row>
    <row r="64" spans="1:18" ht="17" customHeight="1" x14ac:dyDescent="0.15">
      <c r="A64" s="8" t="s">
        <v>348</v>
      </c>
      <c r="B64" s="9" t="s">
        <v>349</v>
      </c>
      <c r="C64" s="8" t="s">
        <v>350</v>
      </c>
      <c r="D64" s="8" t="s">
        <v>350</v>
      </c>
      <c r="E64" s="8" t="s">
        <v>351</v>
      </c>
      <c r="F64" s="8" t="s">
        <v>185</v>
      </c>
      <c r="G64" s="8" t="s">
        <v>352</v>
      </c>
      <c r="H64" s="8" t="s">
        <v>353</v>
      </c>
      <c r="I64" s="8" t="str">
        <f>HYPERLINK("http://www.stefanoricci.com/","www.stefanoricci.com")</f>
        <v>www.stefanoricci.com</v>
      </c>
      <c r="J64" s="10">
        <v>150104.91200000001</v>
      </c>
      <c r="K64" s="10">
        <v>150104.91200000001</v>
      </c>
      <c r="L64" s="10">
        <v>100433.414</v>
      </c>
      <c r="M64" s="10">
        <v>19890.375</v>
      </c>
      <c r="N64" s="10">
        <v>19890.375</v>
      </c>
      <c r="O64" s="10">
        <v>8617.2270000000008</v>
      </c>
      <c r="P64" s="10">
        <v>302</v>
      </c>
      <c r="Q64" s="10">
        <v>302</v>
      </c>
      <c r="R64" s="10">
        <v>281</v>
      </c>
    </row>
    <row r="65" spans="1:18" ht="17" customHeight="1" x14ac:dyDescent="0.15">
      <c r="A65" s="11" t="s">
        <v>354</v>
      </c>
      <c r="B65" s="1" t="s">
        <v>355</v>
      </c>
      <c r="C65" s="11" t="s">
        <v>356</v>
      </c>
      <c r="D65" s="11" t="s">
        <v>356</v>
      </c>
      <c r="E65" s="11" t="s">
        <v>357</v>
      </c>
      <c r="F65" s="11" t="s">
        <v>358</v>
      </c>
      <c r="G65" s="11" t="s">
        <v>359</v>
      </c>
      <c r="H65" s="11" t="s">
        <v>360</v>
      </c>
      <c r="I65" s="11" t="str">
        <f>HYPERLINK("http://www.roveda1955.com/","www.roveda1955.com")</f>
        <v>www.roveda1955.com</v>
      </c>
      <c r="J65" s="12">
        <v>127427.716</v>
      </c>
      <c r="K65" s="12">
        <v>127427.716</v>
      </c>
      <c r="L65" s="13">
        <v>97852.457999999999</v>
      </c>
      <c r="M65" s="12">
        <v>6203.1170000000002</v>
      </c>
      <c r="N65" s="12">
        <v>6203.1170000000002</v>
      </c>
      <c r="O65" s="12">
        <v>1137.672</v>
      </c>
      <c r="P65" s="12">
        <v>296</v>
      </c>
      <c r="Q65" s="12">
        <v>296</v>
      </c>
      <c r="R65" s="12">
        <v>286</v>
      </c>
    </row>
    <row r="66" spans="1:18" ht="17" customHeight="1" x14ac:dyDescent="0.15">
      <c r="A66" s="8" t="s">
        <v>361</v>
      </c>
      <c r="B66" s="9" t="s">
        <v>362</v>
      </c>
      <c r="C66" s="8" t="s">
        <v>363</v>
      </c>
      <c r="D66" s="8" t="s">
        <v>363</v>
      </c>
      <c r="E66" s="8" t="s">
        <v>364</v>
      </c>
      <c r="F66" s="8" t="s">
        <v>365</v>
      </c>
      <c r="G66" s="8" t="s">
        <v>366</v>
      </c>
      <c r="H66" s="8" t="s">
        <v>367</v>
      </c>
      <c r="I66" s="8" t="str">
        <f>HYPERLINK("http://www.patriziapepe.com/","http://www.patriziapepe.com")</f>
        <v>http://www.patriziapepe.com</v>
      </c>
      <c r="J66" s="10">
        <v>87765.59</v>
      </c>
      <c r="K66" s="10">
        <v>87765.59</v>
      </c>
      <c r="L66" s="10">
        <v>97375.341</v>
      </c>
      <c r="M66" s="10">
        <v>-14431.040999999999</v>
      </c>
      <c r="N66" s="10">
        <v>-14431.040999999999</v>
      </c>
      <c r="O66" s="10">
        <v>12004.647999999999</v>
      </c>
      <c r="P66" s="10">
        <v>328</v>
      </c>
      <c r="Q66" s="10">
        <v>328</v>
      </c>
      <c r="R66" s="10">
        <v>301</v>
      </c>
    </row>
    <row r="67" spans="1:18" ht="17" customHeight="1" x14ac:dyDescent="0.15">
      <c r="A67" s="11" t="s">
        <v>368</v>
      </c>
      <c r="B67" s="1" t="s">
        <v>369</v>
      </c>
      <c r="C67" s="11" t="s">
        <v>370</v>
      </c>
      <c r="D67" s="11" t="s">
        <v>370</v>
      </c>
      <c r="E67" s="11" t="s">
        <v>371</v>
      </c>
      <c r="F67" s="11" t="s">
        <v>372</v>
      </c>
      <c r="G67" s="11" t="s">
        <v>373</v>
      </c>
      <c r="H67" s="11" t="s">
        <v>374</v>
      </c>
      <c r="I67" s="11" t="str">
        <f>HYPERLINK("http://mariolevi.com/","mariolevi.com")</f>
        <v>mariolevi.com</v>
      </c>
      <c r="J67" s="12">
        <v>113348.033</v>
      </c>
      <c r="K67" s="12">
        <v>113348.033</v>
      </c>
      <c r="L67" s="13">
        <v>96248.786999999997</v>
      </c>
      <c r="M67" s="12">
        <v>3423.114</v>
      </c>
      <c r="N67" s="12">
        <v>3423.114</v>
      </c>
      <c r="O67" s="12">
        <v>3909.5970000000002</v>
      </c>
      <c r="P67" s="12">
        <v>149</v>
      </c>
      <c r="Q67" s="12">
        <v>149</v>
      </c>
      <c r="R67" s="12">
        <v>152</v>
      </c>
    </row>
    <row r="68" spans="1:18" ht="17" customHeight="1" x14ac:dyDescent="0.15">
      <c r="A68" s="8" t="s">
        <v>375</v>
      </c>
      <c r="B68" s="9" t="s">
        <v>376</v>
      </c>
      <c r="C68" s="8" t="s">
        <v>377</v>
      </c>
      <c r="D68" s="8" t="s">
        <v>377</v>
      </c>
      <c r="E68" s="8" t="s">
        <v>378</v>
      </c>
      <c r="F68" s="8" t="s">
        <v>358</v>
      </c>
      <c r="G68" s="8" t="s">
        <v>379</v>
      </c>
      <c r="H68" s="8" t="s">
        <v>380</v>
      </c>
      <c r="I68" s="8" t="str">
        <f>HYPERLINK("http://www.ciclostar.it/","www.ciclostar.it")</f>
        <v>www.ciclostar.it</v>
      </c>
      <c r="J68" s="10">
        <v>94579.44</v>
      </c>
      <c r="K68" s="10">
        <v>94579.44</v>
      </c>
      <c r="L68" s="10">
        <v>90154.964999999997</v>
      </c>
      <c r="M68" s="10">
        <v>5093.7240000000002</v>
      </c>
      <c r="N68" s="10">
        <v>5093.7240000000002</v>
      </c>
      <c r="O68" s="10">
        <v>1479.0419999999999</v>
      </c>
      <c r="P68" s="10">
        <v>300</v>
      </c>
      <c r="Q68" s="10">
        <v>300</v>
      </c>
      <c r="R68" s="10">
        <v>302</v>
      </c>
    </row>
    <row r="69" spans="1:18" ht="17" customHeight="1" x14ac:dyDescent="0.15">
      <c r="A69" s="11" t="s">
        <v>381</v>
      </c>
      <c r="B69" s="1" t="s">
        <v>382</v>
      </c>
      <c r="C69" s="11" t="s">
        <v>383</v>
      </c>
      <c r="D69" s="11" t="s">
        <v>383</v>
      </c>
      <c r="E69" s="11" t="s">
        <v>384</v>
      </c>
      <c r="F69" s="11" t="s">
        <v>358</v>
      </c>
      <c r="G69" s="11" t="s">
        <v>359</v>
      </c>
      <c r="H69" s="11" t="s">
        <v>360</v>
      </c>
      <c r="I69" s="11" t="str">
        <f>HYPERLINK("http://www.santonishoes.com/","www.santonishoes.com")</f>
        <v>www.santonishoes.com</v>
      </c>
      <c r="J69" s="12">
        <v>105355.68700000001</v>
      </c>
      <c r="K69" s="12">
        <v>105355.68700000001</v>
      </c>
      <c r="L69" s="13">
        <v>89467.311000000002</v>
      </c>
      <c r="M69" s="12">
        <v>4502.1540000000005</v>
      </c>
      <c r="N69" s="12">
        <v>4502.1540000000005</v>
      </c>
      <c r="O69" s="12">
        <v>3599.3609999999999</v>
      </c>
      <c r="P69" s="12">
        <v>581</v>
      </c>
      <c r="Q69" s="12">
        <v>581</v>
      </c>
      <c r="R69" s="12">
        <v>520</v>
      </c>
    </row>
    <row r="70" spans="1:18" ht="17" customHeight="1" x14ac:dyDescent="0.15">
      <c r="A70" s="8" t="s">
        <v>385</v>
      </c>
      <c r="B70" s="9" t="s">
        <v>386</v>
      </c>
      <c r="C70" s="8" t="s">
        <v>387</v>
      </c>
      <c r="D70" s="8" t="s">
        <v>388</v>
      </c>
      <c r="E70" s="8" t="s">
        <v>389</v>
      </c>
      <c r="F70" s="8" t="s">
        <v>372</v>
      </c>
      <c r="G70" s="8" t="s">
        <v>390</v>
      </c>
      <c r="H70" s="8" t="s">
        <v>367</v>
      </c>
      <c r="I70" s="8" t="str">
        <f>HYPERLINK("http://www.lamipel.it/","www.lamipel.it")</f>
        <v>www.lamipel.it</v>
      </c>
      <c r="J70" s="10">
        <v>73890.377999999997</v>
      </c>
      <c r="K70" s="10">
        <v>73890.377999999997</v>
      </c>
      <c r="L70" s="10">
        <v>85730.328999999998</v>
      </c>
      <c r="M70" s="10">
        <v>6.984</v>
      </c>
      <c r="N70" s="10">
        <v>6.984</v>
      </c>
      <c r="O70" s="10">
        <v>1077.115</v>
      </c>
      <c r="P70" s="10">
        <v>39</v>
      </c>
      <c r="Q70" s="10">
        <v>39</v>
      </c>
      <c r="R70" s="10">
        <v>42</v>
      </c>
    </row>
    <row r="71" spans="1:18" ht="17" customHeight="1" x14ac:dyDescent="0.15">
      <c r="A71" s="11" t="s">
        <v>391</v>
      </c>
      <c r="B71" s="1" t="s">
        <v>392</v>
      </c>
      <c r="C71" s="11" t="s">
        <v>393</v>
      </c>
      <c r="D71" s="11" t="s">
        <v>394</v>
      </c>
      <c r="E71" s="11" t="s">
        <v>395</v>
      </c>
      <c r="F71" s="11" t="s">
        <v>396</v>
      </c>
      <c r="G71" s="11" t="s">
        <v>397</v>
      </c>
      <c r="H71" s="11" t="s">
        <v>398</v>
      </c>
      <c r="I71" s="11" t="str">
        <f>HYPERLINK("http://www.harmontblaine.com/","www.harmontblaine.com")</f>
        <v>www.harmontblaine.com</v>
      </c>
      <c r="J71" s="12">
        <v>92297.673999999999</v>
      </c>
      <c r="K71" s="12">
        <v>92297.673999999999</v>
      </c>
      <c r="L71" s="13">
        <v>85635.172999999995</v>
      </c>
      <c r="M71" s="12">
        <v>971.62900000000002</v>
      </c>
      <c r="N71" s="12">
        <v>971.62900000000002</v>
      </c>
      <c r="O71" s="12">
        <v>-3132.8620000000001</v>
      </c>
      <c r="P71" s="12">
        <v>489</v>
      </c>
      <c r="Q71" s="12">
        <v>489</v>
      </c>
      <c r="R71" s="12">
        <v>498</v>
      </c>
    </row>
    <row r="72" spans="1:18" ht="17" customHeight="1" x14ac:dyDescent="0.15">
      <c r="A72" s="8" t="s">
        <v>399</v>
      </c>
      <c r="B72" s="9" t="s">
        <v>400</v>
      </c>
      <c r="C72" s="8" t="s">
        <v>401</v>
      </c>
      <c r="D72" s="8" t="s">
        <v>401</v>
      </c>
      <c r="E72" s="8" t="s">
        <v>402</v>
      </c>
      <c r="F72" s="8" t="s">
        <v>358</v>
      </c>
      <c r="G72" s="8" t="s">
        <v>359</v>
      </c>
      <c r="H72" s="8" t="s">
        <v>360</v>
      </c>
      <c r="I72" s="8" t="str">
        <f>HYPERLINK("http://www.autry-usa.com/it","http://www.autry-usa.com/it")</f>
        <v>http://www.autry-usa.com/it</v>
      </c>
      <c r="J72" s="10">
        <v>105293.96</v>
      </c>
      <c r="K72" s="10">
        <v>105293.96</v>
      </c>
      <c r="L72" s="10">
        <v>84698.456999999995</v>
      </c>
      <c r="M72" s="10">
        <v>6497.0929999999998</v>
      </c>
      <c r="N72" s="10">
        <v>6497.0929999999998</v>
      </c>
      <c r="O72" s="10">
        <v>16995.134999999998</v>
      </c>
      <c r="P72" s="10">
        <v>68</v>
      </c>
      <c r="Q72" s="10">
        <v>68</v>
      </c>
      <c r="R72" s="10">
        <v>40</v>
      </c>
    </row>
    <row r="73" spans="1:18" ht="17" customHeight="1" x14ac:dyDescent="0.15">
      <c r="A73" s="11" t="s">
        <v>403</v>
      </c>
      <c r="B73" s="1" t="s">
        <v>404</v>
      </c>
      <c r="C73" s="11" t="s">
        <v>405</v>
      </c>
      <c r="D73" s="11" t="s">
        <v>405</v>
      </c>
      <c r="E73" s="11" t="s">
        <v>406</v>
      </c>
      <c r="F73" s="11" t="s">
        <v>358</v>
      </c>
      <c r="G73" s="11" t="s">
        <v>407</v>
      </c>
      <c r="H73" s="11" t="s">
        <v>408</v>
      </c>
      <c r="I73" s="11" t="str">
        <f>HYPERLINK("http://www.falcotto.com/","www.falcotto.com")</f>
        <v>www.falcotto.com</v>
      </c>
      <c r="J73" s="12">
        <v>88801.978000000003</v>
      </c>
      <c r="K73" s="12">
        <v>91650.642000000007</v>
      </c>
      <c r="L73" s="13">
        <v>84442.744999999995</v>
      </c>
      <c r="M73" s="12">
        <v>2126.9110000000001</v>
      </c>
      <c r="N73" s="12">
        <v>4561.3940000000002</v>
      </c>
      <c r="O73" s="12">
        <v>4331.6360000000004</v>
      </c>
      <c r="P73" s="12">
        <v>124</v>
      </c>
      <c r="Q73" s="12">
        <v>125</v>
      </c>
      <c r="R73" s="12">
        <v>112</v>
      </c>
    </row>
    <row r="74" spans="1:18" ht="17" customHeight="1" x14ac:dyDescent="0.15">
      <c r="A74" s="8" t="s">
        <v>409</v>
      </c>
      <c r="B74" s="9" t="s">
        <v>410</v>
      </c>
      <c r="C74" s="8" t="s">
        <v>411</v>
      </c>
      <c r="D74" s="8" t="s">
        <v>411</v>
      </c>
      <c r="E74" s="8" t="s">
        <v>412</v>
      </c>
      <c r="F74" s="8" t="s">
        <v>358</v>
      </c>
      <c r="G74" s="8" t="s">
        <v>413</v>
      </c>
      <c r="H74" s="8" t="s">
        <v>414</v>
      </c>
      <c r="I74" s="8" t="str">
        <f>HYPERLINK("http://www.gianvitorossi.com/","www.gianvitorossi.com")</f>
        <v>www.gianvitorossi.com</v>
      </c>
      <c r="J74" s="10">
        <v>103681.47199999999</v>
      </c>
      <c r="K74" s="10">
        <v>103681.47199999999</v>
      </c>
      <c r="L74" s="10">
        <v>84407.514999999999</v>
      </c>
      <c r="M74" s="10">
        <v>11334.393</v>
      </c>
      <c r="N74" s="10">
        <v>11334.393</v>
      </c>
      <c r="O74" s="10">
        <v>17170.310000000001</v>
      </c>
      <c r="P74" s="10">
        <v>211</v>
      </c>
      <c r="Q74" s="10">
        <v>211</v>
      </c>
      <c r="R74" s="10">
        <v>189</v>
      </c>
    </row>
    <row r="75" spans="1:18" ht="29.5" customHeight="1" x14ac:dyDescent="0.15">
      <c r="A75" s="11" t="s">
        <v>415</v>
      </c>
      <c r="B75" s="1" t="s">
        <v>416</v>
      </c>
      <c r="C75" s="11" t="s">
        <v>417</v>
      </c>
      <c r="D75" s="11" t="s">
        <v>417</v>
      </c>
      <c r="E75" s="11" t="s">
        <v>418</v>
      </c>
      <c r="F75" s="11" t="s">
        <v>419</v>
      </c>
      <c r="G75" s="11" t="s">
        <v>397</v>
      </c>
      <c r="H75" s="11" t="s">
        <v>398</v>
      </c>
      <c r="I75" s="11" t="str">
        <f>HYPERLINK("http://www.guerrierosrl.eu/","www.guerrierosrl.eu")</f>
        <v>www.guerrierosrl.eu</v>
      </c>
      <c r="J75" s="12">
        <v>69261.524000000005</v>
      </c>
      <c r="K75" s="12">
        <v>69261.524000000005</v>
      </c>
      <c r="L75" s="13">
        <v>83615.718999999997</v>
      </c>
      <c r="M75" s="12">
        <v>115.70099999999999</v>
      </c>
      <c r="N75" s="12">
        <v>115.70099999999999</v>
      </c>
      <c r="O75" s="12">
        <v>3309.1179999999999</v>
      </c>
      <c r="P75" s="12">
        <v>784</v>
      </c>
      <c r="Q75" s="12">
        <v>784</v>
      </c>
      <c r="R75" s="12">
        <v>784</v>
      </c>
    </row>
    <row r="76" spans="1:18" ht="17" customHeight="1" x14ac:dyDescent="0.15">
      <c r="A76" s="8" t="s">
        <v>420</v>
      </c>
      <c r="B76" s="9" t="s">
        <v>421</v>
      </c>
      <c r="C76" s="8" t="s">
        <v>422</v>
      </c>
      <c r="D76" s="8" t="s">
        <v>422</v>
      </c>
      <c r="E76" s="8" t="s">
        <v>423</v>
      </c>
      <c r="F76" s="8" t="s">
        <v>358</v>
      </c>
      <c r="G76" s="8" t="s">
        <v>359</v>
      </c>
      <c r="H76" s="8" t="s">
        <v>360</v>
      </c>
      <c r="I76" s="8" t="str">
        <f>HYPERLINK("http://mille885.com/","mille885.com")</f>
        <v>mille885.com</v>
      </c>
      <c r="J76" s="10">
        <v>107252.11900000001</v>
      </c>
      <c r="K76" s="10">
        <v>107252.11900000001</v>
      </c>
      <c r="L76" s="10">
        <v>83114.521999999997</v>
      </c>
      <c r="M76" s="10">
        <v>22612.039000000001</v>
      </c>
      <c r="N76" s="10">
        <v>22612.039000000001</v>
      </c>
      <c r="O76" s="10">
        <v>12781.984</v>
      </c>
      <c r="P76" s="10">
        <v>66</v>
      </c>
      <c r="Q76" s="10">
        <v>66</v>
      </c>
      <c r="R76" s="10">
        <v>64</v>
      </c>
    </row>
    <row r="77" spans="1:18" ht="17" customHeight="1" x14ac:dyDescent="0.15">
      <c r="A77" s="11" t="s">
        <v>424</v>
      </c>
      <c r="B77" s="1" t="s">
        <v>425</v>
      </c>
      <c r="C77" s="11" t="s">
        <v>426</v>
      </c>
      <c r="D77" s="11" t="s">
        <v>426</v>
      </c>
      <c r="E77" s="11" t="s">
        <v>427</v>
      </c>
      <c r="F77" s="11" t="s">
        <v>358</v>
      </c>
      <c r="G77" s="11" t="s">
        <v>428</v>
      </c>
      <c r="H77" s="11" t="s">
        <v>380</v>
      </c>
      <c r="I77" s="11" t="str">
        <f>HYPERLINK("http://www.rossimoda.com/","http://www.rossimoda.com")</f>
        <v>http://www.rossimoda.com</v>
      </c>
      <c r="J77" s="12">
        <v>90226.952000000005</v>
      </c>
      <c r="K77" s="12">
        <v>90226.952000000005</v>
      </c>
      <c r="L77" s="13">
        <v>82868.884999999995</v>
      </c>
      <c r="M77" s="12">
        <v>2567.3629999999998</v>
      </c>
      <c r="N77" s="12">
        <v>2567.3629999999998</v>
      </c>
      <c r="O77" s="12">
        <v>1520.9159999999999</v>
      </c>
      <c r="P77" s="12">
        <v>155</v>
      </c>
      <c r="Q77" s="12">
        <v>155</v>
      </c>
      <c r="R77" s="12">
        <v>136</v>
      </c>
    </row>
    <row r="78" spans="1:18" ht="17" customHeight="1" x14ac:dyDescent="0.15">
      <c r="A78" s="8" t="s">
        <v>429</v>
      </c>
      <c r="B78" s="9" t="s">
        <v>430</v>
      </c>
      <c r="C78" s="8" t="s">
        <v>431</v>
      </c>
      <c r="D78" s="8" t="s">
        <v>431</v>
      </c>
      <c r="E78" s="8" t="s">
        <v>432</v>
      </c>
      <c r="F78" s="8" t="s">
        <v>372</v>
      </c>
      <c r="G78" s="8" t="s">
        <v>433</v>
      </c>
      <c r="H78" s="8" t="s">
        <v>380</v>
      </c>
      <c r="I78" s="8" t="str">
        <f>HYPERLINK("http://www.crestleather.com/","www.crestleather.com")</f>
        <v>www.crestleather.com</v>
      </c>
      <c r="J78" s="10">
        <v>80912.180999999997</v>
      </c>
      <c r="K78" s="10">
        <v>80912.180999999997</v>
      </c>
      <c r="L78" s="10">
        <v>82834.418000000005</v>
      </c>
      <c r="M78" s="10">
        <v>426.06</v>
      </c>
      <c r="N78" s="10">
        <v>426.06</v>
      </c>
      <c r="O78" s="10">
        <v>-1791.847</v>
      </c>
      <c r="P78" s="10">
        <v>188</v>
      </c>
      <c r="Q78" s="10">
        <v>188</v>
      </c>
      <c r="R78" s="10">
        <v>193</v>
      </c>
    </row>
    <row r="79" spans="1:18" ht="17" customHeight="1" x14ac:dyDescent="0.15">
      <c r="A79" s="11" t="s">
        <v>434</v>
      </c>
      <c r="B79" s="1" t="s">
        <v>435</v>
      </c>
      <c r="C79" s="11" t="s">
        <v>436</v>
      </c>
      <c r="D79" s="11" t="s">
        <v>436</v>
      </c>
      <c r="E79" s="11" t="s">
        <v>437</v>
      </c>
      <c r="F79" s="11" t="s">
        <v>438</v>
      </c>
      <c r="G79" s="11" t="s">
        <v>359</v>
      </c>
      <c r="H79" s="11" t="s">
        <v>360</v>
      </c>
      <c r="I79" s="11" t="str">
        <f>HYPERLINK("http://www.ama-milano.it/","www.ama-milano.it")</f>
        <v>www.ama-milano.it</v>
      </c>
      <c r="J79" s="12">
        <v>101046.894</v>
      </c>
      <c r="K79" s="12">
        <v>101046.894</v>
      </c>
      <c r="L79" s="13">
        <v>81583.085000000006</v>
      </c>
      <c r="M79" s="12">
        <v>11570.244000000001</v>
      </c>
      <c r="N79" s="12">
        <v>11570.244000000001</v>
      </c>
      <c r="O79" s="12">
        <v>7755.3959999999997</v>
      </c>
      <c r="P79" s="12">
        <v>62</v>
      </c>
      <c r="Q79" s="12">
        <v>62</v>
      </c>
      <c r="R79" s="12">
        <v>60</v>
      </c>
    </row>
    <row r="80" spans="1:18" ht="17" customHeight="1" x14ac:dyDescent="0.15">
      <c r="A80" s="8" t="s">
        <v>439</v>
      </c>
      <c r="B80" s="9" t="s">
        <v>440</v>
      </c>
      <c r="C80" s="8" t="s">
        <v>441</v>
      </c>
      <c r="D80" s="8" t="s">
        <v>441</v>
      </c>
      <c r="E80" s="8" t="s">
        <v>442</v>
      </c>
      <c r="F80" s="8" t="s">
        <v>419</v>
      </c>
      <c r="G80" s="8" t="s">
        <v>443</v>
      </c>
      <c r="H80" s="8" t="s">
        <v>414</v>
      </c>
      <c r="I80" s="8" t="str">
        <f>HYPERLINK("http://www.coccinelle.com/","http://www.coccinelle.com")</f>
        <v>http://www.coccinelle.com</v>
      </c>
      <c r="J80" s="10">
        <v>91172.691000000006</v>
      </c>
      <c r="K80" s="10">
        <v>91172.691000000006</v>
      </c>
      <c r="L80" s="10">
        <v>81030.240000000005</v>
      </c>
      <c r="M80" s="10">
        <v>8095.1540000000005</v>
      </c>
      <c r="N80" s="10">
        <v>8095.1540000000005</v>
      </c>
      <c r="O80" s="10">
        <v>3331.0430000000001</v>
      </c>
      <c r="P80" s="10">
        <v>266</v>
      </c>
      <c r="Q80" s="10">
        <v>266</v>
      </c>
      <c r="R80" s="10">
        <v>268</v>
      </c>
    </row>
    <row r="81" spans="1:18" ht="29.5" customHeight="1" x14ac:dyDescent="0.15">
      <c r="A81" s="11" t="s">
        <v>444</v>
      </c>
      <c r="B81" s="1" t="s">
        <v>445</v>
      </c>
      <c r="C81" s="11" t="s">
        <v>446</v>
      </c>
      <c r="D81" s="11" t="s">
        <v>447</v>
      </c>
      <c r="E81" s="11" t="s">
        <v>448</v>
      </c>
      <c r="F81" s="11" t="s">
        <v>372</v>
      </c>
      <c r="G81" s="11" t="s">
        <v>390</v>
      </c>
      <c r="H81" s="11" t="s">
        <v>367</v>
      </c>
      <c r="I81" s="11" t="str">
        <f>HYPERLINK("http://www.nutiivo.it/nutiivo","www.nutiivo.it/nutiivo")</f>
        <v>www.nutiivo.it/nutiivo</v>
      </c>
      <c r="J81" s="12">
        <v>81502.203999999998</v>
      </c>
      <c r="K81" s="12">
        <v>81502.203999999998</v>
      </c>
      <c r="L81" s="13">
        <v>80039.873000000007</v>
      </c>
      <c r="M81" s="12">
        <v>11347.904</v>
      </c>
      <c r="N81" s="12">
        <v>11347.904</v>
      </c>
      <c r="O81" s="12">
        <v>14363.361999999999</v>
      </c>
      <c r="P81" s="12">
        <v>133</v>
      </c>
      <c r="Q81" s="12">
        <v>133</v>
      </c>
      <c r="R81" s="12">
        <v>120</v>
      </c>
    </row>
    <row r="82" spans="1:18" ht="17" customHeight="1" x14ac:dyDescent="0.15">
      <c r="A82" s="8" t="s">
        <v>449</v>
      </c>
      <c r="B82" s="9" t="s">
        <v>450</v>
      </c>
      <c r="C82" s="8" t="s">
        <v>451</v>
      </c>
      <c r="D82" s="8" t="s">
        <v>451</v>
      </c>
      <c r="E82" s="8" t="s">
        <v>452</v>
      </c>
      <c r="F82" s="8" t="s">
        <v>453</v>
      </c>
      <c r="G82" s="8" t="s">
        <v>359</v>
      </c>
      <c r="H82" s="8" t="s">
        <v>360</v>
      </c>
      <c r="I82" s="8" t="str">
        <f>HYPERLINK("http://www.robertocavalli.com/","www.robertocavalli.com")</f>
        <v>www.robertocavalli.com</v>
      </c>
      <c r="J82" s="10">
        <v>76309.024000000005</v>
      </c>
      <c r="K82" s="10">
        <v>76309.024000000005</v>
      </c>
      <c r="L82" s="10">
        <v>78685.433999999994</v>
      </c>
      <c r="M82" s="10">
        <v>-16557.080999999998</v>
      </c>
      <c r="N82" s="10">
        <v>-16557.080999999998</v>
      </c>
      <c r="O82" s="10">
        <v>-3956.6770000000001</v>
      </c>
      <c r="P82" s="10">
        <v>170</v>
      </c>
      <c r="Q82" s="10">
        <v>170</v>
      </c>
      <c r="R82" s="10">
        <v>173</v>
      </c>
    </row>
    <row r="83" spans="1:18" ht="17" customHeight="1" x14ac:dyDescent="0.15">
      <c r="A83" s="11" t="s">
        <v>454</v>
      </c>
      <c r="B83" s="1" t="s">
        <v>455</v>
      </c>
      <c r="C83" s="11" t="s">
        <v>456</v>
      </c>
      <c r="D83" s="11" t="s">
        <v>456</v>
      </c>
      <c r="E83" s="11" t="s">
        <v>457</v>
      </c>
      <c r="F83" s="11" t="s">
        <v>419</v>
      </c>
      <c r="G83" s="11" t="s">
        <v>366</v>
      </c>
      <c r="H83" s="11" t="s">
        <v>367</v>
      </c>
      <c r="I83" s="11" t="str">
        <f>HYPERLINK("http://tripeldue.it/","tripeldue.it")</f>
        <v>tripeldue.it</v>
      </c>
      <c r="J83" s="12">
        <v>93071.23</v>
      </c>
      <c r="K83" s="12">
        <v>93071.23</v>
      </c>
      <c r="L83" s="13">
        <v>78317.320000000007</v>
      </c>
      <c r="M83" s="12">
        <v>17656.853999999999</v>
      </c>
      <c r="N83" s="12">
        <v>17656.853999999999</v>
      </c>
      <c r="O83" s="12">
        <v>14363.558999999999</v>
      </c>
      <c r="P83" s="12">
        <v>141</v>
      </c>
      <c r="Q83" s="12">
        <v>141</v>
      </c>
      <c r="R83" s="12">
        <v>126</v>
      </c>
    </row>
    <row r="84" spans="1:18" ht="17" customHeight="1" x14ac:dyDescent="0.15">
      <c r="A84" s="8" t="s">
        <v>458</v>
      </c>
      <c r="B84" s="9" t="s">
        <v>459</v>
      </c>
      <c r="C84" s="8" t="s">
        <v>460</v>
      </c>
      <c r="D84" s="8" t="s">
        <v>460</v>
      </c>
      <c r="E84" s="8" t="s">
        <v>461</v>
      </c>
      <c r="F84" s="8" t="s">
        <v>358</v>
      </c>
      <c r="G84" s="8" t="s">
        <v>359</v>
      </c>
      <c r="H84" s="8" t="s">
        <v>360</v>
      </c>
      <c r="I84" s="8" t="str">
        <f>HYPERLINK("http://dsquared2.com/","dsquared2.com")</f>
        <v>dsquared2.com</v>
      </c>
      <c r="J84" s="10">
        <v>75286.600999999995</v>
      </c>
      <c r="K84" s="10">
        <v>75286.600999999995</v>
      </c>
      <c r="L84" s="10">
        <v>76840.42</v>
      </c>
      <c r="M84" s="10">
        <v>1205.3710000000001</v>
      </c>
      <c r="N84" s="10">
        <v>1205.3710000000001</v>
      </c>
      <c r="O84" s="10">
        <v>4347.5529999999999</v>
      </c>
      <c r="P84" s="10">
        <v>148</v>
      </c>
      <c r="Q84" s="10">
        <v>148</v>
      </c>
      <c r="R84" s="10">
        <v>158</v>
      </c>
    </row>
    <row r="85" spans="1:18" ht="17" customHeight="1" x14ac:dyDescent="0.15">
      <c r="A85" s="11" t="s">
        <v>462</v>
      </c>
      <c r="B85" s="1" t="s">
        <v>463</v>
      </c>
      <c r="C85" s="11" t="s">
        <v>464</v>
      </c>
      <c r="D85" s="11" t="s">
        <v>464</v>
      </c>
      <c r="E85" s="11" t="s">
        <v>465</v>
      </c>
      <c r="F85" s="11" t="s">
        <v>466</v>
      </c>
      <c r="G85" s="11" t="s">
        <v>467</v>
      </c>
      <c r="H85" s="11" t="s">
        <v>414</v>
      </c>
      <c r="I85" s="11" t="str">
        <f>HYPERLINK("http://gaudi-fashion.com/it_it/","gaudi-fashion.com/it_it/")</f>
        <v>gaudi-fashion.com/it_it/</v>
      </c>
      <c r="J85" s="12">
        <v>55501.313000000002</v>
      </c>
      <c r="K85" s="12">
        <v>55501.313000000002</v>
      </c>
      <c r="L85" s="13">
        <v>76581.373999999996</v>
      </c>
      <c r="M85" s="12">
        <v>465.01900000000001</v>
      </c>
      <c r="N85" s="12">
        <v>465.01900000000001</v>
      </c>
      <c r="O85" s="12">
        <v>389.03300000000002</v>
      </c>
      <c r="P85" s="12">
        <v>158</v>
      </c>
      <c r="Q85" s="12">
        <v>158</v>
      </c>
      <c r="R85" s="12">
        <v>159</v>
      </c>
    </row>
    <row r="86" spans="1:18" ht="17" customHeight="1" x14ac:dyDescent="0.15">
      <c r="A86" s="8" t="s">
        <v>468</v>
      </c>
      <c r="B86" s="9" t="s">
        <v>469</v>
      </c>
      <c r="C86" s="8" t="s">
        <v>470</v>
      </c>
      <c r="D86" s="8" t="s">
        <v>470</v>
      </c>
      <c r="E86" s="8" t="s">
        <v>471</v>
      </c>
      <c r="F86" s="8" t="s">
        <v>466</v>
      </c>
      <c r="G86" s="8" t="s">
        <v>472</v>
      </c>
      <c r="H86" s="8" t="s">
        <v>408</v>
      </c>
      <c r="I86" s="8" t="str">
        <f>HYPERLINK("http://www.paima.it/","www.paima.it")</f>
        <v>www.paima.it</v>
      </c>
      <c r="J86" s="10">
        <v>98129.150999999998</v>
      </c>
      <c r="K86" s="10">
        <v>98129.150999999998</v>
      </c>
      <c r="L86" s="10">
        <v>75862.517999999996</v>
      </c>
      <c r="M86" s="10">
        <v>20639.142</v>
      </c>
      <c r="N86" s="10">
        <v>20639.142</v>
      </c>
      <c r="O86" s="10">
        <v>13818.656000000001</v>
      </c>
      <c r="P86" s="10">
        <v>295</v>
      </c>
      <c r="Q86" s="10">
        <v>295</v>
      </c>
      <c r="R86" s="10">
        <v>226</v>
      </c>
    </row>
    <row r="87" spans="1:18" ht="17" customHeight="1" x14ac:dyDescent="0.15">
      <c r="A87" s="11" t="s">
        <v>473</v>
      </c>
      <c r="B87" s="1" t="s">
        <v>474</v>
      </c>
      <c r="C87" s="11" t="s">
        <v>475</v>
      </c>
      <c r="D87" s="11" t="s">
        <v>475</v>
      </c>
      <c r="E87" s="11" t="s">
        <v>476</v>
      </c>
      <c r="F87" s="11" t="s">
        <v>365</v>
      </c>
      <c r="G87" s="11" t="s">
        <v>472</v>
      </c>
      <c r="H87" s="11" t="s">
        <v>408</v>
      </c>
      <c r="I87" s="11" t="str">
        <f>HYPERLINK("http://www.simonettagroup.com/","www.simonettagroup.com")</f>
        <v>www.simonettagroup.com</v>
      </c>
      <c r="J87" s="12">
        <v>74270.165999999997</v>
      </c>
      <c r="K87" s="12">
        <v>74270.165999999997</v>
      </c>
      <c r="L87" s="13">
        <v>74950.7</v>
      </c>
      <c r="M87" s="12">
        <v>3134.5650000000001</v>
      </c>
      <c r="N87" s="12">
        <v>3134.5650000000001</v>
      </c>
      <c r="O87" s="12">
        <v>5208.6660000000002</v>
      </c>
      <c r="P87" s="12">
        <v>204</v>
      </c>
      <c r="Q87" s="12">
        <v>204</v>
      </c>
      <c r="R87" s="12">
        <v>163</v>
      </c>
    </row>
    <row r="88" spans="1:18" ht="17" customHeight="1" x14ac:dyDescent="0.15">
      <c r="A88" s="8" t="s">
        <v>477</v>
      </c>
      <c r="B88" s="9" t="s">
        <v>478</v>
      </c>
      <c r="C88" s="8" t="s">
        <v>479</v>
      </c>
      <c r="D88" s="8" t="s">
        <v>479</v>
      </c>
      <c r="E88" s="8" t="s">
        <v>480</v>
      </c>
      <c r="F88" s="8" t="s">
        <v>481</v>
      </c>
      <c r="G88" s="8" t="s">
        <v>428</v>
      </c>
      <c r="H88" s="8" t="s">
        <v>380</v>
      </c>
      <c r="I88" s="8" t="str">
        <f>HYPERLINK("http://www.tenc.com/","www.tenc.com")</f>
        <v>www.tenc.com</v>
      </c>
      <c r="J88" s="10">
        <v>73980.5</v>
      </c>
      <c r="K88" s="10">
        <v>73980.5</v>
      </c>
      <c r="L88" s="10">
        <v>73464.947</v>
      </c>
      <c r="M88" s="10">
        <v>10189.243</v>
      </c>
      <c r="N88" s="10">
        <v>10189.243</v>
      </c>
      <c r="O88" s="10">
        <v>7083.8320000000003</v>
      </c>
      <c r="P88" s="10">
        <v>98</v>
      </c>
      <c r="Q88" s="10">
        <v>98</v>
      </c>
      <c r="R88" s="10">
        <v>86</v>
      </c>
    </row>
    <row r="89" spans="1:18" ht="17" customHeight="1" x14ac:dyDescent="0.15">
      <c r="A89" s="11" t="s">
        <v>482</v>
      </c>
      <c r="B89" s="1" t="s">
        <v>483</v>
      </c>
      <c r="C89" s="11" t="s">
        <v>484</v>
      </c>
      <c r="D89" s="11" t="s">
        <v>484</v>
      </c>
      <c r="E89" s="11" t="s">
        <v>485</v>
      </c>
      <c r="F89" s="11" t="s">
        <v>419</v>
      </c>
      <c r="G89" s="11" t="s">
        <v>486</v>
      </c>
      <c r="H89" s="11" t="s">
        <v>414</v>
      </c>
      <c r="I89" s="11" t="str">
        <f>HYPERLINK("http://ru.piquadro.com/","ru.piquadro.com")</f>
        <v>ru.piquadro.com</v>
      </c>
      <c r="J89" s="12">
        <v>79046</v>
      </c>
      <c r="K89" s="12">
        <v>79046</v>
      </c>
      <c r="L89" s="13">
        <v>73418</v>
      </c>
      <c r="M89" s="12">
        <v>10672</v>
      </c>
      <c r="N89" s="12">
        <v>10672</v>
      </c>
      <c r="O89" s="12">
        <v>7737</v>
      </c>
      <c r="P89" s="12">
        <v>287</v>
      </c>
      <c r="Q89" s="12">
        <v>287</v>
      </c>
      <c r="R89" s="12">
        <v>274</v>
      </c>
    </row>
    <row r="90" spans="1:18" ht="17" customHeight="1" x14ac:dyDescent="0.15">
      <c r="A90" s="8" t="s">
        <v>487</v>
      </c>
      <c r="B90" s="9" t="s">
        <v>488</v>
      </c>
      <c r="C90" s="8" t="s">
        <v>489</v>
      </c>
      <c r="D90" s="8" t="s">
        <v>489</v>
      </c>
      <c r="E90" s="8" t="s">
        <v>490</v>
      </c>
      <c r="F90" s="8" t="s">
        <v>365</v>
      </c>
      <c r="G90" s="8" t="s">
        <v>491</v>
      </c>
      <c r="H90" s="8" t="s">
        <v>380</v>
      </c>
      <c r="I90" s="8" t="str">
        <f>HYPERLINK("http://www.sun68.com/it_it/","www.sun68.com/it_it/")</f>
        <v>www.sun68.com/it_it/</v>
      </c>
      <c r="J90" s="10">
        <v>80831.485000000001</v>
      </c>
      <c r="K90" s="10">
        <v>80831.485000000001</v>
      </c>
      <c r="L90" s="10">
        <v>73202.116999999998</v>
      </c>
      <c r="M90" s="10">
        <v>5325.9250000000002</v>
      </c>
      <c r="N90" s="10">
        <v>5325.9250000000002</v>
      </c>
      <c r="O90" s="10">
        <v>3716.7559999999999</v>
      </c>
      <c r="P90" s="10">
        <v>52</v>
      </c>
      <c r="Q90" s="10">
        <v>52</v>
      </c>
      <c r="R90" s="10">
        <v>49</v>
      </c>
    </row>
    <row r="91" spans="1:18" ht="17" customHeight="1" x14ac:dyDescent="0.15">
      <c r="A91" s="11" t="s">
        <v>492</v>
      </c>
      <c r="B91" s="1" t="s">
        <v>493</v>
      </c>
      <c r="C91" s="11" t="s">
        <v>494</v>
      </c>
      <c r="D91" s="11" t="s">
        <v>494</v>
      </c>
      <c r="E91" s="11" t="s">
        <v>495</v>
      </c>
      <c r="F91" s="11" t="s">
        <v>358</v>
      </c>
      <c r="G91" s="11" t="s">
        <v>413</v>
      </c>
      <c r="H91" s="11" t="s">
        <v>414</v>
      </c>
      <c r="I91" s="11" t="str">
        <f>HYPERLINK("http://www.giuseppezanotti.ru/","www.giuseppezanotti.ru")</f>
        <v>www.giuseppezanotti.ru</v>
      </c>
      <c r="J91" s="12">
        <v>56788.294999999998</v>
      </c>
      <c r="K91" s="12">
        <v>56788.294999999998</v>
      </c>
      <c r="L91" s="13">
        <v>72980.523000000001</v>
      </c>
      <c r="M91" s="12">
        <v>-19532.581999999999</v>
      </c>
      <c r="N91" s="12">
        <v>-19532.581999999999</v>
      </c>
      <c r="O91" s="12">
        <v>2451.1779999999999</v>
      </c>
      <c r="P91" s="12">
        <v>298</v>
      </c>
      <c r="Q91" s="12">
        <v>298</v>
      </c>
      <c r="R91" s="12">
        <v>318</v>
      </c>
    </row>
    <row r="92" spans="1:18" ht="17" customHeight="1" x14ac:dyDescent="0.15">
      <c r="A92" s="8" t="s">
        <v>496</v>
      </c>
      <c r="B92" s="9" t="s">
        <v>497</v>
      </c>
      <c r="C92" s="8" t="s">
        <v>498</v>
      </c>
      <c r="D92" s="8" t="s">
        <v>498</v>
      </c>
      <c r="E92" s="8" t="s">
        <v>499</v>
      </c>
      <c r="F92" s="8" t="s">
        <v>396</v>
      </c>
      <c r="G92" s="8" t="s">
        <v>491</v>
      </c>
      <c r="H92" s="8" t="s">
        <v>380</v>
      </c>
      <c r="I92" s="8" t="str">
        <f>HYPERLINK("http://www.parajumpers.it/","www.parajumpers.it")</f>
        <v>www.parajumpers.it</v>
      </c>
      <c r="J92" s="10">
        <v>67030.19</v>
      </c>
      <c r="K92" s="10">
        <v>67030.19</v>
      </c>
      <c r="L92" s="10">
        <v>72845.131999999998</v>
      </c>
      <c r="M92" s="10">
        <v>6067.3760000000002</v>
      </c>
      <c r="N92" s="10">
        <v>6067.3760000000002</v>
      </c>
      <c r="O92" s="10">
        <v>7086.92</v>
      </c>
      <c r="P92" s="10">
        <v>63</v>
      </c>
      <c r="Q92" s="10">
        <v>63</v>
      </c>
      <c r="R92" s="10">
        <v>62</v>
      </c>
    </row>
    <row r="93" spans="1:18" ht="17" customHeight="1" x14ac:dyDescent="0.15">
      <c r="A93" s="11" t="s">
        <v>500</v>
      </c>
      <c r="B93" s="1" t="s">
        <v>501</v>
      </c>
      <c r="C93" s="11" t="s">
        <v>502</v>
      </c>
      <c r="D93" s="11" t="s">
        <v>502</v>
      </c>
      <c r="E93" s="11" t="s">
        <v>503</v>
      </c>
      <c r="F93" s="11" t="s">
        <v>504</v>
      </c>
      <c r="G93" s="11" t="s">
        <v>505</v>
      </c>
      <c r="H93" s="11" t="s">
        <v>360</v>
      </c>
      <c r="I93" s="11" t="str">
        <f>HYPERLINK("http://trereinnovation.it/","trereinnovation.it")</f>
        <v>trereinnovation.it</v>
      </c>
      <c r="J93" s="12">
        <v>77819.986999999994</v>
      </c>
      <c r="K93" s="12">
        <v>77819.986999999994</v>
      </c>
      <c r="L93" s="13">
        <v>72693.623000000007</v>
      </c>
      <c r="M93" s="12">
        <v>362.47199999999998</v>
      </c>
      <c r="N93" s="12">
        <v>362.47199999999998</v>
      </c>
      <c r="O93" s="12">
        <v>533.56500000000005</v>
      </c>
      <c r="P93" s="12">
        <v>237</v>
      </c>
      <c r="Q93" s="12">
        <v>237</v>
      </c>
      <c r="R93" s="12">
        <v>206</v>
      </c>
    </row>
    <row r="94" spans="1:18" ht="17" customHeight="1" x14ac:dyDescent="0.15">
      <c r="A94" s="8" t="s">
        <v>506</v>
      </c>
      <c r="B94" s="9" t="s">
        <v>507</v>
      </c>
      <c r="C94" s="8" t="s">
        <v>508</v>
      </c>
      <c r="D94" s="8" t="s">
        <v>508</v>
      </c>
      <c r="E94" s="8" t="s">
        <v>509</v>
      </c>
      <c r="F94" s="8" t="s">
        <v>358</v>
      </c>
      <c r="G94" s="8" t="s">
        <v>366</v>
      </c>
      <c r="H94" s="8" t="s">
        <v>367</v>
      </c>
      <c r="I94" s="8" t="str">
        <f>HYPERLINK("http://www.freelandcalzature.it/","www.freelandcalzature.it")</f>
        <v>www.freelandcalzature.it</v>
      </c>
      <c r="J94" s="10">
        <v>83534.762000000002</v>
      </c>
      <c r="K94" s="10">
        <v>83534.762000000002</v>
      </c>
      <c r="L94" s="10">
        <v>72264.404999999999</v>
      </c>
      <c r="M94" s="10">
        <v>9004.9539999999997</v>
      </c>
      <c r="N94" s="10">
        <v>9004.9539999999997</v>
      </c>
      <c r="O94" s="10">
        <v>8636.607</v>
      </c>
      <c r="P94" s="10">
        <v>193</v>
      </c>
      <c r="Q94" s="10">
        <v>193</v>
      </c>
      <c r="R94" s="10">
        <v>138</v>
      </c>
    </row>
    <row r="95" spans="1:18" ht="17" customHeight="1" x14ac:dyDescent="0.15">
      <c r="A95" s="11" t="s">
        <v>510</v>
      </c>
      <c r="B95" s="1" t="s">
        <v>511</v>
      </c>
      <c r="C95" s="11" t="s">
        <v>512</v>
      </c>
      <c r="D95" s="11" t="s">
        <v>512</v>
      </c>
      <c r="E95" s="11" t="s">
        <v>513</v>
      </c>
      <c r="F95" s="11" t="s">
        <v>466</v>
      </c>
      <c r="G95" s="11" t="s">
        <v>428</v>
      </c>
      <c r="H95" s="11" t="s">
        <v>380</v>
      </c>
      <c r="I95" s="11" t="str">
        <f>HYPERLINK("http://vicolo.com/","vicolo.com")</f>
        <v>vicolo.com</v>
      </c>
      <c r="J95" s="12">
        <v>75343.974000000002</v>
      </c>
      <c r="K95" s="12">
        <v>75343.974000000002</v>
      </c>
      <c r="L95" s="13">
        <v>72206.342000000004</v>
      </c>
      <c r="M95" s="12">
        <v>3341.3719999999998</v>
      </c>
      <c r="N95" s="12">
        <v>3341.3719999999998</v>
      </c>
      <c r="O95" s="12">
        <v>2972.2289999999998</v>
      </c>
      <c r="P95" s="12">
        <v>102</v>
      </c>
      <c r="Q95" s="12">
        <v>102</v>
      </c>
      <c r="R95" s="12">
        <v>98</v>
      </c>
    </row>
    <row r="96" spans="1:18" ht="17" customHeight="1" x14ac:dyDescent="0.15">
      <c r="A96" s="8" t="s">
        <v>514</v>
      </c>
      <c r="B96" s="9" t="s">
        <v>515</v>
      </c>
      <c r="C96" s="8" t="s">
        <v>516</v>
      </c>
      <c r="D96" s="8" t="s">
        <v>516</v>
      </c>
      <c r="E96" s="8" t="s">
        <v>517</v>
      </c>
      <c r="F96" s="8" t="s">
        <v>365</v>
      </c>
      <c r="G96" s="8" t="s">
        <v>433</v>
      </c>
      <c r="H96" s="8" t="s">
        <v>380</v>
      </c>
      <c r="I96" s="8" t="str">
        <f>HYPERLINK("http://www.otb.net/","www.otb.net")</f>
        <v>www.otb.net</v>
      </c>
      <c r="J96" s="10">
        <v>74643.823999999993</v>
      </c>
      <c r="K96" s="10">
        <v>74643.823999999993</v>
      </c>
      <c r="L96" s="10">
        <v>71554.759000000005</v>
      </c>
      <c r="M96" s="10">
        <v>8055.8010000000004</v>
      </c>
      <c r="N96" s="10">
        <v>8055.8010000000004</v>
      </c>
      <c r="O96" s="10">
        <v>7946.5879999999997</v>
      </c>
      <c r="P96" s="10">
        <v>128</v>
      </c>
      <c r="Q96" s="10">
        <v>128</v>
      </c>
      <c r="R96" s="10">
        <v>109</v>
      </c>
    </row>
    <row r="97" spans="1:18" ht="17" customHeight="1" x14ac:dyDescent="0.15">
      <c r="A97" s="11" t="s">
        <v>518</v>
      </c>
      <c r="B97" s="1" t="s">
        <v>519</v>
      </c>
      <c r="C97" s="11" t="s">
        <v>520</v>
      </c>
      <c r="D97" s="11" t="s">
        <v>520</v>
      </c>
      <c r="E97" s="11" t="s">
        <v>521</v>
      </c>
      <c r="F97" s="11" t="s">
        <v>522</v>
      </c>
      <c r="G97" s="11" t="s">
        <v>523</v>
      </c>
      <c r="H97" s="11" t="s">
        <v>524</v>
      </c>
      <c r="I97" s="11" t="str">
        <f>HYPERLINK("http://www.fabianafilippi.it/","http://www.fabianafilippi.it")</f>
        <v>http://www.fabianafilippi.it</v>
      </c>
      <c r="J97" s="12">
        <v>73168.353000000003</v>
      </c>
      <c r="K97" s="12">
        <v>73168.353000000003</v>
      </c>
      <c r="L97" s="13">
        <v>71313.285999999993</v>
      </c>
      <c r="M97" s="12">
        <v>-9675.4599999999991</v>
      </c>
      <c r="N97" s="12">
        <v>-9675.4599999999991</v>
      </c>
      <c r="O97" s="12">
        <v>1337.675</v>
      </c>
      <c r="P97" s="12">
        <v>196</v>
      </c>
      <c r="Q97" s="12">
        <v>196</v>
      </c>
      <c r="R97" s="12">
        <v>192</v>
      </c>
    </row>
    <row r="98" spans="1:18" ht="17" customHeight="1" x14ac:dyDescent="0.15">
      <c r="A98" s="8" t="s">
        <v>525</v>
      </c>
      <c r="B98" s="9" t="s">
        <v>526</v>
      </c>
      <c r="C98" s="8" t="s">
        <v>527</v>
      </c>
      <c r="D98" s="8" t="s">
        <v>527</v>
      </c>
      <c r="E98" s="8" t="s">
        <v>528</v>
      </c>
      <c r="F98" s="8" t="s">
        <v>529</v>
      </c>
      <c r="G98" s="8" t="s">
        <v>530</v>
      </c>
      <c r="H98" s="8" t="s">
        <v>531</v>
      </c>
      <c r="I98" s="8" t="str">
        <f>HYPERLINK("http://www.miniconf.it/","www.miniconf.it")</f>
        <v>www.miniconf.it</v>
      </c>
      <c r="J98" s="10">
        <v>67635.203999999998</v>
      </c>
      <c r="K98" s="10">
        <v>67635.203999999998</v>
      </c>
      <c r="L98" s="10">
        <v>70080.843999999997</v>
      </c>
      <c r="M98" s="10">
        <v>884.822</v>
      </c>
      <c r="N98" s="10">
        <v>884.822</v>
      </c>
      <c r="O98" s="10">
        <v>1366.8150000000001</v>
      </c>
      <c r="P98" s="10">
        <v>281</v>
      </c>
      <c r="Q98" s="10">
        <v>281</v>
      </c>
      <c r="R98" s="10">
        <v>289</v>
      </c>
    </row>
    <row r="99" spans="1:18" ht="17" customHeight="1" x14ac:dyDescent="0.15">
      <c r="A99" s="11" t="s">
        <v>532</v>
      </c>
      <c r="B99" s="1" t="s">
        <v>533</v>
      </c>
      <c r="C99" s="11" t="s">
        <v>534</v>
      </c>
      <c r="D99" s="11" t="s">
        <v>534</v>
      </c>
      <c r="E99" s="11" t="s">
        <v>535</v>
      </c>
      <c r="F99" s="11" t="s">
        <v>529</v>
      </c>
      <c r="G99" s="11" t="s">
        <v>536</v>
      </c>
      <c r="H99" s="11" t="s">
        <v>537</v>
      </c>
      <c r="I99" s="11" t="str">
        <f>HYPERLINK("http://www.playtex.it/","www.playtex.it")</f>
        <v>www.playtex.it</v>
      </c>
      <c r="J99" s="12">
        <v>63494.538999999997</v>
      </c>
      <c r="K99" s="12">
        <v>63494.538999999997</v>
      </c>
      <c r="L99" s="13">
        <v>68760.948999999993</v>
      </c>
      <c r="M99" s="12">
        <v>593.23800000000006</v>
      </c>
      <c r="N99" s="12">
        <v>593.23800000000006</v>
      </c>
      <c r="O99" s="12">
        <v>120.491</v>
      </c>
      <c r="P99" s="12">
        <v>270</v>
      </c>
      <c r="Q99" s="12">
        <v>270</v>
      </c>
      <c r="R99" s="12">
        <v>296</v>
      </c>
    </row>
    <row r="100" spans="1:18" ht="29.5" customHeight="1" x14ac:dyDescent="0.15">
      <c r="A100" s="8" t="s">
        <v>538</v>
      </c>
      <c r="B100" s="9" t="s">
        <v>539</v>
      </c>
      <c r="C100" s="8" t="s">
        <v>540</v>
      </c>
      <c r="D100" s="8" t="s">
        <v>540</v>
      </c>
      <c r="E100" s="8" t="s">
        <v>541</v>
      </c>
      <c r="F100" s="8" t="s">
        <v>542</v>
      </c>
      <c r="G100" s="8" t="s">
        <v>543</v>
      </c>
      <c r="H100" s="8" t="s">
        <v>544</v>
      </c>
      <c r="I100" s="8" t="str">
        <f>HYPERLINK("http://pelletteriepalladio.it/","pelletteriepalladio.it")</f>
        <v>pelletteriepalladio.it</v>
      </c>
      <c r="J100" s="10">
        <v>72936.774000000005</v>
      </c>
      <c r="K100" s="10">
        <v>72936.774000000005</v>
      </c>
      <c r="L100" s="10">
        <v>68057.648000000001</v>
      </c>
      <c r="M100" s="10">
        <v>9042.4320000000007</v>
      </c>
      <c r="N100" s="10">
        <v>9042.4320000000007</v>
      </c>
      <c r="O100" s="10">
        <v>9262.8580000000002</v>
      </c>
      <c r="P100" s="10">
        <v>204</v>
      </c>
      <c r="Q100" s="10">
        <v>204</v>
      </c>
      <c r="R100" s="10">
        <v>172</v>
      </c>
    </row>
    <row r="101" spans="1:18" ht="17" customHeight="1" x14ac:dyDescent="0.15">
      <c r="A101" s="11" t="s">
        <v>545</v>
      </c>
      <c r="B101" s="1" t="s">
        <v>546</v>
      </c>
      <c r="C101" s="11" t="s">
        <v>547</v>
      </c>
      <c r="D101" s="11" t="s">
        <v>547</v>
      </c>
      <c r="E101" s="11" t="s">
        <v>548</v>
      </c>
      <c r="F101" s="11" t="s">
        <v>549</v>
      </c>
      <c r="G101" s="11" t="s">
        <v>550</v>
      </c>
      <c r="H101" s="11" t="s">
        <v>551</v>
      </c>
      <c r="I101" s="11" t="str">
        <f>HYPERLINK("http://www.italianshoes.com/","http://www.italianshoes.com")</f>
        <v>http://www.italianshoes.com</v>
      </c>
      <c r="J101" s="12">
        <v>68172.573000000004</v>
      </c>
      <c r="K101" s="12">
        <v>68172.573000000004</v>
      </c>
      <c r="L101" s="13">
        <v>67831.179999999993</v>
      </c>
      <c r="M101" s="12">
        <v>498.803</v>
      </c>
      <c r="N101" s="12">
        <v>498.803</v>
      </c>
      <c r="O101" s="12">
        <v>417.11099999999999</v>
      </c>
      <c r="P101" s="12">
        <v>226</v>
      </c>
      <c r="Q101" s="12">
        <v>226</v>
      </c>
      <c r="R101" s="12">
        <v>224</v>
      </c>
    </row>
    <row r="102" spans="1:18" ht="29.5" customHeight="1" x14ac:dyDescent="0.15">
      <c r="A102" s="8" t="s">
        <v>552</v>
      </c>
      <c r="B102" s="9" t="s">
        <v>553</v>
      </c>
      <c r="C102" s="8" t="s">
        <v>554</v>
      </c>
      <c r="D102" s="8" t="s">
        <v>554</v>
      </c>
      <c r="E102" s="8" t="s">
        <v>555</v>
      </c>
      <c r="F102" s="8" t="s">
        <v>556</v>
      </c>
      <c r="G102" s="8" t="s">
        <v>543</v>
      </c>
      <c r="H102" s="8" t="s">
        <v>544</v>
      </c>
      <c r="I102" s="8" t="str">
        <f>HYPERLINK("http://www.peserico.it/","www.peserico.it")</f>
        <v>www.peserico.it</v>
      </c>
      <c r="J102" s="10">
        <v>85922.493000000002</v>
      </c>
      <c r="K102" s="10">
        <v>85922.493000000002</v>
      </c>
      <c r="L102" s="10">
        <v>67551.426000000007</v>
      </c>
      <c r="M102" s="10">
        <v>12524.839</v>
      </c>
      <c r="N102" s="10">
        <v>12524.839</v>
      </c>
      <c r="O102" s="10">
        <v>8254.73</v>
      </c>
      <c r="P102" s="10">
        <v>136</v>
      </c>
      <c r="Q102" s="10">
        <v>136</v>
      </c>
      <c r="R102" s="10">
        <v>112</v>
      </c>
    </row>
    <row r="103" spans="1:18" ht="17" customHeight="1" x14ac:dyDescent="0.15">
      <c r="A103" s="11" t="s">
        <v>557</v>
      </c>
      <c r="B103" s="1" t="s">
        <v>558</v>
      </c>
      <c r="C103" s="11" t="s">
        <v>559</v>
      </c>
      <c r="D103" s="11" t="s">
        <v>559</v>
      </c>
      <c r="E103" s="11" t="s">
        <v>560</v>
      </c>
      <c r="F103" s="11" t="s">
        <v>561</v>
      </c>
      <c r="G103" s="11" t="s">
        <v>562</v>
      </c>
      <c r="H103" s="11" t="s">
        <v>537</v>
      </c>
      <c r="I103" s="11" t="str">
        <f>HYPERLINK("http://www.bonaudo.com/","http://www.bonaudo.com")</f>
        <v>http://www.bonaudo.com</v>
      </c>
      <c r="J103" s="12">
        <v>70694.976999999999</v>
      </c>
      <c r="K103" s="12">
        <v>70694.976999999999</v>
      </c>
      <c r="L103" s="13">
        <v>67229.59</v>
      </c>
      <c r="M103" s="12">
        <v>7283.2889999999998</v>
      </c>
      <c r="N103" s="12">
        <v>7283.2889999999998</v>
      </c>
      <c r="O103" s="12">
        <v>4547.192</v>
      </c>
      <c r="P103" s="12">
        <v>124</v>
      </c>
      <c r="Q103" s="12">
        <v>124</v>
      </c>
      <c r="R103" s="12">
        <v>118</v>
      </c>
    </row>
    <row r="104" spans="1:18" ht="29.5" customHeight="1" x14ac:dyDescent="0.15">
      <c r="A104" s="8" t="s">
        <v>563</v>
      </c>
      <c r="B104" s="9" t="s">
        <v>564</v>
      </c>
      <c r="C104" s="8" t="s">
        <v>565</v>
      </c>
      <c r="D104" s="8" t="s">
        <v>566</v>
      </c>
      <c r="E104" s="8" t="s">
        <v>567</v>
      </c>
      <c r="F104" s="8" t="s">
        <v>568</v>
      </c>
      <c r="G104" s="8" t="s">
        <v>569</v>
      </c>
      <c r="H104" s="8" t="s">
        <v>531</v>
      </c>
      <c r="I104" s="8" t="str">
        <f>HYPERLINK("http://www.incomitaly.com/","www.incomitaly.com")</f>
        <v>www.incomitaly.com</v>
      </c>
      <c r="J104" s="10">
        <v>70378.841</v>
      </c>
      <c r="K104" s="10">
        <v>70378.841</v>
      </c>
      <c r="L104" s="10">
        <v>64628.781000000003</v>
      </c>
      <c r="M104" s="10">
        <v>10113.477000000001</v>
      </c>
      <c r="N104" s="10">
        <v>10113.477000000001</v>
      </c>
      <c r="O104" s="10">
        <v>6500.3270000000002</v>
      </c>
      <c r="P104" s="10">
        <v>76</v>
      </c>
      <c r="Q104" s="10">
        <v>76</v>
      </c>
      <c r="R104" s="10">
        <v>70</v>
      </c>
    </row>
    <row r="105" spans="1:18" ht="17" customHeight="1" x14ac:dyDescent="0.15">
      <c r="A105" s="11" t="s">
        <v>570</v>
      </c>
      <c r="B105" s="1" t="s">
        <v>571</v>
      </c>
      <c r="C105" s="11" t="s">
        <v>572</v>
      </c>
      <c r="D105" s="11" t="s">
        <v>572</v>
      </c>
      <c r="E105" s="11" t="s">
        <v>573</v>
      </c>
      <c r="F105" s="11" t="s">
        <v>574</v>
      </c>
      <c r="G105" s="11" t="s">
        <v>575</v>
      </c>
      <c r="H105" s="11" t="s">
        <v>576</v>
      </c>
      <c r="I105" s="11" t="str">
        <f>HYPERLINK("http://www.errea.it/","www.errea.it")</f>
        <v>www.errea.it</v>
      </c>
      <c r="J105" s="12">
        <v>70032.553</v>
      </c>
      <c r="K105" s="12">
        <v>70032.553</v>
      </c>
      <c r="L105" s="13">
        <v>64002.951999999997</v>
      </c>
      <c r="M105" s="12">
        <v>4588.6980000000003</v>
      </c>
      <c r="N105" s="12">
        <v>4588.6980000000003</v>
      </c>
      <c r="O105" s="12">
        <v>3584.9789999999998</v>
      </c>
      <c r="P105" s="12">
        <v>139</v>
      </c>
      <c r="Q105" s="12">
        <v>139</v>
      </c>
      <c r="R105" s="12">
        <v>128</v>
      </c>
    </row>
    <row r="106" spans="1:18" ht="17" customHeight="1" x14ac:dyDescent="0.15">
      <c r="A106" s="8" t="s">
        <v>577</v>
      </c>
      <c r="B106" s="9" t="s">
        <v>578</v>
      </c>
      <c r="C106" s="8" t="s">
        <v>579</v>
      </c>
      <c r="D106" s="8" t="s">
        <v>580</v>
      </c>
      <c r="E106" s="8" t="s">
        <v>581</v>
      </c>
      <c r="F106" s="8" t="s">
        <v>561</v>
      </c>
      <c r="G106" s="8" t="s">
        <v>582</v>
      </c>
      <c r="H106" s="8" t="s">
        <v>583</v>
      </c>
      <c r="I106" s="8" t="str">
        <f>HYPERLINK("http://www.russodicasandrino.com/","www.russodicasandrino.com")</f>
        <v>www.russodicasandrino.com</v>
      </c>
      <c r="J106" s="10">
        <v>74274.301000000007</v>
      </c>
      <c r="K106" s="10">
        <v>74274.301000000007</v>
      </c>
      <c r="L106" s="10">
        <v>63525.764000000003</v>
      </c>
      <c r="M106" s="10">
        <v>4931.7479999999996</v>
      </c>
      <c r="N106" s="10">
        <v>4931.7479999999996</v>
      </c>
      <c r="O106" s="10">
        <v>5000.51</v>
      </c>
      <c r="P106" s="10">
        <v>135</v>
      </c>
      <c r="Q106" s="10">
        <v>135</v>
      </c>
      <c r="R106" s="10">
        <v>134</v>
      </c>
    </row>
    <row r="107" spans="1:18" ht="17" customHeight="1" x14ac:dyDescent="0.15">
      <c r="A107" s="11" t="s">
        <v>584</v>
      </c>
      <c r="B107" s="1" t="s">
        <v>585</v>
      </c>
      <c r="C107" s="11" t="s">
        <v>586</v>
      </c>
      <c r="D107" s="11" t="s">
        <v>586</v>
      </c>
      <c r="E107" s="11" t="s">
        <v>587</v>
      </c>
      <c r="F107" s="11" t="s">
        <v>588</v>
      </c>
      <c r="G107" s="11" t="s">
        <v>543</v>
      </c>
      <c r="H107" s="11" t="s">
        <v>544</v>
      </c>
      <c r="I107" s="11" t="str">
        <f>HYPERLINK("http://www.amfsnaps.com/","www.amfsnaps.com")</f>
        <v>www.amfsnaps.com</v>
      </c>
      <c r="J107" s="12">
        <v>65436.538999999997</v>
      </c>
      <c r="K107" s="12">
        <v>65436.538999999997</v>
      </c>
      <c r="L107" s="13">
        <v>63108.652999999998</v>
      </c>
      <c r="M107" s="12">
        <v>1779.68</v>
      </c>
      <c r="N107" s="12">
        <v>1779.68</v>
      </c>
      <c r="O107" s="12">
        <v>4762.4759999999997</v>
      </c>
      <c r="P107" s="12">
        <v>259</v>
      </c>
      <c r="Q107" s="12">
        <v>259</v>
      </c>
      <c r="R107" s="12">
        <v>234</v>
      </c>
    </row>
    <row r="108" spans="1:18" ht="29.5" customHeight="1" x14ac:dyDescent="0.15">
      <c r="A108" s="8" t="s">
        <v>589</v>
      </c>
      <c r="B108" s="9" t="s">
        <v>590</v>
      </c>
      <c r="C108" s="8" t="s">
        <v>591</v>
      </c>
      <c r="D108" s="8" t="s">
        <v>591</v>
      </c>
      <c r="E108" s="8" t="s">
        <v>592</v>
      </c>
      <c r="F108" s="8" t="s">
        <v>522</v>
      </c>
      <c r="G108" s="8" t="s">
        <v>593</v>
      </c>
      <c r="H108" s="8" t="s">
        <v>594</v>
      </c>
      <c r="I108" s="8" t="str">
        <f>HYPERLINK("http://shop.gransasso.it/","shop.gransasso.it")</f>
        <v>shop.gransasso.it</v>
      </c>
      <c r="J108" s="10">
        <v>75137.432000000001</v>
      </c>
      <c r="K108" s="10">
        <v>75137.432000000001</v>
      </c>
      <c r="L108" s="10">
        <v>62864.533000000003</v>
      </c>
      <c r="M108" s="10">
        <v>9781.6190000000006</v>
      </c>
      <c r="N108" s="10">
        <v>9781.6190000000006</v>
      </c>
      <c r="O108" s="10">
        <v>5698.7640000000001</v>
      </c>
      <c r="P108" s="10">
        <v>392</v>
      </c>
      <c r="Q108" s="10">
        <v>392</v>
      </c>
      <c r="R108" s="10">
        <v>333</v>
      </c>
    </row>
    <row r="109" spans="1:18" ht="29.5" customHeight="1" x14ac:dyDescent="0.15">
      <c r="A109" s="11" t="s">
        <v>595</v>
      </c>
      <c r="B109" s="1" t="s">
        <v>596</v>
      </c>
      <c r="C109" s="11" t="s">
        <v>597</v>
      </c>
      <c r="D109" s="11" t="s">
        <v>598</v>
      </c>
      <c r="E109" s="11" t="s">
        <v>599</v>
      </c>
      <c r="F109" s="11" t="s">
        <v>561</v>
      </c>
      <c r="G109" s="11" t="s">
        <v>543</v>
      </c>
      <c r="H109" s="11" t="s">
        <v>544</v>
      </c>
      <c r="I109" s="11" t="str">
        <f>HYPERLINK("http://www.gruppoperetti.com/","http://www.gruppoperetti.com")</f>
        <v>http://www.gruppoperetti.com</v>
      </c>
      <c r="J109" s="12">
        <v>50722.574000000001</v>
      </c>
      <c r="K109" s="12">
        <v>50722.574000000001</v>
      </c>
      <c r="L109" s="13">
        <v>61807.131000000001</v>
      </c>
      <c r="M109" s="12">
        <v>-841.16300000000001</v>
      </c>
      <c r="N109" s="12">
        <v>-841.16300000000001</v>
      </c>
      <c r="O109" s="12">
        <v>144.58799999999999</v>
      </c>
      <c r="P109" s="12">
        <v>217</v>
      </c>
      <c r="Q109" s="12">
        <v>217</v>
      </c>
      <c r="R109" s="12">
        <v>211</v>
      </c>
    </row>
    <row r="110" spans="1:18" ht="17" customHeight="1" x14ac:dyDescent="0.15">
      <c r="A110" s="8" t="s">
        <v>600</v>
      </c>
      <c r="B110" s="9" t="s">
        <v>601</v>
      </c>
      <c r="C110" s="8" t="s">
        <v>602</v>
      </c>
      <c r="D110" s="8" t="s">
        <v>602</v>
      </c>
      <c r="E110" s="8" t="s">
        <v>603</v>
      </c>
      <c r="F110" s="8" t="s">
        <v>556</v>
      </c>
      <c r="G110" s="8" t="s">
        <v>604</v>
      </c>
      <c r="H110" s="8" t="s">
        <v>551</v>
      </c>
      <c r="I110" s="8" t="str">
        <f>HYPERLINK("http://www.lardini.com/","www.lardini.com")</f>
        <v>www.lardini.com</v>
      </c>
      <c r="J110" s="10">
        <v>90607.630999999994</v>
      </c>
      <c r="K110" s="10">
        <v>90607.630999999994</v>
      </c>
      <c r="L110" s="10">
        <v>60192.981</v>
      </c>
      <c r="M110" s="10">
        <v>3251.5439999999999</v>
      </c>
      <c r="N110" s="10">
        <v>3251.5439999999999</v>
      </c>
      <c r="O110" s="10">
        <v>871.71100000000001</v>
      </c>
      <c r="P110" s="10">
        <v>394</v>
      </c>
      <c r="Q110" s="10">
        <v>394</v>
      </c>
      <c r="R110" s="10">
        <v>344</v>
      </c>
    </row>
    <row r="111" spans="1:18" ht="29.5" customHeight="1" x14ac:dyDescent="0.15">
      <c r="A111" s="11" t="s">
        <v>605</v>
      </c>
      <c r="B111" s="1" t="s">
        <v>606</v>
      </c>
      <c r="C111" s="11" t="s">
        <v>607</v>
      </c>
      <c r="D111" s="11" t="s">
        <v>607</v>
      </c>
      <c r="E111" s="11" t="s">
        <v>608</v>
      </c>
      <c r="F111" s="11" t="s">
        <v>556</v>
      </c>
      <c r="G111" s="11" t="s">
        <v>562</v>
      </c>
      <c r="H111" s="11" t="s">
        <v>537</v>
      </c>
      <c r="I111" s="11" t="str">
        <f>HYPERLINK("http://postcard.it/","postcard.it")</f>
        <v>postcard.it</v>
      </c>
      <c r="J111" s="12">
        <v>59634</v>
      </c>
      <c r="K111" s="12">
        <v>59634</v>
      </c>
      <c r="L111" s="13">
        <v>60122</v>
      </c>
      <c r="M111" s="12">
        <v>63</v>
      </c>
      <c r="N111" s="12">
        <v>63</v>
      </c>
      <c r="O111" s="12">
        <v>158</v>
      </c>
      <c r="P111" s="12">
        <v>38</v>
      </c>
      <c r="Q111" s="12">
        <v>38</v>
      </c>
      <c r="R111" s="12">
        <v>36</v>
      </c>
    </row>
    <row r="112" spans="1:18" ht="17" customHeight="1" x14ac:dyDescent="0.15">
      <c r="A112" s="8" t="s">
        <v>609</v>
      </c>
      <c r="B112" s="9" t="s">
        <v>610</v>
      </c>
      <c r="C112" s="8" t="s">
        <v>611</v>
      </c>
      <c r="D112" s="8" t="s">
        <v>611</v>
      </c>
      <c r="E112" s="8" t="s">
        <v>612</v>
      </c>
      <c r="F112" s="8" t="s">
        <v>542</v>
      </c>
      <c r="G112" s="8" t="s">
        <v>613</v>
      </c>
      <c r="H112" s="8" t="s">
        <v>614</v>
      </c>
      <c r="I112" s="8" t="str">
        <f>HYPERLINK("http://yub.it/","yub.it")</f>
        <v>yub.it</v>
      </c>
      <c r="J112" s="10">
        <v>66102.519</v>
      </c>
      <c r="K112" s="10">
        <v>66102.519</v>
      </c>
      <c r="L112" s="10">
        <v>58867.858999999997</v>
      </c>
      <c r="M112" s="10">
        <v>2767.0149999999999</v>
      </c>
      <c r="N112" s="10">
        <v>2767.0149999999999</v>
      </c>
      <c r="O112" s="10">
        <v>410.57499999999999</v>
      </c>
      <c r="P112" s="10">
        <v>89</v>
      </c>
      <c r="Q112" s="10">
        <v>89</v>
      </c>
      <c r="R112" s="10">
        <v>88</v>
      </c>
    </row>
    <row r="113" spans="1:18" ht="17" customHeight="1" x14ac:dyDescent="0.15">
      <c r="A113" s="11" t="s">
        <v>615</v>
      </c>
      <c r="B113" s="1" t="s">
        <v>616</v>
      </c>
      <c r="C113" s="11" t="s">
        <v>617</v>
      </c>
      <c r="D113" s="11" t="s">
        <v>617</v>
      </c>
      <c r="E113" s="11" t="s">
        <v>618</v>
      </c>
      <c r="F113" s="11" t="s">
        <v>522</v>
      </c>
      <c r="G113" s="11" t="s">
        <v>619</v>
      </c>
      <c r="H113" s="11" t="s">
        <v>576</v>
      </c>
      <c r="I113" s="11" t="str">
        <f>HYPERLINK("http://www.abrahamindustries.it/","www.abrahamindustries.it")</f>
        <v>www.abrahamindustries.it</v>
      </c>
      <c r="J113" s="12">
        <v>70471.423999999999</v>
      </c>
      <c r="K113" s="12">
        <v>70471.423999999999</v>
      </c>
      <c r="L113" s="13">
        <v>58153.942999999999</v>
      </c>
      <c r="M113" s="12">
        <v>3677.4760000000001</v>
      </c>
      <c r="N113" s="12">
        <v>3677.4760000000001</v>
      </c>
      <c r="O113" s="12">
        <v>2743.1489999999999</v>
      </c>
      <c r="P113" s="12">
        <v>186</v>
      </c>
      <c r="Q113" s="12">
        <v>186</v>
      </c>
      <c r="R113" s="12">
        <v>163</v>
      </c>
    </row>
    <row r="114" spans="1:18" ht="17" customHeight="1" x14ac:dyDescent="0.15">
      <c r="A114" s="8" t="s">
        <v>620</v>
      </c>
      <c r="B114" s="9" t="s">
        <v>621</v>
      </c>
      <c r="C114" s="8" t="s">
        <v>622</v>
      </c>
      <c r="D114" s="8" t="s">
        <v>622</v>
      </c>
      <c r="E114" s="8" t="s">
        <v>623</v>
      </c>
      <c r="F114" s="8" t="s">
        <v>549</v>
      </c>
      <c r="G114" s="8" t="s">
        <v>624</v>
      </c>
      <c r="H114" s="8" t="s">
        <v>544</v>
      </c>
      <c r="I114" s="8" t="str">
        <f>HYPERLINK("http://www.calzaturificiojumbo.it/","www.calzaturificiojumbo.it")</f>
        <v>www.calzaturificiojumbo.it</v>
      </c>
      <c r="J114" s="10">
        <v>36497.398000000001</v>
      </c>
      <c r="K114" s="10">
        <v>36497.398000000001</v>
      </c>
      <c r="L114" s="10">
        <v>58053.752999999997</v>
      </c>
      <c r="M114" s="10">
        <v>2644.9670000000001</v>
      </c>
      <c r="N114" s="10">
        <v>2644.9670000000001</v>
      </c>
      <c r="O114" s="10">
        <v>7902.7039999999997</v>
      </c>
      <c r="P114" s="10">
        <v>106</v>
      </c>
      <c r="Q114" s="10">
        <v>106</v>
      </c>
      <c r="R114" s="10">
        <v>106</v>
      </c>
    </row>
    <row r="115" spans="1:18" ht="17" customHeight="1" x14ac:dyDescent="0.15">
      <c r="A115" s="11" t="s">
        <v>625</v>
      </c>
      <c r="B115" s="1" t="s">
        <v>626</v>
      </c>
      <c r="C115" s="11" t="s">
        <v>627</v>
      </c>
      <c r="D115" s="11" t="s">
        <v>627</v>
      </c>
      <c r="E115" s="11" t="s">
        <v>628</v>
      </c>
      <c r="F115" s="11" t="s">
        <v>629</v>
      </c>
      <c r="G115" s="11" t="s">
        <v>630</v>
      </c>
      <c r="H115" s="11" t="s">
        <v>551</v>
      </c>
      <c r="I115" s="11" t="str">
        <f>HYPERLINK("http://www.eurosuole.com/","www.eurosuole.com")</f>
        <v>www.eurosuole.com</v>
      </c>
      <c r="J115" s="12">
        <v>49116.652000000002</v>
      </c>
      <c r="K115" s="12">
        <v>49116.652000000002</v>
      </c>
      <c r="L115" s="13">
        <v>57466.817999999999</v>
      </c>
      <c r="M115" s="12">
        <v>4637.9480000000003</v>
      </c>
      <c r="N115" s="12">
        <v>4637.9480000000003</v>
      </c>
      <c r="O115" s="12">
        <v>4159.57</v>
      </c>
      <c r="P115" s="12">
        <v>240</v>
      </c>
      <c r="Q115" s="12">
        <v>240</v>
      </c>
      <c r="R115" s="12">
        <v>240</v>
      </c>
    </row>
    <row r="116" spans="1:18" ht="17" customHeight="1" x14ac:dyDescent="0.15">
      <c r="A116" s="8" t="s">
        <v>631</v>
      </c>
      <c r="B116" s="9" t="s">
        <v>632</v>
      </c>
      <c r="C116" s="8" t="s">
        <v>633</v>
      </c>
      <c r="D116" s="8" t="s">
        <v>633</v>
      </c>
      <c r="E116" s="8" t="s">
        <v>634</v>
      </c>
      <c r="F116" s="8" t="s">
        <v>556</v>
      </c>
      <c r="G116" s="8" t="s">
        <v>562</v>
      </c>
      <c r="H116" s="8" t="s">
        <v>537</v>
      </c>
      <c r="I116" s="8" t="str">
        <f>HYPERLINK("http://www.dondupville.com/","www.dondupville.com")</f>
        <v>www.dondupville.com</v>
      </c>
      <c r="J116" s="10">
        <v>65049.396999999997</v>
      </c>
      <c r="K116" s="10">
        <v>63094.330999999998</v>
      </c>
      <c r="L116" s="10">
        <v>56164.750999999997</v>
      </c>
      <c r="M116" s="10">
        <v>8360.6869999999999</v>
      </c>
      <c r="N116" s="10">
        <v>7141.6329999999998</v>
      </c>
      <c r="O116" s="10">
        <v>4585.7569999999996</v>
      </c>
      <c r="P116" s="10">
        <v>129</v>
      </c>
      <c r="Q116" s="10">
        <v>129</v>
      </c>
      <c r="R116" s="10">
        <v>117</v>
      </c>
    </row>
    <row r="117" spans="1:18" ht="17" customHeight="1" x14ac:dyDescent="0.15">
      <c r="A117" s="11" t="s">
        <v>635</v>
      </c>
      <c r="B117" s="1" t="s">
        <v>636</v>
      </c>
      <c r="C117" s="11" t="s">
        <v>637</v>
      </c>
      <c r="D117" s="11" t="s">
        <v>637</v>
      </c>
      <c r="E117" s="11" t="s">
        <v>638</v>
      </c>
      <c r="F117" s="11" t="s">
        <v>549</v>
      </c>
      <c r="G117" s="11" t="s">
        <v>624</v>
      </c>
      <c r="H117" s="11" t="s">
        <v>544</v>
      </c>
      <c r="I117" s="11" t="str">
        <f>HYPERLINK("http://www.olipoutlet.com/","www.olipoutlet.com")</f>
        <v>www.olipoutlet.com</v>
      </c>
      <c r="J117" s="12">
        <v>37948.506000000001</v>
      </c>
      <c r="K117" s="12">
        <v>37948.506000000001</v>
      </c>
      <c r="L117" s="13">
        <v>55932.756000000001</v>
      </c>
      <c r="M117" s="12">
        <v>-16003.88</v>
      </c>
      <c r="N117" s="12">
        <v>-16003.88</v>
      </c>
      <c r="O117" s="12">
        <v>106.075</v>
      </c>
      <c r="P117" s="12">
        <v>83</v>
      </c>
      <c r="Q117" s="12">
        <v>83</v>
      </c>
      <c r="R117" s="12">
        <v>94</v>
      </c>
    </row>
    <row r="118" spans="1:18" ht="17" customHeight="1" x14ac:dyDescent="0.15">
      <c r="A118" s="8" t="s">
        <v>639</v>
      </c>
      <c r="B118" s="9" t="s">
        <v>640</v>
      </c>
      <c r="C118" s="8" t="s">
        <v>641</v>
      </c>
      <c r="D118" s="8" t="s">
        <v>641</v>
      </c>
      <c r="E118" s="8" t="s">
        <v>642</v>
      </c>
      <c r="F118" s="8" t="s">
        <v>568</v>
      </c>
      <c r="G118" s="8" t="s">
        <v>643</v>
      </c>
      <c r="H118" s="8" t="s">
        <v>614</v>
      </c>
      <c r="I118" s="8" t="str">
        <f>HYPERLINK("http://idexe.com/","idexe.com")</f>
        <v>idexe.com</v>
      </c>
      <c r="J118" s="10">
        <v>48700.555999999997</v>
      </c>
      <c r="K118" s="10">
        <v>48700.555999999997</v>
      </c>
      <c r="L118" s="10">
        <v>54807.078999999998</v>
      </c>
      <c r="M118" s="10">
        <v>-2938.3580000000002</v>
      </c>
      <c r="N118" s="10">
        <v>-2938.3580000000002</v>
      </c>
      <c r="O118" s="10">
        <v>-721.78599999999994</v>
      </c>
      <c r="P118" s="10">
        <v>458</v>
      </c>
      <c r="Q118" s="10">
        <v>458</v>
      </c>
      <c r="R118" s="10">
        <v>478</v>
      </c>
    </row>
    <row r="119" spans="1:18" ht="17" customHeight="1" x14ac:dyDescent="0.15">
      <c r="A119" s="11" t="s">
        <v>644</v>
      </c>
      <c r="B119" s="1" t="s">
        <v>645</v>
      </c>
      <c r="C119" s="11" t="s">
        <v>646</v>
      </c>
      <c r="D119" s="11" t="s">
        <v>646</v>
      </c>
      <c r="E119" s="11" t="s">
        <v>647</v>
      </c>
      <c r="F119" s="11" t="s">
        <v>561</v>
      </c>
      <c r="G119" s="11" t="s">
        <v>648</v>
      </c>
      <c r="H119" s="11" t="s">
        <v>531</v>
      </c>
      <c r="I119" s="11" t="str">
        <f>HYPERLINK("http://www.conceriamarbella.it/","www.conceriamarbella.it")</f>
        <v>www.conceriamarbella.it</v>
      </c>
      <c r="J119" s="12">
        <v>51579.792999999998</v>
      </c>
      <c r="K119" s="12">
        <v>51579.792999999998</v>
      </c>
      <c r="L119" s="13">
        <v>54639.487999999998</v>
      </c>
      <c r="M119" s="12">
        <v>899.35699999999997</v>
      </c>
      <c r="N119" s="12">
        <v>899.35699999999997</v>
      </c>
      <c r="O119" s="12">
        <v>766.45600000000002</v>
      </c>
      <c r="P119" s="12">
        <v>121</v>
      </c>
      <c r="Q119" s="12">
        <v>121</v>
      </c>
      <c r="R119" s="12">
        <v>111</v>
      </c>
    </row>
    <row r="120" spans="1:18" ht="17" customHeight="1" x14ac:dyDescent="0.15">
      <c r="A120" s="8" t="s">
        <v>649</v>
      </c>
      <c r="B120" s="9" t="s">
        <v>650</v>
      </c>
      <c r="C120" s="8" t="s">
        <v>651</v>
      </c>
      <c r="D120" s="8" t="s">
        <v>652</v>
      </c>
      <c r="E120" s="8" t="s">
        <v>653</v>
      </c>
      <c r="F120" s="8" t="s">
        <v>549</v>
      </c>
      <c r="G120" s="8" t="s">
        <v>654</v>
      </c>
      <c r="H120" s="8" t="s">
        <v>576</v>
      </c>
      <c r="I120" s="8" t="str">
        <f>HYPERLINK("http://www.berluti.com/","http://www.berluti.com")</f>
        <v>http://www.berluti.com</v>
      </c>
      <c r="J120" s="10">
        <v>77399.929999999993</v>
      </c>
      <c r="K120" s="10">
        <v>77399.929999999993</v>
      </c>
      <c r="L120" s="10">
        <v>54045.05</v>
      </c>
      <c r="M120" s="10">
        <v>1483.5840000000001</v>
      </c>
      <c r="N120" s="10">
        <v>1483.5840000000001</v>
      </c>
      <c r="O120" s="10">
        <v>2680.0259999999998</v>
      </c>
      <c r="P120" s="10">
        <v>366</v>
      </c>
      <c r="Q120" s="10">
        <v>366</v>
      </c>
      <c r="R120" s="10">
        <v>311</v>
      </c>
    </row>
    <row r="121" spans="1:18" ht="17" customHeight="1" x14ac:dyDescent="0.15">
      <c r="A121" s="11" t="s">
        <v>655</v>
      </c>
      <c r="B121" s="1" t="s">
        <v>656</v>
      </c>
      <c r="C121" s="11" t="s">
        <v>657</v>
      </c>
      <c r="D121" s="11" t="s">
        <v>657</v>
      </c>
      <c r="E121" s="11" t="s">
        <v>658</v>
      </c>
      <c r="F121" s="11" t="s">
        <v>556</v>
      </c>
      <c r="G121" s="11" t="s">
        <v>659</v>
      </c>
      <c r="H121" s="11" t="s">
        <v>594</v>
      </c>
      <c r="I121" s="11" t="str">
        <f>HYPERLINK("http://www.brioni.it/","http://www.brioni.it")</f>
        <v>http://www.brioni.it</v>
      </c>
      <c r="J121" s="12">
        <v>58197.69</v>
      </c>
      <c r="K121" s="12">
        <v>58197.69</v>
      </c>
      <c r="L121" s="13">
        <v>53524.116000000002</v>
      </c>
      <c r="M121" s="12">
        <v>-96.045000000000002</v>
      </c>
      <c r="N121" s="12">
        <v>-96.045000000000002</v>
      </c>
      <c r="O121" s="12">
        <v>-80.831000000000003</v>
      </c>
      <c r="P121" s="12">
        <v>768</v>
      </c>
      <c r="Q121" s="12">
        <v>768</v>
      </c>
      <c r="R121" s="12">
        <v>991</v>
      </c>
    </row>
    <row r="122" spans="1:18" ht="17" customHeight="1" x14ac:dyDescent="0.15">
      <c r="A122" s="8" t="s">
        <v>660</v>
      </c>
      <c r="B122" s="9" t="s">
        <v>661</v>
      </c>
      <c r="C122" s="8" t="s">
        <v>662</v>
      </c>
      <c r="D122" s="8" t="s">
        <v>662</v>
      </c>
      <c r="E122" s="8" t="s">
        <v>663</v>
      </c>
      <c r="F122" s="8" t="s">
        <v>574</v>
      </c>
      <c r="G122" s="8" t="s">
        <v>543</v>
      </c>
      <c r="H122" s="8" t="s">
        <v>544</v>
      </c>
      <c r="I122" s="8" t="str">
        <f>HYPERLINK("http://www.montura.com/","www.montura.com")</f>
        <v>www.montura.com</v>
      </c>
      <c r="J122" s="10">
        <v>50534.732000000004</v>
      </c>
      <c r="K122" s="10">
        <v>50534.732000000004</v>
      </c>
      <c r="L122" s="10">
        <v>52848.017</v>
      </c>
      <c r="M122" s="10">
        <v>-2172.0230000000001</v>
      </c>
      <c r="N122" s="10">
        <v>-2172.0230000000001</v>
      </c>
      <c r="O122" s="10">
        <v>3207.8359999999998</v>
      </c>
      <c r="P122" s="10">
        <v>90</v>
      </c>
      <c r="Q122" s="10">
        <v>90</v>
      </c>
      <c r="R122" s="10">
        <v>84</v>
      </c>
    </row>
    <row r="123" spans="1:18" ht="17" customHeight="1" x14ac:dyDescent="0.15">
      <c r="A123" s="11" t="s">
        <v>664</v>
      </c>
      <c r="B123" s="1" t="s">
        <v>665</v>
      </c>
      <c r="C123" s="11" t="s">
        <v>666</v>
      </c>
      <c r="D123" s="11" t="s">
        <v>667</v>
      </c>
      <c r="E123" s="11" t="s">
        <v>668</v>
      </c>
      <c r="F123" s="11" t="s">
        <v>549</v>
      </c>
      <c r="G123" s="11" t="s">
        <v>669</v>
      </c>
      <c r="H123" s="11" t="s">
        <v>544</v>
      </c>
      <c r="I123" s="11" t="str">
        <f>HYPERLINK("http://lottosport.com/","lottosport.com")</f>
        <v>lottosport.com</v>
      </c>
      <c r="J123" s="12">
        <v>40128</v>
      </c>
      <c r="K123" s="12">
        <v>40128</v>
      </c>
      <c r="L123" s="13">
        <v>52485</v>
      </c>
      <c r="M123" s="12">
        <v>-6868</v>
      </c>
      <c r="N123" s="12">
        <v>-6868</v>
      </c>
      <c r="O123" s="12">
        <v>-6857</v>
      </c>
      <c r="P123" s="12">
        <v>109</v>
      </c>
      <c r="Q123" s="12">
        <v>109</v>
      </c>
      <c r="R123" s="12">
        <v>126</v>
      </c>
    </row>
    <row r="124" spans="1:18" ht="17" customHeight="1" x14ac:dyDescent="0.15">
      <c r="A124" s="8" t="s">
        <v>670</v>
      </c>
      <c r="B124" s="9" t="s">
        <v>671</v>
      </c>
      <c r="C124" s="8" t="s">
        <v>672</v>
      </c>
      <c r="D124" s="8" t="s">
        <v>672</v>
      </c>
      <c r="E124" s="8" t="s">
        <v>673</v>
      </c>
      <c r="F124" s="8" t="s">
        <v>588</v>
      </c>
      <c r="G124" s="8" t="s">
        <v>674</v>
      </c>
      <c r="H124" s="8" t="s">
        <v>537</v>
      </c>
      <c r="I124" s="8" t="str">
        <f>HYPERLINK("http://www.gentilimosconi.it/","www.gentilimosconi.it")</f>
        <v>www.gentilimosconi.it</v>
      </c>
      <c r="J124" s="10">
        <v>50090.55</v>
      </c>
      <c r="K124" s="10">
        <v>50090.55</v>
      </c>
      <c r="L124" s="10">
        <v>52462.885999999999</v>
      </c>
      <c r="M124" s="10">
        <v>4093.2930000000001</v>
      </c>
      <c r="N124" s="10">
        <v>4093.2930000000001</v>
      </c>
      <c r="O124" s="10">
        <v>5549.0259999999998</v>
      </c>
      <c r="P124" s="10">
        <v>107</v>
      </c>
      <c r="Q124" s="10">
        <v>107</v>
      </c>
      <c r="R124" s="10">
        <v>103</v>
      </c>
    </row>
    <row r="125" spans="1:18" ht="17" customHeight="1" x14ac:dyDescent="0.15">
      <c r="A125" s="11" t="s">
        <v>675</v>
      </c>
      <c r="B125" s="1" t="s">
        <v>676</v>
      </c>
      <c r="C125" s="11" t="s">
        <v>677</v>
      </c>
      <c r="D125" s="11" t="s">
        <v>678</v>
      </c>
      <c r="E125" s="11" t="s">
        <v>679</v>
      </c>
      <c r="F125" s="11" t="s">
        <v>680</v>
      </c>
      <c r="G125" s="11" t="s">
        <v>681</v>
      </c>
      <c r="H125" s="11" t="s">
        <v>537</v>
      </c>
      <c r="I125" s="11" t="str">
        <f>HYPERLINK("http://www.pompea.com/","www.pompea.com")</f>
        <v>www.pompea.com</v>
      </c>
      <c r="J125" s="12">
        <v>49809.792000000001</v>
      </c>
      <c r="K125" s="12">
        <v>49809.792000000001</v>
      </c>
      <c r="L125" s="13">
        <v>52273.097000000002</v>
      </c>
      <c r="M125" s="12">
        <v>-1028.701</v>
      </c>
      <c r="N125" s="12">
        <v>-1028.701</v>
      </c>
      <c r="O125" s="12">
        <v>-2346.2060000000001</v>
      </c>
      <c r="P125" s="12">
        <v>224</v>
      </c>
      <c r="Q125" s="12">
        <v>224</v>
      </c>
      <c r="R125" s="12">
        <v>254</v>
      </c>
    </row>
    <row r="126" spans="1:18" ht="17" customHeight="1" x14ac:dyDescent="0.15">
      <c r="A126" s="8" t="s">
        <v>682</v>
      </c>
      <c r="B126" s="9" t="s">
        <v>683</v>
      </c>
      <c r="C126" s="8" t="s">
        <v>684</v>
      </c>
      <c r="D126" s="8" t="s">
        <v>684</v>
      </c>
      <c r="E126" s="8" t="s">
        <v>685</v>
      </c>
      <c r="F126" s="8" t="s">
        <v>556</v>
      </c>
      <c r="G126" s="8" t="s">
        <v>562</v>
      </c>
      <c r="H126" s="8" t="s">
        <v>537</v>
      </c>
      <c r="I126" s="8" t="str">
        <f>HYPERLINK("http://www.alvieromartini.it/","www.alvieromartini.it")</f>
        <v>www.alvieromartini.it</v>
      </c>
      <c r="J126" s="10">
        <v>54466.631000000001</v>
      </c>
      <c r="K126" s="10">
        <v>54466.631000000001</v>
      </c>
      <c r="L126" s="10">
        <v>51779.377</v>
      </c>
      <c r="M126" s="10">
        <v>4312.6670000000004</v>
      </c>
      <c r="N126" s="10">
        <v>4312.6670000000004</v>
      </c>
      <c r="O126" s="10">
        <v>3304.2109999999998</v>
      </c>
      <c r="P126" s="10">
        <v>90</v>
      </c>
      <c r="Q126" s="10">
        <v>90</v>
      </c>
      <c r="R126" s="10">
        <v>87</v>
      </c>
    </row>
    <row r="127" spans="1:18" ht="29.5" customHeight="1" x14ac:dyDescent="0.15">
      <c r="A127" s="11" t="s">
        <v>686</v>
      </c>
      <c r="B127" s="1" t="s">
        <v>687</v>
      </c>
      <c r="C127" s="11" t="s">
        <v>688</v>
      </c>
      <c r="D127" s="11" t="s">
        <v>688</v>
      </c>
      <c r="E127" s="11" t="s">
        <v>689</v>
      </c>
      <c r="F127" s="11" t="s">
        <v>561</v>
      </c>
      <c r="G127" s="11" t="s">
        <v>648</v>
      </c>
      <c r="H127" s="11" t="s">
        <v>531</v>
      </c>
      <c r="I127" s="11" t="str">
        <f>HYPERLINK("http://www.masonispa.com/","www.masonispa.com")</f>
        <v>www.masonispa.com</v>
      </c>
      <c r="J127" s="12">
        <v>51790.652999999998</v>
      </c>
      <c r="K127" s="12">
        <v>51790.652999999998</v>
      </c>
      <c r="L127" s="13">
        <v>51737.364999999998</v>
      </c>
      <c r="M127" s="12">
        <v>5510.6120000000001</v>
      </c>
      <c r="N127" s="12">
        <v>5510.6120000000001</v>
      </c>
      <c r="O127" s="12">
        <v>6681.9049999999997</v>
      </c>
      <c r="P127" s="12">
        <v>64</v>
      </c>
      <c r="Q127" s="12">
        <v>64</v>
      </c>
      <c r="R127" s="12">
        <v>61</v>
      </c>
    </row>
    <row r="128" spans="1:18" ht="17" customHeight="1" x14ac:dyDescent="0.15">
      <c r="A128" s="8" t="s">
        <v>690</v>
      </c>
      <c r="B128" s="9" t="s">
        <v>691</v>
      </c>
      <c r="C128" s="8" t="s">
        <v>692</v>
      </c>
      <c r="D128" s="8" t="s">
        <v>692</v>
      </c>
      <c r="E128" s="8" t="s">
        <v>693</v>
      </c>
      <c r="F128" s="8" t="s">
        <v>568</v>
      </c>
      <c r="G128" s="8" t="s">
        <v>694</v>
      </c>
      <c r="H128" s="8" t="s">
        <v>531</v>
      </c>
      <c r="I128" s="8" t="str">
        <f>HYPERLINK("http://ermannoscervino.com/","ermannoscervino.com")</f>
        <v>ermannoscervino.com</v>
      </c>
      <c r="J128" s="10">
        <v>57686.016000000003</v>
      </c>
      <c r="K128" s="10">
        <v>57686.016000000003</v>
      </c>
      <c r="L128" s="10">
        <v>51345.673000000003</v>
      </c>
      <c r="M128" s="10">
        <v>-2626.5079999999998</v>
      </c>
      <c r="N128" s="10">
        <v>-2626.5079999999998</v>
      </c>
      <c r="O128" s="10">
        <v>-4068.0279999999998</v>
      </c>
      <c r="P128" s="10">
        <v>201</v>
      </c>
      <c r="Q128" s="10">
        <v>201</v>
      </c>
      <c r="R128" s="10">
        <v>190</v>
      </c>
    </row>
    <row r="129" spans="1:18" ht="17" customHeight="1" x14ac:dyDescent="0.15">
      <c r="A129" s="11" t="s">
        <v>695</v>
      </c>
      <c r="B129" s="1" t="s">
        <v>696</v>
      </c>
      <c r="C129" s="11" t="s">
        <v>697</v>
      </c>
      <c r="D129" s="11" t="s">
        <v>697</v>
      </c>
      <c r="E129" s="11" t="s">
        <v>698</v>
      </c>
      <c r="F129" s="11" t="s">
        <v>699</v>
      </c>
      <c r="G129" s="11" t="s">
        <v>700</v>
      </c>
      <c r="H129" s="11" t="s">
        <v>701</v>
      </c>
      <c r="I129" s="11" t="str">
        <f>HYPERLINK("http://www.baseprotection.de/","www.baseprotection.de")</f>
        <v>www.baseprotection.de</v>
      </c>
      <c r="J129" s="12">
        <v>53667.396000000001</v>
      </c>
      <c r="K129" s="12">
        <v>53667.396000000001</v>
      </c>
      <c r="L129" s="13">
        <v>51207.017999999996</v>
      </c>
      <c r="M129" s="12">
        <v>3801.5140000000001</v>
      </c>
      <c r="N129" s="12">
        <v>3801.5140000000001</v>
      </c>
      <c r="O129" s="12">
        <v>4409.18</v>
      </c>
      <c r="P129" s="12">
        <v>84</v>
      </c>
      <c r="Q129" s="12">
        <v>84</v>
      </c>
      <c r="R129" s="12">
        <v>79</v>
      </c>
    </row>
    <row r="130" spans="1:18" ht="43" customHeight="1" x14ac:dyDescent="0.15">
      <c r="A130" s="8" t="s">
        <v>702</v>
      </c>
      <c r="B130" s="9" t="s">
        <v>703</v>
      </c>
      <c r="C130" s="8" t="s">
        <v>704</v>
      </c>
      <c r="D130" s="8" t="s">
        <v>704</v>
      </c>
      <c r="E130" s="8" t="s">
        <v>705</v>
      </c>
      <c r="F130" s="8" t="s">
        <v>706</v>
      </c>
      <c r="G130" s="8" t="s">
        <v>707</v>
      </c>
      <c r="H130" s="8" t="s">
        <v>708</v>
      </c>
      <c r="I130" s="8" t="str">
        <f>HYPERLINK("http://www.cuoioditoscana.it/","www.cuoioditoscana.it")</f>
        <v>www.cuoioditoscana.it</v>
      </c>
      <c r="J130" s="10">
        <v>43637.178</v>
      </c>
      <c r="K130" s="10">
        <v>43637.178</v>
      </c>
      <c r="L130" s="10">
        <v>50671.817999999999</v>
      </c>
      <c r="M130" s="10">
        <v>6783.232</v>
      </c>
      <c r="N130" s="10">
        <v>6783.232</v>
      </c>
      <c r="O130" s="10">
        <v>6207.5829999999996</v>
      </c>
      <c r="P130" s="10">
        <v>92</v>
      </c>
      <c r="Q130" s="10">
        <v>92</v>
      </c>
      <c r="R130" s="10">
        <v>89</v>
      </c>
    </row>
    <row r="131" spans="1:18" ht="29.5" customHeight="1" x14ac:dyDescent="0.15">
      <c r="A131" s="11" t="s">
        <v>709</v>
      </c>
      <c r="B131" s="1" t="s">
        <v>710</v>
      </c>
      <c r="C131" s="11" t="s">
        <v>711</v>
      </c>
      <c r="D131" s="11" t="s">
        <v>711</v>
      </c>
      <c r="E131" s="11" t="s">
        <v>712</v>
      </c>
      <c r="F131" s="11" t="s">
        <v>699</v>
      </c>
      <c r="G131" s="11" t="s">
        <v>713</v>
      </c>
      <c r="H131" s="11" t="s">
        <v>714</v>
      </c>
      <c r="I131" s="11" t="str">
        <f>HYPERLINK("http://www.nillab.it/","www.nillab.it")</f>
        <v>www.nillab.it</v>
      </c>
      <c r="J131" s="12">
        <v>58639.716999999997</v>
      </c>
      <c r="K131" s="12">
        <v>58639.716999999997</v>
      </c>
      <c r="L131" s="13">
        <v>50634.245999999999</v>
      </c>
      <c r="M131" s="12">
        <v>-176.51499999999999</v>
      </c>
      <c r="N131" s="12">
        <v>-176.51499999999999</v>
      </c>
      <c r="O131" s="12">
        <v>-133.52199999999999</v>
      </c>
      <c r="P131" s="12">
        <v>200</v>
      </c>
      <c r="Q131" s="12">
        <v>200</v>
      </c>
      <c r="R131" s="12">
        <v>185</v>
      </c>
    </row>
    <row r="132" spans="1:18" ht="17" customHeight="1" x14ac:dyDescent="0.15">
      <c r="A132" s="8" t="s">
        <v>715</v>
      </c>
      <c r="B132" s="9" t="s">
        <v>716</v>
      </c>
      <c r="C132" s="8" t="s">
        <v>717</v>
      </c>
      <c r="D132" s="8" t="s">
        <v>717</v>
      </c>
      <c r="E132" s="8" t="s">
        <v>718</v>
      </c>
      <c r="F132" s="8" t="s">
        <v>719</v>
      </c>
      <c r="G132" s="8" t="s">
        <v>720</v>
      </c>
      <c r="H132" s="8" t="s">
        <v>708</v>
      </c>
      <c r="I132" s="8" t="str">
        <f>HYPERLINK("http://www.unomaglia.it/","www.unomaglia.it")</f>
        <v>www.unomaglia.it</v>
      </c>
      <c r="J132" s="10">
        <v>46025.4</v>
      </c>
      <c r="K132" s="10">
        <v>46025.4</v>
      </c>
      <c r="L132" s="10">
        <v>50386.962</v>
      </c>
      <c r="M132" s="10">
        <v>4930.93</v>
      </c>
      <c r="N132" s="10">
        <v>4930.93</v>
      </c>
      <c r="O132" s="10">
        <v>6899.567</v>
      </c>
      <c r="P132" s="10">
        <v>122</v>
      </c>
      <c r="Q132" s="10">
        <v>122</v>
      </c>
      <c r="R132" s="10">
        <v>114</v>
      </c>
    </row>
    <row r="133" spans="1:18" ht="17" customHeight="1" x14ac:dyDescent="0.15">
      <c r="A133" s="11" t="s">
        <v>721</v>
      </c>
      <c r="B133" s="1" t="s">
        <v>722</v>
      </c>
      <c r="C133" s="11" t="s">
        <v>723</v>
      </c>
      <c r="D133" s="11" t="s">
        <v>723</v>
      </c>
      <c r="E133" s="11" t="s">
        <v>724</v>
      </c>
      <c r="F133" s="11" t="s">
        <v>706</v>
      </c>
      <c r="G133" s="11" t="s">
        <v>725</v>
      </c>
      <c r="H133" s="11" t="s">
        <v>714</v>
      </c>
      <c r="I133" s="11" t="str">
        <f>HYPERLINK("http://www.sirp.com/","http://www.sirp.com")</f>
        <v>http://www.sirp.com</v>
      </c>
      <c r="J133" s="12">
        <v>29578.89</v>
      </c>
      <c r="K133" s="12">
        <v>29578.89</v>
      </c>
      <c r="L133" s="13">
        <v>49893.667000000001</v>
      </c>
      <c r="M133" s="12">
        <v>-6815.1760000000004</v>
      </c>
      <c r="N133" s="12">
        <v>-6815.1760000000004</v>
      </c>
      <c r="O133" s="12">
        <v>108.408</v>
      </c>
      <c r="P133" s="12">
        <v>152</v>
      </c>
      <c r="Q133" s="12">
        <v>152</v>
      </c>
      <c r="R133" s="12">
        <v>165</v>
      </c>
    </row>
    <row r="134" spans="1:18" ht="17" customHeight="1" x14ac:dyDescent="0.15">
      <c r="A134" s="8" t="s">
        <v>726</v>
      </c>
      <c r="B134" s="9" t="s">
        <v>727</v>
      </c>
      <c r="C134" s="8" t="s">
        <v>728</v>
      </c>
      <c r="D134" s="8" t="s">
        <v>728</v>
      </c>
      <c r="E134" s="8" t="s">
        <v>729</v>
      </c>
      <c r="F134" s="8" t="s">
        <v>706</v>
      </c>
      <c r="G134" s="8" t="s">
        <v>707</v>
      </c>
      <c r="H134" s="8" t="s">
        <v>708</v>
      </c>
      <c r="I134" s="8" t="str">
        <f>HYPERLINK("http://www.antiba.it/","www.antiba.it")</f>
        <v>www.antiba.it</v>
      </c>
      <c r="J134" s="10">
        <v>53455.862999999998</v>
      </c>
      <c r="K134" s="10">
        <v>53455.862999999998</v>
      </c>
      <c r="L134" s="10">
        <v>49483.78</v>
      </c>
      <c r="M134" s="10">
        <v>4657.9970000000003</v>
      </c>
      <c r="N134" s="10">
        <v>4657.9970000000003</v>
      </c>
      <c r="O134" s="10">
        <v>4398.9229999999998</v>
      </c>
      <c r="P134" s="10">
        <v>105</v>
      </c>
      <c r="Q134" s="10">
        <v>105</v>
      </c>
      <c r="R134" s="10">
        <v>95</v>
      </c>
    </row>
    <row r="135" spans="1:18" ht="17" customHeight="1" x14ac:dyDescent="0.15">
      <c r="A135" s="11" t="s">
        <v>730</v>
      </c>
      <c r="B135" s="1" t="s">
        <v>731</v>
      </c>
      <c r="C135" s="11" t="s">
        <v>732</v>
      </c>
      <c r="D135" s="11" t="s">
        <v>732</v>
      </c>
      <c r="E135" s="11" t="s">
        <v>733</v>
      </c>
      <c r="F135" s="11" t="s">
        <v>734</v>
      </c>
      <c r="G135" s="11" t="s">
        <v>735</v>
      </c>
      <c r="H135" s="11" t="s">
        <v>736</v>
      </c>
      <c r="I135" s="11" t="str">
        <f>HYPERLINK("http://www.grassi.it/","www.grassi.it")</f>
        <v>www.grassi.it</v>
      </c>
      <c r="J135" s="12">
        <v>60474.406000000003</v>
      </c>
      <c r="K135" s="12">
        <v>60474.406000000003</v>
      </c>
      <c r="L135" s="13">
        <v>49399.1</v>
      </c>
      <c r="M135" s="12">
        <v>2448.9560000000001</v>
      </c>
      <c r="N135" s="12">
        <v>2448.9560000000001</v>
      </c>
      <c r="O135" s="12">
        <v>2765.26</v>
      </c>
      <c r="P135" s="12">
        <v>86</v>
      </c>
      <c r="Q135" s="12">
        <v>86</v>
      </c>
      <c r="R135" s="12">
        <v>89</v>
      </c>
    </row>
    <row r="136" spans="1:18" ht="17" customHeight="1" x14ac:dyDescent="0.15">
      <c r="A136" s="8" t="s">
        <v>737</v>
      </c>
      <c r="B136" s="9" t="s">
        <v>738</v>
      </c>
      <c r="C136" s="8" t="s">
        <v>739</v>
      </c>
      <c r="D136" s="8" t="s">
        <v>739</v>
      </c>
      <c r="E136" s="8" t="s">
        <v>740</v>
      </c>
      <c r="F136" s="8" t="s">
        <v>741</v>
      </c>
      <c r="G136" s="8" t="s">
        <v>742</v>
      </c>
      <c r="H136" s="8" t="s">
        <v>708</v>
      </c>
      <c r="I136" s="8" t="str">
        <f>HYPERLINK("http://corporategift.piquadro.com/","corporategift.piquadro.com")</f>
        <v>corporategift.piquadro.com</v>
      </c>
      <c r="J136" s="10">
        <v>52970.917000000001</v>
      </c>
      <c r="K136" s="10">
        <v>52970.917000000001</v>
      </c>
      <c r="L136" s="10">
        <v>48857.445</v>
      </c>
      <c r="M136" s="10">
        <v>4535.2539999999999</v>
      </c>
      <c r="N136" s="10">
        <v>4535.2539999999999</v>
      </c>
      <c r="O136" s="10">
        <v>3385.8989999999999</v>
      </c>
      <c r="P136" s="10">
        <v>133</v>
      </c>
      <c r="Q136" s="10">
        <v>133</v>
      </c>
      <c r="R136" s="10">
        <v>126</v>
      </c>
    </row>
    <row r="137" spans="1:18" ht="17" customHeight="1" x14ac:dyDescent="0.15">
      <c r="A137" s="11" t="s">
        <v>743</v>
      </c>
      <c r="B137" s="1" t="s">
        <v>744</v>
      </c>
      <c r="C137" s="11" t="s">
        <v>745</v>
      </c>
      <c r="D137" s="11" t="s">
        <v>745</v>
      </c>
      <c r="E137" s="11" t="s">
        <v>746</v>
      </c>
      <c r="F137" s="11" t="s">
        <v>747</v>
      </c>
      <c r="G137" s="11" t="s">
        <v>748</v>
      </c>
      <c r="H137" s="11" t="s">
        <v>736</v>
      </c>
      <c r="I137" s="11" t="str">
        <f>HYPERLINK("http://www.bellissimafap.it/","www.bellissimafap.it")</f>
        <v>www.bellissimafap.it</v>
      </c>
      <c r="J137" s="12">
        <v>56072.127</v>
      </c>
      <c r="K137" s="12">
        <v>56072.127</v>
      </c>
      <c r="L137" s="13">
        <v>48770.502</v>
      </c>
      <c r="M137" s="12">
        <v>3234.2370000000001</v>
      </c>
      <c r="N137" s="12">
        <v>3234.2370000000001</v>
      </c>
      <c r="O137" s="12">
        <v>1120.0550000000001</v>
      </c>
      <c r="P137" s="12">
        <v>164</v>
      </c>
      <c r="Q137" s="12">
        <v>164</v>
      </c>
      <c r="R137" s="12">
        <v>154</v>
      </c>
    </row>
    <row r="138" spans="1:18" ht="17" customHeight="1" x14ac:dyDescent="0.15">
      <c r="A138" s="8" t="s">
        <v>749</v>
      </c>
      <c r="B138" s="9" t="s">
        <v>750</v>
      </c>
      <c r="C138" s="8" t="s">
        <v>751</v>
      </c>
      <c r="D138" s="8" t="s">
        <v>751</v>
      </c>
      <c r="E138" s="8" t="s">
        <v>752</v>
      </c>
      <c r="F138" s="8" t="s">
        <v>741</v>
      </c>
      <c r="G138" s="8" t="s">
        <v>753</v>
      </c>
      <c r="H138" s="8" t="s">
        <v>754</v>
      </c>
      <c r="I138" s="8" t="str">
        <f>HYPERLINK("http://www.dimargroup.com/","www.dimargroup.com")</f>
        <v>www.dimargroup.com</v>
      </c>
      <c r="J138" s="10">
        <v>62137.468999999997</v>
      </c>
      <c r="K138" s="10">
        <v>62137.468999999997</v>
      </c>
      <c r="L138" s="10">
        <v>48662.6</v>
      </c>
      <c r="M138" s="10">
        <v>2138.2579999999998</v>
      </c>
      <c r="N138" s="10">
        <v>2138.2579999999998</v>
      </c>
      <c r="O138" s="10">
        <v>1140.0309999999999</v>
      </c>
      <c r="P138" s="10">
        <v>525</v>
      </c>
      <c r="Q138" s="10">
        <v>525</v>
      </c>
      <c r="R138" s="10">
        <v>464</v>
      </c>
    </row>
    <row r="139" spans="1:18" ht="29.5" customHeight="1" x14ac:dyDescent="0.15">
      <c r="A139" s="11" t="s">
        <v>755</v>
      </c>
      <c r="B139" s="1" t="s">
        <v>756</v>
      </c>
      <c r="C139" s="11" t="s">
        <v>757</v>
      </c>
      <c r="D139" s="11" t="s">
        <v>757</v>
      </c>
      <c r="E139" s="11" t="s">
        <v>758</v>
      </c>
      <c r="F139" s="11" t="s">
        <v>706</v>
      </c>
      <c r="G139" s="11" t="s">
        <v>707</v>
      </c>
      <c r="H139" s="11" t="s">
        <v>708</v>
      </c>
      <c r="I139" s="11" t="str">
        <f>HYPERLINK("http://www.iniziativeconciarieassociate.it/","www.iniziativeconciarieassociate.it")</f>
        <v>www.iniziativeconciarieassociate.it</v>
      </c>
      <c r="J139" s="12">
        <v>40033.589999999997</v>
      </c>
      <c r="K139" s="12">
        <v>40033.589999999997</v>
      </c>
      <c r="L139" s="13">
        <v>48528.75</v>
      </c>
      <c r="M139" s="12">
        <v>771.62099999999998</v>
      </c>
      <c r="N139" s="12">
        <v>771.62099999999998</v>
      </c>
      <c r="O139" s="12">
        <v>2349.1190000000001</v>
      </c>
      <c r="P139" s="12">
        <v>142</v>
      </c>
      <c r="Q139" s="12">
        <v>142</v>
      </c>
      <c r="R139" s="12">
        <v>141</v>
      </c>
    </row>
    <row r="140" spans="1:18" ht="29.5" customHeight="1" x14ac:dyDescent="0.15">
      <c r="A140" s="8" t="s">
        <v>759</v>
      </c>
      <c r="B140" s="9" t="s">
        <v>760</v>
      </c>
      <c r="C140" s="8" t="s">
        <v>761</v>
      </c>
      <c r="D140" s="8" t="s">
        <v>762</v>
      </c>
      <c r="E140" s="8" t="s">
        <v>763</v>
      </c>
      <c r="F140" s="8" t="s">
        <v>741</v>
      </c>
      <c r="G140" s="8" t="s">
        <v>764</v>
      </c>
      <c r="H140" s="8" t="s">
        <v>754</v>
      </c>
      <c r="I140" s="8" t="str">
        <f>HYPERLINK("http://www.tivoligroup.it/","www.tivoligroup.it")</f>
        <v>www.tivoligroup.it</v>
      </c>
      <c r="J140" s="10">
        <v>53754.733999999997</v>
      </c>
      <c r="K140" s="10">
        <v>53754.733999999997</v>
      </c>
      <c r="L140" s="10">
        <v>48011.133999999998</v>
      </c>
      <c r="M140" s="10">
        <v>2063.9720000000002</v>
      </c>
      <c r="N140" s="10">
        <v>2063.9720000000002</v>
      </c>
      <c r="O140" s="10">
        <v>1967.059</v>
      </c>
      <c r="P140" s="10">
        <v>164</v>
      </c>
      <c r="Q140" s="10">
        <v>164</v>
      </c>
      <c r="R140" s="10">
        <v>163</v>
      </c>
    </row>
    <row r="141" spans="1:18" ht="17" customHeight="1" x14ac:dyDescent="0.15">
      <c r="A141" s="11" t="s">
        <v>765</v>
      </c>
      <c r="B141" s="1" t="s">
        <v>766</v>
      </c>
      <c r="C141" s="11" t="s">
        <v>767</v>
      </c>
      <c r="D141" s="11" t="s">
        <v>767</v>
      </c>
      <c r="E141" s="11" t="s">
        <v>768</v>
      </c>
      <c r="F141" s="11" t="s">
        <v>769</v>
      </c>
      <c r="G141" s="11" t="s">
        <v>748</v>
      </c>
      <c r="H141" s="11" t="s">
        <v>736</v>
      </c>
      <c r="I141" s="11" t="str">
        <f>HYPERLINK("http://www.iron-ic.it/","www.iron-ic.it")</f>
        <v>www.iron-ic.it</v>
      </c>
      <c r="J141" s="12">
        <v>43690.408000000003</v>
      </c>
      <c r="K141" s="12">
        <v>43690.408000000003</v>
      </c>
      <c r="L141" s="13">
        <v>47743.241000000002</v>
      </c>
      <c r="M141" s="12">
        <v>961.82799999999997</v>
      </c>
      <c r="N141" s="12">
        <v>961.82799999999997</v>
      </c>
      <c r="O141" s="12">
        <v>1972.0640000000001</v>
      </c>
      <c r="P141" s="12">
        <v>78</v>
      </c>
      <c r="Q141" s="12">
        <v>78</v>
      </c>
      <c r="R141" s="12">
        <v>78</v>
      </c>
    </row>
    <row r="142" spans="1:18" ht="43" customHeight="1" x14ac:dyDescent="0.15">
      <c r="A142" s="8" t="s">
        <v>770</v>
      </c>
      <c r="B142" s="9" t="s">
        <v>771</v>
      </c>
      <c r="C142" s="8" t="s">
        <v>772</v>
      </c>
      <c r="D142" s="8" t="s">
        <v>772</v>
      </c>
      <c r="E142" s="8" t="s">
        <v>773</v>
      </c>
      <c r="F142" s="8" t="s">
        <v>699</v>
      </c>
      <c r="G142" s="8" t="s">
        <v>774</v>
      </c>
      <c r="H142" s="8" t="s">
        <v>736</v>
      </c>
      <c r="I142" s="8" t="str">
        <f>HYPERLINK("http://menghi.com/","menghi.com")</f>
        <v>menghi.com</v>
      </c>
      <c r="J142" s="10">
        <v>39374</v>
      </c>
      <c r="K142" s="10">
        <v>39374</v>
      </c>
      <c r="L142" s="10">
        <v>47602</v>
      </c>
      <c r="M142" s="10">
        <v>-8629</v>
      </c>
      <c r="N142" s="10">
        <v>-8629</v>
      </c>
      <c r="O142" s="10">
        <v>3038</v>
      </c>
      <c r="P142" s="10">
        <v>410</v>
      </c>
      <c r="Q142" s="10">
        <v>410</v>
      </c>
      <c r="R142" s="10">
        <v>203</v>
      </c>
    </row>
    <row r="143" spans="1:18" ht="17" customHeight="1" x14ac:dyDescent="0.15">
      <c r="A143" s="11" t="s">
        <v>775</v>
      </c>
      <c r="B143" s="1" t="s">
        <v>776</v>
      </c>
      <c r="C143" s="11" t="s">
        <v>777</v>
      </c>
      <c r="D143" s="11" t="s">
        <v>777</v>
      </c>
      <c r="E143" s="11" t="s">
        <v>778</v>
      </c>
      <c r="F143" s="11" t="s">
        <v>706</v>
      </c>
      <c r="G143" s="11" t="s">
        <v>725</v>
      </c>
      <c r="H143" s="11" t="s">
        <v>714</v>
      </c>
      <c r="I143" s="11" t="str">
        <f>HYPERLINK("http://www.finco1865.it/","www.finco1865.it")</f>
        <v>www.finco1865.it</v>
      </c>
      <c r="J143" s="12">
        <v>43932.898000000001</v>
      </c>
      <c r="K143" s="12">
        <v>43932.898000000001</v>
      </c>
      <c r="L143" s="13">
        <v>47369.786999999997</v>
      </c>
      <c r="M143" s="12">
        <v>1901.9690000000001</v>
      </c>
      <c r="N143" s="12">
        <v>1901.9690000000001</v>
      </c>
      <c r="O143" s="12">
        <v>2553.567</v>
      </c>
      <c r="P143" s="12">
        <v>88</v>
      </c>
      <c r="Q143" s="12">
        <v>88</v>
      </c>
      <c r="R143" s="12">
        <v>98</v>
      </c>
    </row>
    <row r="144" spans="1:18" ht="17" customHeight="1" x14ac:dyDescent="0.15">
      <c r="A144" s="8" t="s">
        <v>779</v>
      </c>
      <c r="B144" s="9" t="s">
        <v>780</v>
      </c>
      <c r="C144" s="8" t="s">
        <v>781</v>
      </c>
      <c r="D144" s="8" t="s">
        <v>781</v>
      </c>
      <c r="E144" s="8" t="s">
        <v>782</v>
      </c>
      <c r="F144" s="8" t="s">
        <v>719</v>
      </c>
      <c r="G144" s="8" t="s">
        <v>774</v>
      </c>
      <c r="H144" s="8" t="s">
        <v>736</v>
      </c>
      <c r="I144" s="8" t="str">
        <f>HYPERLINK("http://dreamprojectspa.it/","dreamprojectspa.it")</f>
        <v>dreamprojectspa.it</v>
      </c>
      <c r="J144" s="10">
        <v>42397.358999999997</v>
      </c>
      <c r="K144" s="10">
        <v>42397.358999999997</v>
      </c>
      <c r="L144" s="10">
        <v>47075.567999999999</v>
      </c>
      <c r="M144" s="10">
        <v>1810.2370000000001</v>
      </c>
      <c r="N144" s="10">
        <v>1810.2370000000001</v>
      </c>
      <c r="O144" s="10">
        <v>1800.72</v>
      </c>
      <c r="P144" s="10">
        <v>126</v>
      </c>
      <c r="Q144" s="10">
        <v>126</v>
      </c>
      <c r="R144" s="10">
        <v>120</v>
      </c>
    </row>
    <row r="145" spans="1:18" ht="17" customHeight="1" x14ac:dyDescent="0.15">
      <c r="A145" s="11" t="s">
        <v>783</v>
      </c>
      <c r="B145" s="1" t="s">
        <v>784</v>
      </c>
      <c r="C145" s="11" t="s">
        <v>785</v>
      </c>
      <c r="D145" s="11" t="s">
        <v>785</v>
      </c>
      <c r="E145" s="11" t="s">
        <v>786</v>
      </c>
      <c r="F145" s="11" t="s">
        <v>719</v>
      </c>
      <c r="G145" s="11" t="s">
        <v>787</v>
      </c>
      <c r="H145" s="11" t="s">
        <v>788</v>
      </c>
      <c r="I145" s="11" t="str">
        <f>HYPERLINK("http://www.patterngroup.it/","www.patterngroup.it")</f>
        <v>www.patterngroup.it</v>
      </c>
      <c r="J145" s="12">
        <v>46783.832999999999</v>
      </c>
      <c r="K145" s="12">
        <v>46783.832999999999</v>
      </c>
      <c r="L145" s="13">
        <v>47039.847999999998</v>
      </c>
      <c r="M145" s="12">
        <v>15341.93</v>
      </c>
      <c r="N145" s="12">
        <v>15341.93</v>
      </c>
      <c r="O145" s="12">
        <v>1161.8789999999999</v>
      </c>
      <c r="P145" s="12">
        <v>174</v>
      </c>
      <c r="Q145" s="12">
        <v>174</v>
      </c>
      <c r="R145" s="12">
        <v>191</v>
      </c>
    </row>
    <row r="146" spans="1:18" ht="17" customHeight="1" x14ac:dyDescent="0.15">
      <c r="A146" s="8" t="s">
        <v>789</v>
      </c>
      <c r="B146" s="9" t="s">
        <v>790</v>
      </c>
      <c r="C146" s="8" t="s">
        <v>791</v>
      </c>
      <c r="D146" s="8" t="s">
        <v>791</v>
      </c>
      <c r="E146" s="8" t="s">
        <v>792</v>
      </c>
      <c r="F146" s="8" t="s">
        <v>706</v>
      </c>
      <c r="G146" s="8" t="s">
        <v>725</v>
      </c>
      <c r="H146" s="8" t="s">
        <v>714</v>
      </c>
      <c r="I146" s="8" t="str">
        <f>HYPERLINK("http://conceriacadore.it/","conceriacadore.it")</f>
        <v>conceriacadore.it</v>
      </c>
      <c r="J146" s="10">
        <v>45223.951000000001</v>
      </c>
      <c r="K146" s="10">
        <v>45223.951000000001</v>
      </c>
      <c r="L146" s="10">
        <v>46013.050999999999</v>
      </c>
      <c r="M146" s="10">
        <v>3026.4789999999998</v>
      </c>
      <c r="N146" s="10">
        <v>3026.4789999999998</v>
      </c>
      <c r="O146" s="10">
        <v>4387.6729999999998</v>
      </c>
      <c r="P146" s="10">
        <v>103</v>
      </c>
      <c r="Q146" s="10">
        <v>103</v>
      </c>
      <c r="R146" s="10">
        <v>105</v>
      </c>
    </row>
    <row r="147" spans="1:18" ht="17" customHeight="1" x14ac:dyDescent="0.15">
      <c r="A147" s="11" t="s">
        <v>793</v>
      </c>
      <c r="B147" s="1" t="s">
        <v>794</v>
      </c>
      <c r="C147" s="11" t="s">
        <v>795</v>
      </c>
      <c r="D147" s="11" t="s">
        <v>795</v>
      </c>
      <c r="E147" s="11" t="s">
        <v>796</v>
      </c>
      <c r="F147" s="11" t="s">
        <v>797</v>
      </c>
      <c r="G147" s="11" t="s">
        <v>798</v>
      </c>
      <c r="H147" s="11" t="s">
        <v>714</v>
      </c>
      <c r="I147" s="11" t="str">
        <f>HYPERLINK("http://prontomoda.emimaglia.it/","prontomoda.emimaglia.it")</f>
        <v>prontomoda.emimaglia.it</v>
      </c>
      <c r="J147" s="12">
        <v>52984.133999999998</v>
      </c>
      <c r="K147" s="12">
        <v>52984.133999999998</v>
      </c>
      <c r="L147" s="13">
        <v>45782.796999999999</v>
      </c>
      <c r="M147" s="12">
        <v>585.25900000000001</v>
      </c>
      <c r="N147" s="12">
        <v>585.25900000000001</v>
      </c>
      <c r="O147" s="12">
        <v>216.602</v>
      </c>
      <c r="P147" s="12">
        <v>131</v>
      </c>
      <c r="Q147" s="12">
        <v>131</v>
      </c>
      <c r="R147" s="12">
        <v>144</v>
      </c>
    </row>
    <row r="148" spans="1:18" ht="17" customHeight="1" x14ac:dyDescent="0.15">
      <c r="A148" s="8" t="s">
        <v>799</v>
      </c>
      <c r="B148" s="9" t="s">
        <v>800</v>
      </c>
      <c r="C148" s="8" t="s">
        <v>801</v>
      </c>
      <c r="D148" s="8" t="s">
        <v>801</v>
      </c>
      <c r="E148" s="8" t="s">
        <v>802</v>
      </c>
      <c r="F148" s="8" t="s">
        <v>699</v>
      </c>
      <c r="G148" s="8" t="s">
        <v>803</v>
      </c>
      <c r="H148" s="8" t="s">
        <v>714</v>
      </c>
      <c r="I148" s="8" t="str">
        <f>HYPERLINK("http://www.dalbello.it/","www.dalbello.it")</f>
        <v>www.dalbello.it</v>
      </c>
      <c r="J148" s="10">
        <v>57416.315000000002</v>
      </c>
      <c r="K148" s="10">
        <v>57416.315000000002</v>
      </c>
      <c r="L148" s="10">
        <v>45700.125</v>
      </c>
      <c r="M148" s="10">
        <v>218.595</v>
      </c>
      <c r="N148" s="10">
        <v>218.595</v>
      </c>
      <c r="O148" s="10">
        <v>-924.23199999999997</v>
      </c>
      <c r="P148" s="10">
        <v>142</v>
      </c>
      <c r="Q148" s="10">
        <v>142</v>
      </c>
      <c r="R148" s="10">
        <v>134</v>
      </c>
    </row>
    <row r="149" spans="1:18" ht="29.5" customHeight="1" x14ac:dyDescent="0.15">
      <c r="A149" s="11" t="s">
        <v>804</v>
      </c>
      <c r="B149" s="1" t="s">
        <v>805</v>
      </c>
      <c r="C149" s="11" t="s">
        <v>806</v>
      </c>
      <c r="D149" s="11" t="s">
        <v>807</v>
      </c>
      <c r="E149" s="11" t="s">
        <v>808</v>
      </c>
      <c r="F149" s="11" t="s">
        <v>809</v>
      </c>
      <c r="G149" s="11" t="s">
        <v>810</v>
      </c>
      <c r="H149" s="11" t="s">
        <v>811</v>
      </c>
      <c r="I149" s="11" t="str">
        <f>HYPERLINK("http://www.gilmar.it/","http://www.gilmar.it")</f>
        <v>http://www.gilmar.it</v>
      </c>
      <c r="J149" s="12">
        <v>46071.451000000001</v>
      </c>
      <c r="K149" s="12">
        <v>46071.451000000001</v>
      </c>
      <c r="L149" s="13">
        <v>45324.12</v>
      </c>
      <c r="M149" s="12">
        <v>2074.0340000000001</v>
      </c>
      <c r="N149" s="12">
        <v>2074.0340000000001</v>
      </c>
      <c r="O149" s="12">
        <v>-4819.1610000000001</v>
      </c>
      <c r="P149" s="12">
        <v>290</v>
      </c>
      <c r="Q149" s="12">
        <v>290</v>
      </c>
      <c r="R149" s="12">
        <v>305</v>
      </c>
    </row>
    <row r="150" spans="1:18" ht="29.5" customHeight="1" x14ac:dyDescent="0.15">
      <c r="A150" s="8" t="s">
        <v>812</v>
      </c>
      <c r="B150" s="9" t="s">
        <v>813</v>
      </c>
      <c r="C150" s="8" t="s">
        <v>814</v>
      </c>
      <c r="D150" s="8" t="s">
        <v>814</v>
      </c>
      <c r="E150" s="8" t="s">
        <v>815</v>
      </c>
      <c r="F150" s="8" t="s">
        <v>809</v>
      </c>
      <c r="G150" s="8" t="s">
        <v>816</v>
      </c>
      <c r="H150" s="8" t="s">
        <v>817</v>
      </c>
      <c r="I150" s="8" t="str">
        <f>HYPERLINK("http://www.ips.moda/","www.ips.moda")</f>
        <v>www.ips.moda</v>
      </c>
      <c r="J150" s="10">
        <v>50639.114999999998</v>
      </c>
      <c r="K150" s="10">
        <v>50639.114999999998</v>
      </c>
      <c r="L150" s="10">
        <v>45305.659</v>
      </c>
      <c r="M150" s="10">
        <v>4376.3710000000001</v>
      </c>
      <c r="N150" s="10">
        <v>4376.3710000000001</v>
      </c>
      <c r="O150" s="10">
        <v>402.69</v>
      </c>
      <c r="P150" s="10">
        <v>232</v>
      </c>
      <c r="Q150" s="10">
        <v>232</v>
      </c>
      <c r="R150" s="10">
        <v>209</v>
      </c>
    </row>
    <row r="151" spans="1:18" ht="17" customHeight="1" x14ac:dyDescent="0.15">
      <c r="A151" s="11" t="s">
        <v>818</v>
      </c>
      <c r="B151" s="1" t="s">
        <v>819</v>
      </c>
      <c r="C151" s="11" t="s">
        <v>820</v>
      </c>
      <c r="D151" s="11" t="s">
        <v>820</v>
      </c>
      <c r="E151" s="11" t="s">
        <v>821</v>
      </c>
      <c r="F151" s="11" t="s">
        <v>809</v>
      </c>
      <c r="G151" s="11" t="s">
        <v>742</v>
      </c>
      <c r="H151" s="11" t="s">
        <v>708</v>
      </c>
      <c r="I151" s="11" t="str">
        <f>HYPERLINK("http://b2b.dixiefashion.com/","b2b.dixiefashion.com")</f>
        <v>b2b.dixiefashion.com</v>
      </c>
      <c r="J151" s="12">
        <v>46461.25</v>
      </c>
      <c r="K151" s="12">
        <v>46461.25</v>
      </c>
      <c r="L151" s="13">
        <v>44949.62</v>
      </c>
      <c r="M151" s="12">
        <v>-5619.2079999999996</v>
      </c>
      <c r="N151" s="12">
        <v>-5619.2079999999996</v>
      </c>
      <c r="O151" s="12">
        <v>570.73500000000001</v>
      </c>
      <c r="P151" s="12">
        <v>179</v>
      </c>
      <c r="Q151" s="12">
        <v>179</v>
      </c>
      <c r="R151" s="12">
        <v>180</v>
      </c>
    </row>
    <row r="152" spans="1:18" ht="17" customHeight="1" x14ac:dyDescent="0.15">
      <c r="A152" s="8" t="s">
        <v>822</v>
      </c>
      <c r="B152" s="9" t="s">
        <v>823</v>
      </c>
      <c r="C152" s="8" t="s">
        <v>824</v>
      </c>
      <c r="D152" s="8" t="s">
        <v>824</v>
      </c>
      <c r="E152" s="8" t="s">
        <v>825</v>
      </c>
      <c r="F152" s="8" t="s">
        <v>706</v>
      </c>
      <c r="G152" s="8" t="s">
        <v>725</v>
      </c>
      <c r="H152" s="8" t="s">
        <v>714</v>
      </c>
      <c r="I152" s="8" t="str">
        <f>HYPERLINK("http://www.montebello-tannery.it/","www.montebello-tannery.it")</f>
        <v>www.montebello-tannery.it</v>
      </c>
      <c r="J152" s="10">
        <v>35819.406000000003</v>
      </c>
      <c r="K152" s="10">
        <v>35819.406000000003</v>
      </c>
      <c r="L152" s="10">
        <v>44664.21</v>
      </c>
      <c r="M152" s="10">
        <v>-13.855</v>
      </c>
      <c r="N152" s="10">
        <v>-13.855</v>
      </c>
      <c r="O152" s="10">
        <v>1576.643</v>
      </c>
      <c r="P152" s="10">
        <v>214</v>
      </c>
      <c r="Q152" s="10">
        <v>214</v>
      </c>
      <c r="R152" s="10">
        <v>206</v>
      </c>
    </row>
    <row r="153" spans="1:18" ht="17" customHeight="1" x14ac:dyDescent="0.15">
      <c r="A153" s="11" t="s">
        <v>826</v>
      </c>
      <c r="B153" s="1" t="s">
        <v>827</v>
      </c>
      <c r="C153" s="11" t="s">
        <v>828</v>
      </c>
      <c r="D153" s="11" t="s">
        <v>828</v>
      </c>
      <c r="E153" s="11" t="s">
        <v>829</v>
      </c>
      <c r="F153" s="11" t="s">
        <v>699</v>
      </c>
      <c r="G153" s="11" t="s">
        <v>830</v>
      </c>
      <c r="H153" s="11" t="s">
        <v>788</v>
      </c>
      <c r="I153" s="11" t="str">
        <f>HYPERLINK("http://www.uvex.de/","http://www.uvex.de")</f>
        <v>http://www.uvex.de</v>
      </c>
      <c r="J153" s="12">
        <v>54315.3</v>
      </c>
      <c r="K153" s="12">
        <v>52679.699000000001</v>
      </c>
      <c r="L153" s="13">
        <v>44652.228999999999</v>
      </c>
      <c r="M153" s="12">
        <v>2953.6480000000001</v>
      </c>
      <c r="N153" s="12">
        <v>2017.7809999999999</v>
      </c>
      <c r="O153" s="12">
        <v>1087.308</v>
      </c>
      <c r="P153" s="12">
        <v>171</v>
      </c>
      <c r="Q153" s="12">
        <v>163</v>
      </c>
      <c r="R153" s="12">
        <v>152</v>
      </c>
    </row>
    <row r="154" spans="1:18" ht="17" customHeight="1" x14ac:dyDescent="0.15">
      <c r="A154" s="8" t="s">
        <v>831</v>
      </c>
      <c r="B154" s="9" t="s">
        <v>832</v>
      </c>
      <c r="C154" s="8" t="s">
        <v>833</v>
      </c>
      <c r="D154" s="8" t="s">
        <v>833</v>
      </c>
      <c r="E154" s="8" t="s">
        <v>834</v>
      </c>
      <c r="F154" s="8" t="s">
        <v>699</v>
      </c>
      <c r="G154" s="8" t="s">
        <v>713</v>
      </c>
      <c r="H154" s="8" t="s">
        <v>714</v>
      </c>
      <c r="I154" s="8" t="str">
        <f>HYPERLINK("http://www.caovilla.com/","www.caovilla.com")</f>
        <v>www.caovilla.com</v>
      </c>
      <c r="J154" s="10">
        <v>54728.084999999999</v>
      </c>
      <c r="K154" s="10">
        <v>54728.084999999999</v>
      </c>
      <c r="L154" s="10">
        <v>44078.974999999999</v>
      </c>
      <c r="M154" s="10">
        <v>5923.8990000000003</v>
      </c>
      <c r="N154" s="10">
        <v>5923.8990000000003</v>
      </c>
      <c r="O154" s="10">
        <v>3797.4969999999998</v>
      </c>
      <c r="P154" s="10">
        <v>127</v>
      </c>
      <c r="Q154" s="10">
        <v>127</v>
      </c>
      <c r="R154" s="10">
        <v>119</v>
      </c>
    </row>
    <row r="155" spans="1:18" ht="17" customHeight="1" x14ac:dyDescent="0.15">
      <c r="A155" s="11" t="s">
        <v>835</v>
      </c>
      <c r="B155" s="1" t="s">
        <v>836</v>
      </c>
      <c r="C155" s="11" t="s">
        <v>837</v>
      </c>
      <c r="D155" s="11" t="s">
        <v>838</v>
      </c>
      <c r="E155" s="11" t="s">
        <v>839</v>
      </c>
      <c r="F155" s="11" t="s">
        <v>699</v>
      </c>
      <c r="G155" s="11" t="s">
        <v>840</v>
      </c>
      <c r="H155" s="11" t="s">
        <v>811</v>
      </c>
      <c r="I155" s="11" t="str">
        <f>HYPERLINK("http://www.sergiorossi.com/","www.sergiorossi.com")</f>
        <v>www.sergiorossi.com</v>
      </c>
      <c r="J155" s="12">
        <v>42734.614000000001</v>
      </c>
      <c r="K155" s="12">
        <v>42734.614000000001</v>
      </c>
      <c r="L155" s="13">
        <v>43979.86</v>
      </c>
      <c r="M155" s="12">
        <v>-36354.017</v>
      </c>
      <c r="N155" s="12">
        <v>-36354.017</v>
      </c>
      <c r="O155" s="12">
        <v>-6556.5209999999997</v>
      </c>
      <c r="P155" s="12">
        <v>249</v>
      </c>
      <c r="Q155" s="12">
        <v>249</v>
      </c>
      <c r="R155" s="12">
        <v>248</v>
      </c>
    </row>
    <row r="156" spans="1:18" ht="29.5" customHeight="1" x14ac:dyDescent="0.15">
      <c r="A156" s="8" t="s">
        <v>841</v>
      </c>
      <c r="B156" s="9" t="s">
        <v>842</v>
      </c>
      <c r="C156" s="8" t="s">
        <v>843</v>
      </c>
      <c r="D156" s="8" t="s">
        <v>843</v>
      </c>
      <c r="E156" s="8" t="s">
        <v>844</v>
      </c>
      <c r="F156" s="8" t="s">
        <v>747</v>
      </c>
      <c r="G156" s="8" t="s">
        <v>748</v>
      </c>
      <c r="H156" s="8" t="s">
        <v>736</v>
      </c>
      <c r="I156" s="8" t="str">
        <f>HYPERLINK("http://www.lepel.it/","www.lepel.it")</f>
        <v>www.lepel.it</v>
      </c>
      <c r="J156" s="10">
        <v>41610</v>
      </c>
      <c r="K156" s="10">
        <v>41610</v>
      </c>
      <c r="L156" s="10">
        <v>43781</v>
      </c>
      <c r="M156" s="10">
        <v>1162</v>
      </c>
      <c r="N156" s="10">
        <v>1162</v>
      </c>
      <c r="O156" s="10">
        <v>3434</v>
      </c>
      <c r="P156" s="10">
        <v>243</v>
      </c>
      <c r="Q156" s="10">
        <v>243</v>
      </c>
      <c r="R156" s="10">
        <v>284</v>
      </c>
    </row>
    <row r="157" spans="1:18" ht="17" customHeight="1" x14ac:dyDescent="0.15">
      <c r="A157" s="11" t="s">
        <v>845</v>
      </c>
      <c r="B157" s="1" t="s">
        <v>846</v>
      </c>
      <c r="C157" s="11" t="s">
        <v>847</v>
      </c>
      <c r="D157" s="11" t="s">
        <v>847</v>
      </c>
      <c r="E157" s="11" t="s">
        <v>848</v>
      </c>
      <c r="F157" s="11" t="s">
        <v>699</v>
      </c>
      <c r="G157" s="11" t="s">
        <v>798</v>
      </c>
      <c r="H157" s="11" t="s">
        <v>714</v>
      </c>
      <c r="I157" s="11" t="str">
        <f>HYPERLINK("http://www.sixton.it/","www.sixton.it")</f>
        <v>www.sixton.it</v>
      </c>
      <c r="J157" s="12">
        <v>44403.618999999999</v>
      </c>
      <c r="K157" s="12">
        <v>44403.618999999999</v>
      </c>
      <c r="L157" s="13">
        <v>43256.423000000003</v>
      </c>
      <c r="M157" s="12">
        <v>5087.6679999999997</v>
      </c>
      <c r="N157" s="12">
        <v>5087.6679999999997</v>
      </c>
      <c r="O157" s="12">
        <v>4330.4480000000003</v>
      </c>
      <c r="P157" s="12">
        <v>97</v>
      </c>
      <c r="Q157" s="12">
        <v>97</v>
      </c>
      <c r="R157" s="12">
        <v>101</v>
      </c>
    </row>
    <row r="158" spans="1:18" ht="17" customHeight="1" x14ac:dyDescent="0.15">
      <c r="A158" s="8" t="s">
        <v>849</v>
      </c>
      <c r="B158" s="9" t="s">
        <v>850</v>
      </c>
      <c r="C158" s="8" t="s">
        <v>851</v>
      </c>
      <c r="D158" s="8" t="s">
        <v>851</v>
      </c>
      <c r="E158" s="8" t="s">
        <v>852</v>
      </c>
      <c r="F158" s="8" t="s">
        <v>699</v>
      </c>
      <c r="G158" s="8" t="s">
        <v>840</v>
      </c>
      <c r="H158" s="8" t="s">
        <v>811</v>
      </c>
      <c r="I158" s="8" t="str">
        <f>HYPERLINK("http://shoesmyway.baldinini-shop.com/","shoesmyway.baldinini-shop.com")</f>
        <v>shoesmyway.baldinini-shop.com</v>
      </c>
      <c r="J158" s="10">
        <v>43251.345999999998</v>
      </c>
      <c r="K158" s="15" t="s">
        <v>853</v>
      </c>
      <c r="L158" s="10">
        <v>43251.345999999998</v>
      </c>
      <c r="M158" s="10">
        <v>-1287.636</v>
      </c>
      <c r="N158" s="15" t="s">
        <v>853</v>
      </c>
      <c r="O158" s="10">
        <v>-1287.636</v>
      </c>
      <c r="P158" s="10">
        <v>174</v>
      </c>
      <c r="Q158" s="15" t="s">
        <v>853</v>
      </c>
      <c r="R158" s="10">
        <v>174</v>
      </c>
    </row>
    <row r="159" spans="1:18" ht="17" customHeight="1" x14ac:dyDescent="0.15">
      <c r="A159" s="11" t="s">
        <v>854</v>
      </c>
      <c r="B159" s="1" t="s">
        <v>855</v>
      </c>
      <c r="C159" s="11" t="s">
        <v>856</v>
      </c>
      <c r="D159" s="11" t="s">
        <v>856</v>
      </c>
      <c r="E159" s="11" t="s">
        <v>857</v>
      </c>
      <c r="F159" s="11" t="s">
        <v>809</v>
      </c>
      <c r="G159" s="11" t="s">
        <v>858</v>
      </c>
      <c r="H159" s="11" t="s">
        <v>859</v>
      </c>
      <c r="I159" s="11" t="str">
        <f>HYPERLINK("http://www.isaia.it/","www.isaia.it")</f>
        <v>www.isaia.it</v>
      </c>
      <c r="J159" s="12">
        <v>50332.498</v>
      </c>
      <c r="K159" s="12">
        <v>50332.498</v>
      </c>
      <c r="L159" s="13">
        <v>43058.438000000002</v>
      </c>
      <c r="M159" s="12">
        <v>4061.1129999999998</v>
      </c>
      <c r="N159" s="12">
        <v>4061.1129999999998</v>
      </c>
      <c r="O159" s="12">
        <v>2127.3780000000002</v>
      </c>
      <c r="P159" s="14" t="s">
        <v>853</v>
      </c>
      <c r="Q159" s="14" t="s">
        <v>853</v>
      </c>
      <c r="R159" s="12">
        <v>86</v>
      </c>
    </row>
    <row r="160" spans="1:18" ht="17" customHeight="1" x14ac:dyDescent="0.15">
      <c r="A160" s="8" t="s">
        <v>860</v>
      </c>
      <c r="B160" s="9" t="s">
        <v>861</v>
      </c>
      <c r="C160" s="8" t="s">
        <v>862</v>
      </c>
      <c r="D160" s="8" t="s">
        <v>862</v>
      </c>
      <c r="E160" s="8" t="s">
        <v>863</v>
      </c>
      <c r="F160" s="8" t="s">
        <v>699</v>
      </c>
      <c r="G160" s="8" t="s">
        <v>803</v>
      </c>
      <c r="H160" s="8" t="s">
        <v>714</v>
      </c>
      <c r="I160" s="8" t="str">
        <f>HYPERLINK("http://www.bonis-spa.com/","www.bonis-spa.com")</f>
        <v>www.bonis-spa.com</v>
      </c>
      <c r="J160" s="10">
        <v>36123.055999999997</v>
      </c>
      <c r="K160" s="10">
        <v>36123.055999999997</v>
      </c>
      <c r="L160" s="10">
        <v>42956.955999999998</v>
      </c>
      <c r="M160" s="10">
        <v>95.415000000000006</v>
      </c>
      <c r="N160" s="10">
        <v>95.415000000000006</v>
      </c>
      <c r="O160" s="10">
        <v>195.31800000000001</v>
      </c>
      <c r="P160" s="10">
        <v>33</v>
      </c>
      <c r="Q160" s="10">
        <v>33</v>
      </c>
      <c r="R160" s="10">
        <v>43</v>
      </c>
    </row>
    <row r="161" spans="1:18" ht="17" customHeight="1" x14ac:dyDescent="0.15">
      <c r="A161" s="11" t="s">
        <v>864</v>
      </c>
      <c r="B161" s="1" t="s">
        <v>865</v>
      </c>
      <c r="C161" s="11" t="s">
        <v>866</v>
      </c>
      <c r="D161" s="11" t="s">
        <v>867</v>
      </c>
      <c r="E161" s="11" t="s">
        <v>868</v>
      </c>
      <c r="F161" s="11" t="s">
        <v>869</v>
      </c>
      <c r="G161" s="11" t="s">
        <v>870</v>
      </c>
      <c r="H161" s="11" t="s">
        <v>871</v>
      </c>
      <c r="I161" s="11" t="str">
        <f>HYPERLINK("http://www.altanaspa.com/","www.altanaspa.com")</f>
        <v>www.altanaspa.com</v>
      </c>
      <c r="J161" s="12">
        <v>39387.345000000001</v>
      </c>
      <c r="K161" s="12">
        <v>39387.345000000001</v>
      </c>
      <c r="L161" s="13">
        <v>42916.540999999997</v>
      </c>
      <c r="M161" s="12">
        <v>4777.9560000000001</v>
      </c>
      <c r="N161" s="12">
        <v>4777.9560000000001</v>
      </c>
      <c r="O161" s="12">
        <v>4558.1090000000004</v>
      </c>
      <c r="P161" s="12">
        <v>65</v>
      </c>
      <c r="Q161" s="12">
        <v>65</v>
      </c>
      <c r="R161" s="12">
        <v>58</v>
      </c>
    </row>
    <row r="162" spans="1:18" ht="17" customHeight="1" x14ac:dyDescent="0.15">
      <c r="A162" s="8" t="s">
        <v>872</v>
      </c>
      <c r="B162" s="9" t="s">
        <v>873</v>
      </c>
      <c r="C162" s="8" t="s">
        <v>874</v>
      </c>
      <c r="D162" s="8" t="s">
        <v>874</v>
      </c>
      <c r="E162" s="8" t="s">
        <v>875</v>
      </c>
      <c r="F162" s="8" t="s">
        <v>876</v>
      </c>
      <c r="G162" s="8" t="s">
        <v>877</v>
      </c>
      <c r="H162" s="8" t="s">
        <v>871</v>
      </c>
      <c r="I162" s="8" t="str">
        <f>HYPERLINK("http://www.renzofavero.com/","http://www.renzofavero.com")</f>
        <v>http://www.renzofavero.com</v>
      </c>
      <c r="J162" s="10">
        <v>51182.267</v>
      </c>
      <c r="K162" s="10">
        <v>51182.267</v>
      </c>
      <c r="L162" s="10">
        <v>42838.718000000001</v>
      </c>
      <c r="M162" s="10">
        <v>1335.9179999999999</v>
      </c>
      <c r="N162" s="10">
        <v>1335.9179999999999</v>
      </c>
      <c r="O162" s="10">
        <v>996.02200000000005</v>
      </c>
      <c r="P162" s="10">
        <v>150</v>
      </c>
      <c r="Q162" s="10">
        <v>150</v>
      </c>
      <c r="R162" s="10">
        <v>107</v>
      </c>
    </row>
    <row r="163" spans="1:18" ht="17" customHeight="1" x14ac:dyDescent="0.15">
      <c r="A163" s="11" t="s">
        <v>878</v>
      </c>
      <c r="B163" s="1" t="s">
        <v>879</v>
      </c>
      <c r="C163" s="11" t="s">
        <v>880</v>
      </c>
      <c r="D163" s="11" t="s">
        <v>880</v>
      </c>
      <c r="E163" s="11" t="s">
        <v>881</v>
      </c>
      <c r="F163" s="11" t="s">
        <v>876</v>
      </c>
      <c r="G163" s="11" t="s">
        <v>882</v>
      </c>
      <c r="H163" s="11" t="s">
        <v>883</v>
      </c>
      <c r="I163" s="11" t="str">
        <f>HYPERLINK("http://elisabet.it/","elisabet.it")</f>
        <v>elisabet.it</v>
      </c>
      <c r="J163" s="12">
        <v>35208.125999999997</v>
      </c>
      <c r="K163" s="12">
        <v>35208.125999999997</v>
      </c>
      <c r="L163" s="13">
        <v>42476.974999999999</v>
      </c>
      <c r="M163" s="12">
        <v>975.90200000000004</v>
      </c>
      <c r="N163" s="12">
        <v>975.90200000000004</v>
      </c>
      <c r="O163" s="12">
        <v>3554.4319999999998</v>
      </c>
      <c r="P163" s="12">
        <v>62</v>
      </c>
      <c r="Q163" s="12">
        <v>62</v>
      </c>
      <c r="R163" s="12">
        <v>64</v>
      </c>
    </row>
    <row r="164" spans="1:18" ht="17" customHeight="1" x14ac:dyDescent="0.15">
      <c r="A164" s="8" t="s">
        <v>884</v>
      </c>
      <c r="B164" s="9" t="s">
        <v>885</v>
      </c>
      <c r="C164" s="8" t="s">
        <v>886</v>
      </c>
      <c r="D164" s="8" t="s">
        <v>886</v>
      </c>
      <c r="E164" s="8" t="s">
        <v>887</v>
      </c>
      <c r="F164" s="8" t="s">
        <v>888</v>
      </c>
      <c r="G164" s="8" t="s">
        <v>889</v>
      </c>
      <c r="H164" s="8" t="s">
        <v>890</v>
      </c>
      <c r="I164" s="8" t="str">
        <f>HYPERLINK("http://minoronzoni1953.it/","minoronzoni1953.it")</f>
        <v>minoronzoni1953.it</v>
      </c>
      <c r="J164" s="10">
        <v>39444.762999999999</v>
      </c>
      <c r="K164" s="10">
        <v>39444.762999999999</v>
      </c>
      <c r="L164" s="10">
        <v>42387.597999999998</v>
      </c>
      <c r="M164" s="10">
        <v>536.03499999999997</v>
      </c>
      <c r="N164" s="10">
        <v>536.03499999999997</v>
      </c>
      <c r="O164" s="10">
        <v>812.06500000000005</v>
      </c>
      <c r="P164" s="10">
        <v>295</v>
      </c>
      <c r="Q164" s="10">
        <v>295</v>
      </c>
      <c r="R164" s="10">
        <v>297</v>
      </c>
    </row>
    <row r="165" spans="1:18" ht="17" customHeight="1" x14ac:dyDescent="0.15">
      <c r="A165" s="11" t="s">
        <v>891</v>
      </c>
      <c r="B165" s="1" t="s">
        <v>892</v>
      </c>
      <c r="C165" s="11" t="s">
        <v>893</v>
      </c>
      <c r="D165" s="11" t="s">
        <v>893</v>
      </c>
      <c r="E165" s="11" t="s">
        <v>894</v>
      </c>
      <c r="F165" s="11" t="s">
        <v>895</v>
      </c>
      <c r="G165" s="11" t="s">
        <v>896</v>
      </c>
      <c r="H165" s="11" t="s">
        <v>871</v>
      </c>
      <c r="I165" s="11" t="str">
        <f>HYPERLINK("http://www.brandsindustry.com/","www.brandsindustry.com")</f>
        <v>www.brandsindustry.com</v>
      </c>
      <c r="J165" s="12">
        <v>31225.337</v>
      </c>
      <c r="K165" s="12">
        <v>56555.97</v>
      </c>
      <c r="L165" s="13">
        <v>42185.826999999997</v>
      </c>
      <c r="M165" s="12">
        <v>6010.6120000000001</v>
      </c>
      <c r="N165" s="12">
        <v>8167.7740000000003</v>
      </c>
      <c r="O165" s="12">
        <v>6132.4989999999998</v>
      </c>
      <c r="P165" s="12">
        <v>21</v>
      </c>
      <c r="Q165" s="12">
        <v>20</v>
      </c>
      <c r="R165" s="12">
        <v>23</v>
      </c>
    </row>
    <row r="166" spans="1:18" ht="17" customHeight="1" x14ac:dyDescent="0.15">
      <c r="A166" s="8" t="s">
        <v>897</v>
      </c>
      <c r="B166" s="9" t="s">
        <v>898</v>
      </c>
      <c r="C166" s="8" t="s">
        <v>899</v>
      </c>
      <c r="D166" s="8" t="s">
        <v>899</v>
      </c>
      <c r="E166" s="8" t="s">
        <v>900</v>
      </c>
      <c r="F166" s="8" t="s">
        <v>901</v>
      </c>
      <c r="G166" s="8" t="s">
        <v>896</v>
      </c>
      <c r="H166" s="8" t="s">
        <v>871</v>
      </c>
      <c r="I166" s="8" t="str">
        <f>HYPERLINK("http://www.hide.it/","www.hide.it")</f>
        <v>www.hide.it</v>
      </c>
      <c r="J166" s="10">
        <v>35115.896999999997</v>
      </c>
      <c r="K166" s="10">
        <v>35115.896999999997</v>
      </c>
      <c r="L166" s="10">
        <v>42007.807000000001</v>
      </c>
      <c r="M166" s="10">
        <v>393.334</v>
      </c>
      <c r="N166" s="10">
        <v>393.334</v>
      </c>
      <c r="O166" s="10">
        <v>1892.279</v>
      </c>
      <c r="P166" s="10">
        <v>45</v>
      </c>
      <c r="Q166" s="10">
        <v>45</v>
      </c>
      <c r="R166" s="10">
        <v>41</v>
      </c>
    </row>
    <row r="167" spans="1:18" ht="17" customHeight="1" x14ac:dyDescent="0.15">
      <c r="A167" s="11" t="s">
        <v>902</v>
      </c>
      <c r="B167" s="1" t="s">
        <v>903</v>
      </c>
      <c r="C167" s="11" t="s">
        <v>904</v>
      </c>
      <c r="D167" s="11" t="s">
        <v>904</v>
      </c>
      <c r="E167" s="11" t="s">
        <v>905</v>
      </c>
      <c r="F167" s="11" t="s">
        <v>906</v>
      </c>
      <c r="G167" s="11" t="s">
        <v>907</v>
      </c>
      <c r="H167" s="11" t="s">
        <v>890</v>
      </c>
      <c r="I167" s="11" t="str">
        <f>HYPERLINK("http://www.zamasport.it/","www.zamasport.it")</f>
        <v>www.zamasport.it</v>
      </c>
      <c r="J167" s="12">
        <v>54451.298000000003</v>
      </c>
      <c r="K167" s="12">
        <v>54451.298000000003</v>
      </c>
      <c r="L167" s="13">
        <v>41913.279999999999</v>
      </c>
      <c r="M167" s="12">
        <v>1890.759</v>
      </c>
      <c r="N167" s="12">
        <v>1890.759</v>
      </c>
      <c r="O167" s="12">
        <v>1468.046</v>
      </c>
      <c r="P167" s="12">
        <v>196</v>
      </c>
      <c r="Q167" s="12">
        <v>196</v>
      </c>
      <c r="R167" s="12">
        <v>186</v>
      </c>
    </row>
    <row r="168" spans="1:18" ht="17" customHeight="1" x14ac:dyDescent="0.15">
      <c r="A168" s="8" t="s">
        <v>908</v>
      </c>
      <c r="B168" s="9" t="s">
        <v>909</v>
      </c>
      <c r="C168" s="8" t="s">
        <v>910</v>
      </c>
      <c r="D168" s="8" t="s">
        <v>910</v>
      </c>
      <c r="E168" s="8" t="s">
        <v>911</v>
      </c>
      <c r="F168" s="8" t="s">
        <v>876</v>
      </c>
      <c r="G168" s="8" t="s">
        <v>912</v>
      </c>
      <c r="H168" s="8" t="s">
        <v>883</v>
      </c>
      <c r="I168" s="8" t="str">
        <f>HYPERLINK("http://www.valmor.it/","www.valmor.it")</f>
        <v>www.valmor.it</v>
      </c>
      <c r="J168" s="10">
        <v>57063.775999999998</v>
      </c>
      <c r="K168" s="10">
        <v>57063.775999999998</v>
      </c>
      <c r="L168" s="10">
        <v>41793.305999999997</v>
      </c>
      <c r="M168" s="10">
        <v>2044.1790000000001</v>
      </c>
      <c r="N168" s="10">
        <v>2044.1790000000001</v>
      </c>
      <c r="O168" s="10">
        <v>1601.9929999999999</v>
      </c>
      <c r="P168" s="10">
        <v>178</v>
      </c>
      <c r="Q168" s="10">
        <v>178</v>
      </c>
      <c r="R168" s="10">
        <v>134</v>
      </c>
    </row>
    <row r="169" spans="1:18" ht="17" customHeight="1" x14ac:dyDescent="0.15">
      <c r="A169" s="11" t="s">
        <v>913</v>
      </c>
      <c r="B169" s="1" t="s">
        <v>914</v>
      </c>
      <c r="C169" s="11" t="s">
        <v>915</v>
      </c>
      <c r="D169" s="11" t="s">
        <v>915</v>
      </c>
      <c r="E169" s="11" t="s">
        <v>916</v>
      </c>
      <c r="F169" s="11" t="s">
        <v>876</v>
      </c>
      <c r="G169" s="11" t="s">
        <v>870</v>
      </c>
      <c r="H169" s="11" t="s">
        <v>871</v>
      </c>
      <c r="I169" s="11" t="str">
        <f>HYPERLINK("http://www.garsport.it/","www.garsport.it")</f>
        <v>www.garsport.it</v>
      </c>
      <c r="J169" s="12">
        <v>32737.377</v>
      </c>
      <c r="K169" s="12">
        <v>32737.377</v>
      </c>
      <c r="L169" s="13">
        <v>41779.016000000003</v>
      </c>
      <c r="M169" s="12">
        <v>-955.37400000000002</v>
      </c>
      <c r="N169" s="12">
        <v>-955.37400000000002</v>
      </c>
      <c r="O169" s="12">
        <v>1390.165</v>
      </c>
      <c r="P169" s="12">
        <v>40</v>
      </c>
      <c r="Q169" s="12">
        <v>40</v>
      </c>
      <c r="R169" s="12">
        <v>40</v>
      </c>
    </row>
    <row r="170" spans="1:18" ht="17" customHeight="1" x14ac:dyDescent="0.15">
      <c r="A170" s="8" t="s">
        <v>917</v>
      </c>
      <c r="B170" s="9" t="s">
        <v>918</v>
      </c>
      <c r="C170" s="8" t="s">
        <v>919</v>
      </c>
      <c r="D170" s="8" t="s">
        <v>919</v>
      </c>
      <c r="E170" s="8" t="s">
        <v>920</v>
      </c>
      <c r="F170" s="8" t="s">
        <v>921</v>
      </c>
      <c r="G170" s="8" t="s">
        <v>907</v>
      </c>
      <c r="H170" s="8" t="s">
        <v>890</v>
      </c>
      <c r="I170" s="8" t="str">
        <f>HYPERLINK("http://aspesi.com/","aspesi.com")</f>
        <v>aspesi.com</v>
      </c>
      <c r="J170" s="10">
        <v>42691.502999999997</v>
      </c>
      <c r="K170" s="10">
        <v>42691.502999999997</v>
      </c>
      <c r="L170" s="10">
        <v>41600.269</v>
      </c>
      <c r="M170" s="10">
        <v>-3931.4549999999999</v>
      </c>
      <c r="N170" s="10">
        <v>-3931.4549999999999</v>
      </c>
      <c r="O170" s="10">
        <v>-6505.902</v>
      </c>
      <c r="P170" s="10">
        <v>173</v>
      </c>
      <c r="Q170" s="10">
        <v>173</v>
      </c>
      <c r="R170" s="10">
        <v>168</v>
      </c>
    </row>
    <row r="171" spans="1:18" ht="29.5" customHeight="1" x14ac:dyDescent="0.15">
      <c r="A171" s="11" t="s">
        <v>922</v>
      </c>
      <c r="B171" s="1" t="s">
        <v>923</v>
      </c>
      <c r="C171" s="11" t="s">
        <v>924</v>
      </c>
      <c r="D171" s="11" t="s">
        <v>924</v>
      </c>
      <c r="E171" s="11" t="s">
        <v>925</v>
      </c>
      <c r="F171" s="11" t="s">
        <v>876</v>
      </c>
      <c r="G171" s="11" t="s">
        <v>926</v>
      </c>
      <c r="H171" s="11" t="s">
        <v>927</v>
      </c>
      <c r="I171" s="11" t="str">
        <f>HYPERLINK("http://www.gmitaliane.it/claudia/","www.gmitaliane.it/claudia/")</f>
        <v>www.gmitaliane.it/claudia/</v>
      </c>
      <c r="J171" s="12">
        <v>43559.472999999998</v>
      </c>
      <c r="K171" s="12">
        <v>43559.472999999998</v>
      </c>
      <c r="L171" s="13">
        <v>41400.864000000001</v>
      </c>
      <c r="M171" s="12">
        <v>498.524</v>
      </c>
      <c r="N171" s="12">
        <v>498.524</v>
      </c>
      <c r="O171" s="12">
        <v>-3527.6729999999998</v>
      </c>
      <c r="P171" s="12">
        <v>135</v>
      </c>
      <c r="Q171" s="12">
        <v>135</v>
      </c>
      <c r="R171" s="12">
        <v>128</v>
      </c>
    </row>
    <row r="172" spans="1:18" ht="29.5" customHeight="1" x14ac:dyDescent="0.15">
      <c r="A172" s="8" t="s">
        <v>928</v>
      </c>
      <c r="B172" s="9" t="s">
        <v>929</v>
      </c>
      <c r="C172" s="8" t="s">
        <v>930</v>
      </c>
      <c r="D172" s="8" t="s">
        <v>930</v>
      </c>
      <c r="E172" s="8" t="s">
        <v>931</v>
      </c>
      <c r="F172" s="8" t="s">
        <v>869</v>
      </c>
      <c r="G172" s="8" t="s">
        <v>932</v>
      </c>
      <c r="H172" s="8" t="s">
        <v>890</v>
      </c>
      <c r="I172" s="8" t="str">
        <f>HYPERLINK("http://www.lubiam.it/","www.lubiam.it")</f>
        <v>www.lubiam.it</v>
      </c>
      <c r="J172" s="10">
        <v>48397.087</v>
      </c>
      <c r="K172" s="10">
        <v>48397.087</v>
      </c>
      <c r="L172" s="10">
        <v>41035.802000000003</v>
      </c>
      <c r="M172" s="10">
        <v>172.61199999999999</v>
      </c>
      <c r="N172" s="10">
        <v>172.61199999999999</v>
      </c>
      <c r="O172" s="10">
        <v>325.08100000000002</v>
      </c>
      <c r="P172" s="10">
        <v>309</v>
      </c>
      <c r="Q172" s="10">
        <v>309</v>
      </c>
      <c r="R172" s="10">
        <v>302</v>
      </c>
    </row>
    <row r="173" spans="1:18" ht="17" customHeight="1" x14ac:dyDescent="0.15">
      <c r="A173" s="11" t="s">
        <v>933</v>
      </c>
      <c r="B173" s="1" t="s">
        <v>934</v>
      </c>
      <c r="C173" s="11" t="s">
        <v>935</v>
      </c>
      <c r="D173" s="11" t="s">
        <v>935</v>
      </c>
      <c r="E173" s="11" t="s">
        <v>936</v>
      </c>
      <c r="F173" s="11" t="s">
        <v>869</v>
      </c>
      <c r="G173" s="11" t="s">
        <v>937</v>
      </c>
      <c r="H173" s="11" t="s">
        <v>871</v>
      </c>
      <c r="I173" s="11" t="str">
        <f>HYPERLINK("http://www.aeronauticamilitareofficialstore.it/","www.aeronauticamilitareofficialstore.it")</f>
        <v>www.aeronauticamilitareofficialstore.it</v>
      </c>
      <c r="J173" s="12">
        <v>46563.73</v>
      </c>
      <c r="K173" s="12">
        <v>46563.73</v>
      </c>
      <c r="L173" s="13">
        <v>40916.527000000002</v>
      </c>
      <c r="M173" s="12">
        <v>3158.4189999999999</v>
      </c>
      <c r="N173" s="12">
        <v>3158.4189999999999</v>
      </c>
      <c r="O173" s="12">
        <v>2206.11</v>
      </c>
      <c r="P173" s="12">
        <v>104</v>
      </c>
      <c r="Q173" s="12">
        <v>104</v>
      </c>
      <c r="R173" s="12">
        <v>99</v>
      </c>
    </row>
    <row r="174" spans="1:18" ht="17" customHeight="1" x14ac:dyDescent="0.15">
      <c r="A174" s="8" t="s">
        <v>938</v>
      </c>
      <c r="B174" s="9" t="s">
        <v>939</v>
      </c>
      <c r="C174" s="8" t="s">
        <v>940</v>
      </c>
      <c r="D174" s="8" t="s">
        <v>940</v>
      </c>
      <c r="E174" s="8" t="s">
        <v>941</v>
      </c>
      <c r="F174" s="8" t="s">
        <v>901</v>
      </c>
      <c r="G174" s="8" t="s">
        <v>942</v>
      </c>
      <c r="H174" s="8" t="s">
        <v>927</v>
      </c>
      <c r="I174" s="8" t="str">
        <f>HYPERLINK("http://superior.it/","superior.it")</f>
        <v>superior.it</v>
      </c>
      <c r="J174" s="10">
        <v>29139.264999999999</v>
      </c>
      <c r="K174" s="10">
        <v>29139.264999999999</v>
      </c>
      <c r="L174" s="10">
        <v>40821.853000000003</v>
      </c>
      <c r="M174" s="10">
        <v>-1825.05</v>
      </c>
      <c r="N174" s="10">
        <v>-1825.05</v>
      </c>
      <c r="O174" s="10">
        <v>36.325000000000003</v>
      </c>
      <c r="P174" s="10">
        <v>89</v>
      </c>
      <c r="Q174" s="10">
        <v>89</v>
      </c>
      <c r="R174" s="10">
        <v>92</v>
      </c>
    </row>
    <row r="175" spans="1:18" ht="29.5" customHeight="1" x14ac:dyDescent="0.15">
      <c r="A175" s="11" t="s">
        <v>943</v>
      </c>
      <c r="B175" s="1" t="s">
        <v>944</v>
      </c>
      <c r="C175" s="11" t="s">
        <v>945</v>
      </c>
      <c r="D175" s="11" t="s">
        <v>946</v>
      </c>
      <c r="E175" s="11" t="s">
        <v>947</v>
      </c>
      <c r="F175" s="11" t="s">
        <v>876</v>
      </c>
      <c r="G175" s="11" t="s">
        <v>870</v>
      </c>
      <c r="H175" s="11" t="s">
        <v>871</v>
      </c>
      <c r="I175" s="11" t="str">
        <f>HYPERLINK("http://skandiashoes.com/","skandiashoes.com")</f>
        <v>skandiashoes.com</v>
      </c>
      <c r="J175" s="12">
        <v>29323.97</v>
      </c>
      <c r="K175" s="12">
        <v>29323.97</v>
      </c>
      <c r="L175" s="13">
        <v>40697.591999999997</v>
      </c>
      <c r="M175" s="12">
        <v>4165.1239999999998</v>
      </c>
      <c r="N175" s="12">
        <v>4165.1239999999998</v>
      </c>
      <c r="O175" s="12">
        <v>-10589.418</v>
      </c>
      <c r="P175" s="12">
        <v>38</v>
      </c>
      <c r="Q175" s="12">
        <v>38</v>
      </c>
      <c r="R175" s="12">
        <v>48</v>
      </c>
    </row>
    <row r="176" spans="1:18" ht="17" customHeight="1" x14ac:dyDescent="0.15">
      <c r="A176" s="8" t="s">
        <v>948</v>
      </c>
      <c r="B176" s="9" t="s">
        <v>949</v>
      </c>
      <c r="C176" s="8" t="s">
        <v>950</v>
      </c>
      <c r="D176" s="8" t="s">
        <v>950</v>
      </c>
      <c r="E176" s="8" t="s">
        <v>951</v>
      </c>
      <c r="F176" s="8" t="s">
        <v>906</v>
      </c>
      <c r="G176" s="8" t="s">
        <v>907</v>
      </c>
      <c r="H176" s="8" t="s">
        <v>890</v>
      </c>
      <c r="I176" s="8" t="str">
        <f>HYPERLINK("http://www.shop-msgm.com/","www.shop-msgm.com")</f>
        <v>www.shop-msgm.com</v>
      </c>
      <c r="J176" s="10">
        <v>34765.714999999997</v>
      </c>
      <c r="K176" s="10">
        <v>34765.714999999997</v>
      </c>
      <c r="L176" s="10">
        <v>40236.366000000002</v>
      </c>
      <c r="M176" s="10">
        <v>1223.7159999999999</v>
      </c>
      <c r="N176" s="10">
        <v>1223.7159999999999</v>
      </c>
      <c r="O176" s="10">
        <v>3904.2820000000002</v>
      </c>
      <c r="P176" s="10">
        <v>90</v>
      </c>
      <c r="Q176" s="10">
        <v>90</v>
      </c>
      <c r="R176" s="10">
        <v>92</v>
      </c>
    </row>
    <row r="177" spans="1:18" ht="29.5" customHeight="1" x14ac:dyDescent="0.15">
      <c r="A177" s="11" t="s">
        <v>952</v>
      </c>
      <c r="B177" s="1" t="s">
        <v>953</v>
      </c>
      <c r="C177" s="11" t="s">
        <v>954</v>
      </c>
      <c r="D177" s="11" t="s">
        <v>955</v>
      </c>
      <c r="E177" s="11" t="s">
        <v>956</v>
      </c>
      <c r="F177" s="11" t="s">
        <v>906</v>
      </c>
      <c r="G177" s="11" t="s">
        <v>907</v>
      </c>
      <c r="H177" s="11" t="s">
        <v>890</v>
      </c>
      <c r="I177" s="11" t="str">
        <f>HYPERLINK("http://www.cieffemilano.it/","www.cieffemilano.it")</f>
        <v>www.cieffemilano.it</v>
      </c>
      <c r="J177" s="12">
        <v>52340.28</v>
      </c>
      <c r="K177" s="12">
        <v>52340.28</v>
      </c>
      <c r="L177" s="13">
        <v>40184.544000000002</v>
      </c>
      <c r="M177" s="12">
        <v>5471.9269999999997</v>
      </c>
      <c r="N177" s="12">
        <v>5471.9269999999997</v>
      </c>
      <c r="O177" s="12">
        <v>3401.8629999999998</v>
      </c>
      <c r="P177" s="12">
        <v>159</v>
      </c>
      <c r="Q177" s="12">
        <v>159</v>
      </c>
      <c r="R177" s="12">
        <v>144</v>
      </c>
    </row>
    <row r="178" spans="1:18" ht="17" customHeight="1" x14ac:dyDescent="0.15">
      <c r="A178" s="8" t="s">
        <v>957</v>
      </c>
      <c r="B178" s="9" t="s">
        <v>958</v>
      </c>
      <c r="C178" s="8" t="s">
        <v>959</v>
      </c>
      <c r="D178" s="8" t="s">
        <v>959</v>
      </c>
      <c r="E178" s="8" t="s">
        <v>960</v>
      </c>
      <c r="F178" s="8" t="s">
        <v>869</v>
      </c>
      <c r="G178" s="8" t="s">
        <v>961</v>
      </c>
      <c r="H178" s="8" t="s">
        <v>927</v>
      </c>
      <c r="I178" s="8" t="str">
        <f>HYPERLINK("http://www.e-monnalisa.com/","www.e-monnalisa.com")</f>
        <v>www.e-monnalisa.com</v>
      </c>
      <c r="J178" s="10">
        <v>35083</v>
      </c>
      <c r="K178" s="10">
        <v>35083</v>
      </c>
      <c r="L178" s="10">
        <v>39689</v>
      </c>
      <c r="M178" s="10">
        <v>-5100</v>
      </c>
      <c r="N178" s="10">
        <v>-5100</v>
      </c>
      <c r="O178" s="10">
        <v>-195</v>
      </c>
      <c r="P178" s="15" t="s">
        <v>962</v>
      </c>
      <c r="Q178" s="15" t="s">
        <v>962</v>
      </c>
      <c r="R178" s="10">
        <v>201</v>
      </c>
    </row>
    <row r="179" spans="1:18" ht="43" customHeight="1" x14ac:dyDescent="0.15">
      <c r="A179" s="11" t="s">
        <v>963</v>
      </c>
      <c r="B179" s="1" t="s">
        <v>964</v>
      </c>
      <c r="C179" s="11" t="s">
        <v>965</v>
      </c>
      <c r="D179" s="11" t="s">
        <v>965</v>
      </c>
      <c r="E179" s="11" t="s">
        <v>966</v>
      </c>
      <c r="F179" s="11" t="s">
        <v>895</v>
      </c>
      <c r="G179" s="11" t="s">
        <v>967</v>
      </c>
      <c r="H179" s="11" t="s">
        <v>890</v>
      </c>
      <c r="I179" s="11" t="str">
        <f>HYPERLINK("http://www.brics.it/","http://www.brics.it")</f>
        <v>http://www.brics.it</v>
      </c>
      <c r="J179" s="12">
        <v>48493.08</v>
      </c>
      <c r="K179" s="12">
        <v>48493.08</v>
      </c>
      <c r="L179" s="13">
        <v>39260.392999999996</v>
      </c>
      <c r="M179" s="12">
        <v>2987.7240000000002</v>
      </c>
      <c r="N179" s="12">
        <v>2987.7240000000002</v>
      </c>
      <c r="O179" s="12">
        <v>1870.6320000000001</v>
      </c>
      <c r="P179" s="12">
        <v>100</v>
      </c>
      <c r="Q179" s="12">
        <v>100</v>
      </c>
      <c r="R179" s="12">
        <v>96</v>
      </c>
    </row>
    <row r="180" spans="1:18" ht="29.5" customHeight="1" x14ac:dyDescent="0.15">
      <c r="A180" s="8" t="s">
        <v>968</v>
      </c>
      <c r="B180" s="9" t="s">
        <v>969</v>
      </c>
      <c r="C180" s="8" t="s">
        <v>970</v>
      </c>
      <c r="D180" s="8" t="s">
        <v>970</v>
      </c>
      <c r="E180" s="8" t="s">
        <v>971</v>
      </c>
      <c r="F180" s="8" t="s">
        <v>972</v>
      </c>
      <c r="G180" s="8" t="s">
        <v>973</v>
      </c>
      <c r="H180" s="8" t="s">
        <v>927</v>
      </c>
      <c r="I180" s="8" t="str">
        <f>HYPERLINK("http://www.pellemoda.org/","www.pellemoda.org")</f>
        <v>www.pellemoda.org</v>
      </c>
      <c r="J180" s="10">
        <v>44694.334999999999</v>
      </c>
      <c r="K180" s="10">
        <v>44694.334999999999</v>
      </c>
      <c r="L180" s="10">
        <v>39073.9</v>
      </c>
      <c r="M180" s="10">
        <v>2850.2190000000001</v>
      </c>
      <c r="N180" s="10">
        <v>2850.2190000000001</v>
      </c>
      <c r="O180" s="10">
        <v>1467.049</v>
      </c>
      <c r="P180" s="10">
        <v>158</v>
      </c>
      <c r="Q180" s="10">
        <v>158</v>
      </c>
      <c r="R180" s="10">
        <v>138</v>
      </c>
    </row>
    <row r="181" spans="1:18" ht="17" customHeight="1" x14ac:dyDescent="0.15">
      <c r="A181" s="11" t="s">
        <v>974</v>
      </c>
      <c r="B181" s="1" t="s">
        <v>975</v>
      </c>
      <c r="C181" s="11" t="s">
        <v>976</v>
      </c>
      <c r="D181" s="11" t="s">
        <v>976</v>
      </c>
      <c r="E181" s="11" t="s">
        <v>977</v>
      </c>
      <c r="F181" s="11" t="s">
        <v>895</v>
      </c>
      <c r="G181" s="11" t="s">
        <v>973</v>
      </c>
      <c r="H181" s="11" t="s">
        <v>927</v>
      </c>
      <c r="I181" s="11" t="str">
        <f>HYPERLINK("http://www.bulgari.com/","www.bulgari.com")</f>
        <v>www.bulgari.com</v>
      </c>
      <c r="J181" s="12">
        <v>53541.243000000002</v>
      </c>
      <c r="K181" s="12">
        <v>53541.243000000002</v>
      </c>
      <c r="L181" s="13">
        <v>38977.137999999999</v>
      </c>
      <c r="M181" s="12">
        <v>3854.0230000000001</v>
      </c>
      <c r="N181" s="12">
        <v>3854.0230000000001</v>
      </c>
      <c r="O181" s="12">
        <v>2299.62</v>
      </c>
      <c r="P181" s="12">
        <v>101</v>
      </c>
      <c r="Q181" s="12">
        <v>101</v>
      </c>
      <c r="R181" s="12">
        <v>99</v>
      </c>
    </row>
    <row r="182" spans="1:18" ht="17" customHeight="1" x14ac:dyDescent="0.15">
      <c r="A182" s="8" t="s">
        <v>978</v>
      </c>
      <c r="B182" s="9" t="s">
        <v>979</v>
      </c>
      <c r="C182" s="8" t="s">
        <v>980</v>
      </c>
      <c r="D182" s="8" t="s">
        <v>980</v>
      </c>
      <c r="E182" s="8" t="s">
        <v>981</v>
      </c>
      <c r="F182" s="8" t="s">
        <v>869</v>
      </c>
      <c r="G182" s="8" t="s">
        <v>896</v>
      </c>
      <c r="H182" s="8" t="s">
        <v>871</v>
      </c>
      <c r="I182" s="8" t="str">
        <f>HYPERLINK("http://www.slowear.com/","www.slowear.com")</f>
        <v>www.slowear.com</v>
      </c>
      <c r="J182" s="10">
        <v>42310.847999999998</v>
      </c>
      <c r="K182" s="10">
        <v>42310.847999999998</v>
      </c>
      <c r="L182" s="10">
        <v>38932.595999999998</v>
      </c>
      <c r="M182" s="10">
        <v>-6319.9530000000004</v>
      </c>
      <c r="N182" s="10">
        <v>-6319.9530000000004</v>
      </c>
      <c r="O182" s="10">
        <v>-5202.3310000000001</v>
      </c>
      <c r="P182" s="10">
        <v>138</v>
      </c>
      <c r="Q182" s="10">
        <v>138</v>
      </c>
      <c r="R182" s="10">
        <v>138</v>
      </c>
    </row>
    <row r="183" spans="1:18" ht="17" customHeight="1" x14ac:dyDescent="0.15">
      <c r="A183" s="11" t="s">
        <v>982</v>
      </c>
      <c r="B183" s="1" t="s">
        <v>983</v>
      </c>
      <c r="C183" s="11" t="s">
        <v>984</v>
      </c>
      <c r="D183" s="11" t="s">
        <v>984</v>
      </c>
      <c r="E183" s="11" t="s">
        <v>985</v>
      </c>
      <c r="F183" s="11" t="s">
        <v>901</v>
      </c>
      <c r="G183" s="11" t="s">
        <v>907</v>
      </c>
      <c r="H183" s="11" t="s">
        <v>890</v>
      </c>
      <c r="I183" s="11" t="str">
        <f>HYPERLINK("http://www.stefania.it/","www.stefania.it")</f>
        <v>www.stefania.it</v>
      </c>
      <c r="J183" s="12">
        <v>34724.748</v>
      </c>
      <c r="K183" s="12">
        <v>34724.748</v>
      </c>
      <c r="L183" s="13">
        <v>38746.413</v>
      </c>
      <c r="M183" s="12">
        <v>246.47399999999999</v>
      </c>
      <c r="N183" s="12">
        <v>246.47399999999999</v>
      </c>
      <c r="O183" s="12">
        <v>478.90100000000001</v>
      </c>
      <c r="P183" s="12">
        <v>148</v>
      </c>
      <c r="Q183" s="12">
        <v>148</v>
      </c>
      <c r="R183" s="12">
        <v>144</v>
      </c>
    </row>
    <row r="184" spans="1:18" ht="17" customHeight="1" x14ac:dyDescent="0.15">
      <c r="A184" s="8" t="s">
        <v>986</v>
      </c>
      <c r="B184" s="9" t="s">
        <v>987</v>
      </c>
      <c r="C184" s="8" t="s">
        <v>988</v>
      </c>
      <c r="D184" s="8" t="s">
        <v>989</v>
      </c>
      <c r="E184" s="8" t="s">
        <v>990</v>
      </c>
      <c r="F184" s="8" t="s">
        <v>876</v>
      </c>
      <c r="G184" s="8" t="s">
        <v>907</v>
      </c>
      <c r="H184" s="8" t="s">
        <v>890</v>
      </c>
      <c r="I184" s="8" t="str">
        <f>HYPERLINK("http://www.rossetti.it/","www.rossetti.it")</f>
        <v>www.rossetti.it</v>
      </c>
      <c r="J184" s="10">
        <v>40869.955000000002</v>
      </c>
      <c r="K184" s="10">
        <v>40869.955000000002</v>
      </c>
      <c r="L184" s="10">
        <v>38512.868999999999</v>
      </c>
      <c r="M184" s="10">
        <v>-933.81799999999998</v>
      </c>
      <c r="N184" s="10">
        <v>-933.81799999999998</v>
      </c>
      <c r="O184" s="10">
        <v>-485.78</v>
      </c>
      <c r="P184" s="10">
        <v>271</v>
      </c>
      <c r="Q184" s="10">
        <v>271</v>
      </c>
      <c r="R184" s="10">
        <v>258</v>
      </c>
    </row>
    <row r="185" spans="1:18" ht="17" customHeight="1" x14ac:dyDescent="0.15">
      <c r="A185" s="11" t="s">
        <v>991</v>
      </c>
      <c r="B185" s="1" t="s">
        <v>992</v>
      </c>
      <c r="C185" s="11" t="s">
        <v>993</v>
      </c>
      <c r="D185" s="11" t="s">
        <v>993</v>
      </c>
      <c r="E185" s="11" t="s">
        <v>994</v>
      </c>
      <c r="F185" s="11" t="s">
        <v>895</v>
      </c>
      <c r="G185" s="11" t="s">
        <v>896</v>
      </c>
      <c r="H185" s="11" t="s">
        <v>871</v>
      </c>
      <c r="I185" s="11" t="str">
        <f>HYPERLINK("http://www.roncato.com/","www.roncato.com")</f>
        <v>www.roncato.com</v>
      </c>
      <c r="J185" s="12">
        <v>44619.353999999999</v>
      </c>
      <c r="K185" s="12">
        <v>44619.353999999999</v>
      </c>
      <c r="L185" s="13">
        <v>38243.563999999998</v>
      </c>
      <c r="M185" s="12">
        <v>4938.7579999999998</v>
      </c>
      <c r="N185" s="12">
        <v>4938.7579999999998</v>
      </c>
      <c r="O185" s="12">
        <v>1925.2639999999999</v>
      </c>
      <c r="P185" s="12">
        <v>148</v>
      </c>
      <c r="Q185" s="12">
        <v>148</v>
      </c>
      <c r="R185" s="12">
        <v>135</v>
      </c>
    </row>
    <row r="186" spans="1:18" ht="17" customHeight="1" x14ac:dyDescent="0.15">
      <c r="A186" s="8" t="s">
        <v>995</v>
      </c>
      <c r="B186" s="9" t="s">
        <v>996</v>
      </c>
      <c r="C186" s="8" t="s">
        <v>997</v>
      </c>
      <c r="D186" s="8" t="s">
        <v>997</v>
      </c>
      <c r="E186" s="8" t="s">
        <v>998</v>
      </c>
      <c r="F186" s="8" t="s">
        <v>999</v>
      </c>
      <c r="G186" s="8" t="s">
        <v>932</v>
      </c>
      <c r="H186" s="8" t="s">
        <v>890</v>
      </c>
      <c r="I186" s="8" t="str">
        <f>HYPERLINK("http://www.thinkpink.it/","www.thinkpink.it")</f>
        <v>www.thinkpink.it</v>
      </c>
      <c r="J186" s="10">
        <v>35515.678999999996</v>
      </c>
      <c r="K186" s="10">
        <v>35515.678999999996</v>
      </c>
      <c r="L186" s="10">
        <v>38185.497000000003</v>
      </c>
      <c r="M186" s="10">
        <v>2222.645</v>
      </c>
      <c r="N186" s="10">
        <v>2222.645</v>
      </c>
      <c r="O186" s="10">
        <v>1301.5740000000001</v>
      </c>
      <c r="P186" s="10">
        <v>45</v>
      </c>
      <c r="Q186" s="10">
        <v>45</v>
      </c>
      <c r="R186" s="10">
        <v>46</v>
      </c>
    </row>
    <row r="187" spans="1:18" ht="17" customHeight="1" x14ac:dyDescent="0.15">
      <c r="A187" s="11" t="s">
        <v>1000</v>
      </c>
      <c r="B187" s="1" t="s">
        <v>1001</v>
      </c>
      <c r="C187" s="11" t="s">
        <v>1002</v>
      </c>
      <c r="D187" s="11" t="s">
        <v>1002</v>
      </c>
      <c r="E187" s="11" t="s">
        <v>1003</v>
      </c>
      <c r="F187" s="11" t="s">
        <v>901</v>
      </c>
      <c r="G187" s="11" t="s">
        <v>942</v>
      </c>
      <c r="H187" s="11" t="s">
        <v>927</v>
      </c>
      <c r="I187" s="11" t="str">
        <f>HYPERLINK("http://www.bcn.it/","www.bcn.it")</f>
        <v>www.bcn.it</v>
      </c>
      <c r="J187" s="12">
        <v>35629.841</v>
      </c>
      <c r="K187" s="12">
        <v>35629.841</v>
      </c>
      <c r="L187" s="13">
        <v>37758.298000000003</v>
      </c>
      <c r="M187" s="12">
        <v>2718.5859999999998</v>
      </c>
      <c r="N187" s="12">
        <v>2718.5859999999998</v>
      </c>
      <c r="O187" s="12">
        <v>2411.7339999999999</v>
      </c>
      <c r="P187" s="12">
        <v>69</v>
      </c>
      <c r="Q187" s="12">
        <v>69</v>
      </c>
      <c r="R187" s="12">
        <v>66</v>
      </c>
    </row>
    <row r="188" spans="1:18" ht="17" customHeight="1" x14ac:dyDescent="0.15">
      <c r="A188" s="8" t="s">
        <v>1004</v>
      </c>
      <c r="B188" s="9" t="s">
        <v>1005</v>
      </c>
      <c r="C188" s="8" t="s">
        <v>1006</v>
      </c>
      <c r="D188" s="8" t="s">
        <v>1006</v>
      </c>
      <c r="E188" s="8" t="s">
        <v>1007</v>
      </c>
      <c r="F188" s="8" t="s">
        <v>876</v>
      </c>
      <c r="G188" s="8" t="s">
        <v>973</v>
      </c>
      <c r="H188" s="8" t="s">
        <v>927</v>
      </c>
      <c r="I188" s="8" t="str">
        <f>HYPERLINK("http://www.petrashoes.it/","http://www.petrashoes.it")</f>
        <v>http://www.petrashoes.it</v>
      </c>
      <c r="J188" s="10">
        <v>48723.010999999999</v>
      </c>
      <c r="K188" s="10">
        <v>48723.010999999999</v>
      </c>
      <c r="L188" s="10">
        <v>37514.728000000003</v>
      </c>
      <c r="M188" s="10">
        <v>4357.8109999999997</v>
      </c>
      <c r="N188" s="10">
        <v>4357.8109999999997</v>
      </c>
      <c r="O188" s="10">
        <v>3160.076</v>
      </c>
      <c r="P188" s="10">
        <v>89</v>
      </c>
      <c r="Q188" s="10">
        <v>89</v>
      </c>
      <c r="R188" s="10">
        <v>85</v>
      </c>
    </row>
    <row r="189" spans="1:18" ht="17" customHeight="1" x14ac:dyDescent="0.15">
      <c r="A189" s="11" t="s">
        <v>1008</v>
      </c>
      <c r="B189" s="1" t="s">
        <v>1009</v>
      </c>
      <c r="C189" s="11" t="s">
        <v>1010</v>
      </c>
      <c r="D189" s="11" t="s">
        <v>1010</v>
      </c>
      <c r="E189" s="11" t="s">
        <v>1011</v>
      </c>
      <c r="F189" s="11" t="s">
        <v>876</v>
      </c>
      <c r="G189" s="11" t="s">
        <v>896</v>
      </c>
      <c r="H189" s="11" t="s">
        <v>871</v>
      </c>
      <c r="I189" s="11" t="str">
        <f>HYPERLINK("http://www.orionspa.com/","www.orionspa.com")</f>
        <v>www.orionspa.com</v>
      </c>
      <c r="J189" s="12">
        <v>32144.924999999999</v>
      </c>
      <c r="K189" s="12">
        <v>32144.924999999999</v>
      </c>
      <c r="L189" s="13">
        <v>37214.682000000001</v>
      </c>
      <c r="M189" s="12">
        <v>179.13300000000001</v>
      </c>
      <c r="N189" s="12">
        <v>179.13300000000001</v>
      </c>
      <c r="O189" s="12">
        <v>-305.47500000000002</v>
      </c>
      <c r="P189" s="12">
        <v>149</v>
      </c>
      <c r="Q189" s="12">
        <v>149</v>
      </c>
      <c r="R189" s="12">
        <v>160</v>
      </c>
    </row>
    <row r="190" spans="1:18" ht="17" customHeight="1" x14ac:dyDescent="0.15">
      <c r="A190" s="8" t="s">
        <v>1012</v>
      </c>
      <c r="B190" s="9" t="s">
        <v>1013</v>
      </c>
      <c r="C190" s="8" t="s">
        <v>1014</v>
      </c>
      <c r="D190" s="8" t="s">
        <v>1014</v>
      </c>
      <c r="E190" s="8" t="s">
        <v>1015</v>
      </c>
      <c r="F190" s="8" t="s">
        <v>895</v>
      </c>
      <c r="G190" s="8" t="s">
        <v>1016</v>
      </c>
      <c r="H190" s="8" t="s">
        <v>927</v>
      </c>
      <c r="I190" s="8" t="str">
        <f>HYPERLINK("http://www.hopenclo.com/","www.hopenclo.com")</f>
        <v>www.hopenclo.com</v>
      </c>
      <c r="J190" s="10">
        <v>46071.622000000003</v>
      </c>
      <c r="K190" s="10">
        <v>46071.622000000003</v>
      </c>
      <c r="L190" s="10">
        <v>37154.180999999997</v>
      </c>
      <c r="M190" s="10">
        <v>307.54500000000002</v>
      </c>
      <c r="N190" s="10">
        <v>307.54500000000002</v>
      </c>
      <c r="O190" s="10">
        <v>117.285</v>
      </c>
      <c r="P190" s="10">
        <v>23</v>
      </c>
      <c r="Q190" s="10">
        <v>23</v>
      </c>
      <c r="R190" s="10">
        <v>17</v>
      </c>
    </row>
    <row r="191" spans="1:18" ht="29.5" customHeight="1" x14ac:dyDescent="0.15">
      <c r="A191" s="11" t="s">
        <v>1017</v>
      </c>
      <c r="B191" s="1" t="s">
        <v>1018</v>
      </c>
      <c r="C191" s="11" t="s">
        <v>1019</v>
      </c>
      <c r="D191" s="11" t="s">
        <v>1019</v>
      </c>
      <c r="E191" s="11" t="s">
        <v>1020</v>
      </c>
      <c r="F191" s="11" t="s">
        <v>876</v>
      </c>
      <c r="G191" s="11" t="s">
        <v>896</v>
      </c>
      <c r="H191" s="11" t="s">
        <v>871</v>
      </c>
      <c r="I191" s="11" t="str">
        <f>HYPERLINK("http://www.carmens.it/","www.carmens.it")</f>
        <v>www.carmens.it</v>
      </c>
      <c r="J191" s="12">
        <v>36883.012000000002</v>
      </c>
      <c r="K191" s="14" t="s">
        <v>962</v>
      </c>
      <c r="L191" s="13">
        <v>36883.012000000002</v>
      </c>
      <c r="M191" s="12">
        <v>-1253.096</v>
      </c>
      <c r="N191" s="14" t="s">
        <v>962</v>
      </c>
      <c r="O191" s="12">
        <v>-1253.096</v>
      </c>
      <c r="P191" s="12">
        <v>77</v>
      </c>
      <c r="Q191" s="14" t="s">
        <v>962</v>
      </c>
      <c r="R191" s="12">
        <v>77</v>
      </c>
    </row>
    <row r="192" spans="1:18" ht="17" customHeight="1" x14ac:dyDescent="0.15">
      <c r="A192" s="8" t="s">
        <v>1021</v>
      </c>
      <c r="B192" s="9" t="s">
        <v>1022</v>
      </c>
      <c r="C192" s="8" t="s">
        <v>1023</v>
      </c>
      <c r="D192" s="8" t="s">
        <v>1023</v>
      </c>
      <c r="E192" s="8" t="s">
        <v>1024</v>
      </c>
      <c r="F192" s="8" t="s">
        <v>869</v>
      </c>
      <c r="G192" s="8" t="s">
        <v>1025</v>
      </c>
      <c r="H192" s="8" t="s">
        <v>871</v>
      </c>
      <c r="I192" s="8" t="str">
        <f>HYPERLINK("http://www.carrerajeans.com/","www.carrerajeans.com")</f>
        <v>www.carrerajeans.com</v>
      </c>
      <c r="J192" s="10">
        <v>39174.796000000002</v>
      </c>
      <c r="K192" s="10">
        <v>39174.796000000002</v>
      </c>
      <c r="L192" s="10">
        <v>36819.099000000002</v>
      </c>
      <c r="M192" s="10">
        <v>355.72899999999998</v>
      </c>
      <c r="N192" s="10">
        <v>355.72899999999998</v>
      </c>
      <c r="O192" s="10">
        <v>318.62299999999999</v>
      </c>
      <c r="P192" s="15" t="s">
        <v>962</v>
      </c>
      <c r="Q192" s="15" t="s">
        <v>962</v>
      </c>
      <c r="R192" s="10">
        <v>120</v>
      </c>
    </row>
    <row r="193" spans="1:18" ht="17" customHeight="1" x14ac:dyDescent="0.15">
      <c r="A193" s="11" t="s">
        <v>1026</v>
      </c>
      <c r="B193" s="1" t="s">
        <v>1027</v>
      </c>
      <c r="C193" s="11" t="s">
        <v>1028</v>
      </c>
      <c r="D193" s="11" t="s">
        <v>1028</v>
      </c>
      <c r="E193" s="11" t="s">
        <v>1029</v>
      </c>
      <c r="F193" s="11" t="s">
        <v>1030</v>
      </c>
      <c r="G193" s="11" t="s">
        <v>1031</v>
      </c>
      <c r="H193" s="11" t="s">
        <v>1032</v>
      </c>
      <c r="I193" s="11" t="str">
        <f>HYPERLINK("http://waycapspa.com/","waycapspa.com")</f>
        <v>waycapspa.com</v>
      </c>
      <c r="J193" s="12">
        <v>28360.462</v>
      </c>
      <c r="K193" s="12">
        <v>28360.462</v>
      </c>
      <c r="L193" s="13">
        <v>36622.321000000004</v>
      </c>
      <c r="M193" s="12">
        <v>-2175.413</v>
      </c>
      <c r="N193" s="12">
        <v>-2175.413</v>
      </c>
      <c r="O193" s="12">
        <v>-2882.7640000000001</v>
      </c>
      <c r="P193" s="12">
        <v>197</v>
      </c>
      <c r="Q193" s="12">
        <v>197</v>
      </c>
      <c r="R193" s="12">
        <v>38</v>
      </c>
    </row>
    <row r="194" spans="1:18" ht="17" customHeight="1" x14ac:dyDescent="0.15">
      <c r="A194" s="8" t="s">
        <v>1033</v>
      </c>
      <c r="B194" s="9" t="s">
        <v>1034</v>
      </c>
      <c r="C194" s="8" t="s">
        <v>1035</v>
      </c>
      <c r="D194" s="8" t="s">
        <v>1035</v>
      </c>
      <c r="E194" s="8" t="s">
        <v>1036</v>
      </c>
      <c r="F194" s="8" t="s">
        <v>1037</v>
      </c>
      <c r="G194" s="8" t="s">
        <v>1038</v>
      </c>
      <c r="H194" s="8" t="s">
        <v>1032</v>
      </c>
      <c r="I194" s="8" t="str">
        <f>HYPERLINK("http://www.selleitalia.com/","www.selleitalia.com")</f>
        <v>www.selleitalia.com</v>
      </c>
      <c r="J194" s="10">
        <v>22226.862000000001</v>
      </c>
      <c r="K194" s="10">
        <v>25045.473000000002</v>
      </c>
      <c r="L194" s="10">
        <v>36620.565999999999</v>
      </c>
      <c r="M194" s="10">
        <v>362.90600000000001</v>
      </c>
      <c r="N194" s="10">
        <v>84.730999999999995</v>
      </c>
      <c r="O194" s="10">
        <v>4700.951</v>
      </c>
      <c r="P194" s="10">
        <v>48</v>
      </c>
      <c r="Q194" s="10">
        <v>50</v>
      </c>
      <c r="R194" s="10">
        <v>63</v>
      </c>
    </row>
    <row r="195" spans="1:18" ht="29.5" customHeight="1" x14ac:dyDescent="0.15">
      <c r="A195" s="11" t="s">
        <v>1039</v>
      </c>
      <c r="B195" s="1" t="s">
        <v>1040</v>
      </c>
      <c r="C195" s="11" t="s">
        <v>1041</v>
      </c>
      <c r="D195" s="11" t="s">
        <v>1041</v>
      </c>
      <c r="E195" s="11" t="s">
        <v>1042</v>
      </c>
      <c r="F195" s="11" t="s">
        <v>1043</v>
      </c>
      <c r="G195" s="11" t="s">
        <v>1044</v>
      </c>
      <c r="H195" s="11" t="s">
        <v>1045</v>
      </c>
      <c r="I195" s="11" t="str">
        <f>HYPERLINK("http://www.zumapellipregiate.com/","www.zumapellipregiate.com")</f>
        <v>www.zumapellipregiate.com</v>
      </c>
      <c r="J195" s="12">
        <v>34125.387000000002</v>
      </c>
      <c r="K195" s="12">
        <v>34125.387000000002</v>
      </c>
      <c r="L195" s="13">
        <v>36567.542999999998</v>
      </c>
      <c r="M195" s="12">
        <v>-14305.821</v>
      </c>
      <c r="N195" s="12">
        <v>-14305.821</v>
      </c>
      <c r="O195" s="12">
        <v>6661.37</v>
      </c>
      <c r="P195" s="12">
        <v>56</v>
      </c>
      <c r="Q195" s="12">
        <v>56</v>
      </c>
      <c r="R195" s="12">
        <v>43</v>
      </c>
    </row>
    <row r="196" spans="1:18" ht="17" customHeight="1" x14ac:dyDescent="0.15">
      <c r="A196" s="8" t="s">
        <v>1046</v>
      </c>
      <c r="B196" s="9" t="s">
        <v>1047</v>
      </c>
      <c r="C196" s="8" t="s">
        <v>1048</v>
      </c>
      <c r="D196" s="8" t="s">
        <v>1048</v>
      </c>
      <c r="E196" s="8" t="s">
        <v>1049</v>
      </c>
      <c r="F196" s="8" t="s">
        <v>1050</v>
      </c>
      <c r="G196" s="8" t="s">
        <v>1051</v>
      </c>
      <c r="H196" s="8" t="s">
        <v>1032</v>
      </c>
      <c r="I196" s="8" t="str">
        <f>HYPERLINK("http://www.philippemodel.com/","www.philippemodel.com")</f>
        <v>www.philippemodel.com</v>
      </c>
      <c r="J196" s="10">
        <v>34348</v>
      </c>
      <c r="K196" s="10">
        <v>34348</v>
      </c>
      <c r="L196" s="10">
        <v>36395</v>
      </c>
      <c r="M196" s="10">
        <v>933</v>
      </c>
      <c r="N196" s="10">
        <v>933</v>
      </c>
      <c r="O196" s="10">
        <v>2221</v>
      </c>
      <c r="P196" s="10">
        <v>48</v>
      </c>
      <c r="Q196" s="10">
        <v>48</v>
      </c>
      <c r="R196" s="10">
        <v>48</v>
      </c>
    </row>
    <row r="197" spans="1:18" ht="29.5" customHeight="1" x14ac:dyDescent="0.15">
      <c r="A197" s="11" t="s">
        <v>1052</v>
      </c>
      <c r="B197" s="1" t="s">
        <v>1053</v>
      </c>
      <c r="C197" s="11" t="s">
        <v>1054</v>
      </c>
      <c r="D197" s="11" t="s">
        <v>1054</v>
      </c>
      <c r="E197" s="11" t="s">
        <v>1055</v>
      </c>
      <c r="F197" s="11" t="s">
        <v>1050</v>
      </c>
      <c r="G197" s="11" t="s">
        <v>1056</v>
      </c>
      <c r="H197" s="11" t="s">
        <v>1057</v>
      </c>
      <c r="I197" s="11" t="str">
        <f>HYPERLINK("http://www.rodolfozengariniofficial.com/","www.rodolfozengariniofficial.com")</f>
        <v>www.rodolfozengariniofficial.com</v>
      </c>
      <c r="J197" s="12">
        <v>22589.88</v>
      </c>
      <c r="K197" s="12">
        <v>22589.88</v>
      </c>
      <c r="L197" s="13">
        <v>36372.516000000003</v>
      </c>
      <c r="M197" s="12">
        <v>1692.7819999999999</v>
      </c>
      <c r="N197" s="12">
        <v>1692.7819999999999</v>
      </c>
      <c r="O197" s="12">
        <v>827.26</v>
      </c>
      <c r="P197" s="12">
        <v>47</v>
      </c>
      <c r="Q197" s="12">
        <v>47</v>
      </c>
      <c r="R197" s="12">
        <v>47</v>
      </c>
    </row>
    <row r="198" spans="1:18" ht="17" customHeight="1" x14ac:dyDescent="0.15">
      <c r="A198" s="8" t="s">
        <v>1058</v>
      </c>
      <c r="B198" s="9" t="s">
        <v>1059</v>
      </c>
      <c r="C198" s="8" t="s">
        <v>1060</v>
      </c>
      <c r="D198" s="8" t="s">
        <v>1060</v>
      </c>
      <c r="E198" s="8" t="s">
        <v>1061</v>
      </c>
      <c r="F198" s="8" t="s">
        <v>1050</v>
      </c>
      <c r="G198" s="8" t="s">
        <v>1062</v>
      </c>
      <c r="H198" s="8" t="s">
        <v>1063</v>
      </c>
      <c r="I198" s="8" t="str">
        <f>HYPERLINK("http://eu.christianlouboutin.com/it_en/","eu.christianlouboutin.com/it_en/")</f>
        <v>eu.christianlouboutin.com/it_en/</v>
      </c>
      <c r="J198" s="10">
        <v>37170.909</v>
      </c>
      <c r="K198" s="10">
        <v>39651.661999999997</v>
      </c>
      <c r="L198" s="10">
        <v>36270.794999999998</v>
      </c>
      <c r="M198" s="10">
        <v>-2850.4369999999999</v>
      </c>
      <c r="N198" s="10">
        <v>140.33099999999999</v>
      </c>
      <c r="O198" s="10">
        <v>-2013.9359999999999</v>
      </c>
      <c r="P198" s="10">
        <v>233</v>
      </c>
      <c r="Q198" s="10">
        <v>227</v>
      </c>
      <c r="R198" s="10">
        <v>224</v>
      </c>
    </row>
    <row r="199" spans="1:18" ht="17" customHeight="1" x14ac:dyDescent="0.15">
      <c r="A199" s="11" t="s">
        <v>1064</v>
      </c>
      <c r="B199" s="1" t="s">
        <v>1065</v>
      </c>
      <c r="C199" s="11" t="s">
        <v>1066</v>
      </c>
      <c r="D199" s="11" t="s">
        <v>1066</v>
      </c>
      <c r="E199" s="11" t="s">
        <v>1067</v>
      </c>
      <c r="F199" s="11" t="s">
        <v>1050</v>
      </c>
      <c r="G199" s="11" t="s">
        <v>1068</v>
      </c>
      <c r="H199" s="11" t="s">
        <v>1045</v>
      </c>
      <c r="I199" s="11" t="str">
        <f>HYPERLINK("http://calzaturificiostella.it/","calzaturificiostella.it")</f>
        <v>calzaturificiostella.it</v>
      </c>
      <c r="J199" s="12">
        <v>27159.06</v>
      </c>
      <c r="K199" s="12">
        <v>27159.06</v>
      </c>
      <c r="L199" s="13">
        <v>35758.139000000003</v>
      </c>
      <c r="M199" s="12">
        <v>1430.114</v>
      </c>
      <c r="N199" s="12">
        <v>1430.114</v>
      </c>
      <c r="O199" s="12">
        <v>1742.4459999999999</v>
      </c>
      <c r="P199" s="12">
        <v>57</v>
      </c>
      <c r="Q199" s="12">
        <v>57</v>
      </c>
      <c r="R199" s="12">
        <v>43</v>
      </c>
    </row>
    <row r="200" spans="1:18" ht="17" customHeight="1" x14ac:dyDescent="0.15">
      <c r="A200" s="8" t="s">
        <v>1069</v>
      </c>
      <c r="B200" s="9" t="s">
        <v>1070</v>
      </c>
      <c r="C200" s="8" t="s">
        <v>1071</v>
      </c>
      <c r="D200" s="8" t="s">
        <v>1071</v>
      </c>
      <c r="E200" s="8" t="s">
        <v>1072</v>
      </c>
      <c r="F200" s="8" t="s">
        <v>1073</v>
      </c>
      <c r="G200" s="8" t="s">
        <v>1074</v>
      </c>
      <c r="H200" s="8" t="s">
        <v>1075</v>
      </c>
      <c r="I200" s="8" t="str">
        <f>HYPERLINK("http://intimoartu.it/","intimoartu.it")</f>
        <v>intimoartu.it</v>
      </c>
      <c r="J200" s="10">
        <v>35014.904000000002</v>
      </c>
      <c r="K200" s="10">
        <v>35014.904000000002</v>
      </c>
      <c r="L200" s="10">
        <v>35454.177000000003</v>
      </c>
      <c r="M200" s="10">
        <v>5252.223</v>
      </c>
      <c r="N200" s="10">
        <v>5252.223</v>
      </c>
      <c r="O200" s="10">
        <v>5735.7529999999997</v>
      </c>
      <c r="P200" s="10">
        <v>71</v>
      </c>
      <c r="Q200" s="10">
        <v>71</v>
      </c>
      <c r="R200" s="10">
        <v>64</v>
      </c>
    </row>
    <row r="201" spans="1:18" ht="17" customHeight="1" x14ac:dyDescent="0.15">
      <c r="A201" s="11" t="s">
        <v>1076</v>
      </c>
      <c r="B201" s="1" t="s">
        <v>1077</v>
      </c>
      <c r="C201" s="11" t="s">
        <v>1078</v>
      </c>
      <c r="D201" s="11" t="s">
        <v>1078</v>
      </c>
      <c r="E201" s="11" t="s">
        <v>1079</v>
      </c>
      <c r="F201" s="11" t="s">
        <v>1080</v>
      </c>
      <c r="G201" s="11" t="s">
        <v>1081</v>
      </c>
      <c r="H201" s="11" t="s">
        <v>1057</v>
      </c>
      <c r="I201" s="11" t="str">
        <f>HYPERLINK("http://cbfbalducci.com/","cbfbalducci.com")</f>
        <v>cbfbalducci.com</v>
      </c>
      <c r="J201" s="12">
        <v>38020.703999999998</v>
      </c>
      <c r="K201" s="12">
        <v>38020.703999999998</v>
      </c>
      <c r="L201" s="13">
        <v>35424.712</v>
      </c>
      <c r="M201" s="12">
        <v>1603.7829999999999</v>
      </c>
      <c r="N201" s="12">
        <v>1603.7829999999999</v>
      </c>
      <c r="O201" s="12">
        <v>908.83199999999999</v>
      </c>
      <c r="P201" s="12">
        <v>139</v>
      </c>
      <c r="Q201" s="12">
        <v>139</v>
      </c>
      <c r="R201" s="12">
        <v>130</v>
      </c>
    </row>
    <row r="202" spans="1:18" ht="29.5" customHeight="1" x14ac:dyDescent="0.15">
      <c r="A202" s="8" t="s">
        <v>1082</v>
      </c>
      <c r="B202" s="9" t="s">
        <v>1083</v>
      </c>
      <c r="C202" s="8" t="s">
        <v>1084</v>
      </c>
      <c r="D202" s="8" t="s">
        <v>1084</v>
      </c>
      <c r="E202" s="8" t="s">
        <v>1085</v>
      </c>
      <c r="F202" s="8" t="s">
        <v>1086</v>
      </c>
      <c r="G202" s="8" t="s">
        <v>1087</v>
      </c>
      <c r="H202" s="8" t="s">
        <v>1045</v>
      </c>
      <c r="I202" s="8" t="str">
        <f>HYPERLINK("http://clothing.robertoriccidesigns.com/","clothing.robertoriccidesigns.com")</f>
        <v>clothing.robertoriccidesigns.com</v>
      </c>
      <c r="J202" s="10">
        <v>38135.061000000002</v>
      </c>
      <c r="K202" s="10">
        <v>38135.061000000002</v>
      </c>
      <c r="L202" s="10">
        <v>35409.546000000002</v>
      </c>
      <c r="M202" s="10">
        <v>3002.4969999999998</v>
      </c>
      <c r="N202" s="10">
        <v>3002.4969999999998</v>
      </c>
      <c r="O202" s="10">
        <v>2452.3530000000001</v>
      </c>
      <c r="P202" s="10">
        <v>41</v>
      </c>
      <c r="Q202" s="10">
        <v>41</v>
      </c>
      <c r="R202" s="10">
        <v>36</v>
      </c>
    </row>
    <row r="203" spans="1:18" ht="17" customHeight="1" x14ac:dyDescent="0.15">
      <c r="A203" s="11" t="s">
        <v>1088</v>
      </c>
      <c r="B203" s="1" t="s">
        <v>1089</v>
      </c>
      <c r="C203" s="11" t="s">
        <v>1090</v>
      </c>
      <c r="D203" s="11" t="s">
        <v>1090</v>
      </c>
      <c r="E203" s="11" t="s">
        <v>1091</v>
      </c>
      <c r="F203" s="11" t="s">
        <v>1043</v>
      </c>
      <c r="G203" s="11" t="s">
        <v>1092</v>
      </c>
      <c r="H203" s="11" t="s">
        <v>1032</v>
      </c>
      <c r="I203" s="11" t="str">
        <f>HYPERLINK("http://www.gruppoperetti.com/","http://www.gruppoperetti.com")</f>
        <v>http://www.gruppoperetti.com</v>
      </c>
      <c r="J203" s="12">
        <v>31510.304</v>
      </c>
      <c r="K203" s="12">
        <v>31510.304</v>
      </c>
      <c r="L203" s="13">
        <v>35252.406999999999</v>
      </c>
      <c r="M203" s="12">
        <v>249.81</v>
      </c>
      <c r="N203" s="12">
        <v>249.81</v>
      </c>
      <c r="O203" s="12">
        <v>144.44800000000001</v>
      </c>
      <c r="P203" s="12">
        <v>108</v>
      </c>
      <c r="Q203" s="12">
        <v>108</v>
      </c>
      <c r="R203" s="12">
        <v>100</v>
      </c>
    </row>
    <row r="204" spans="1:18" ht="17" customHeight="1" x14ac:dyDescent="0.15">
      <c r="A204" s="8" t="s">
        <v>1093</v>
      </c>
      <c r="B204" s="9" t="s">
        <v>1094</v>
      </c>
      <c r="C204" s="8" t="s">
        <v>1095</v>
      </c>
      <c r="D204" s="8" t="s">
        <v>1095</v>
      </c>
      <c r="E204" s="8" t="s">
        <v>1096</v>
      </c>
      <c r="F204" s="8" t="s">
        <v>1030</v>
      </c>
      <c r="G204" s="8" t="s">
        <v>1097</v>
      </c>
      <c r="H204" s="8" t="s">
        <v>1032</v>
      </c>
      <c r="I204" s="8" t="str">
        <f>HYPERLINK("http://www.moorer.clothing/","www.moorer.clothing")</f>
        <v>www.moorer.clothing</v>
      </c>
      <c r="J204" s="10">
        <v>49859.902999999998</v>
      </c>
      <c r="K204" s="10">
        <v>49859.902999999998</v>
      </c>
      <c r="L204" s="10">
        <v>35133.175999999999</v>
      </c>
      <c r="M204" s="10">
        <v>2157.6280000000002</v>
      </c>
      <c r="N204" s="10">
        <v>2157.6280000000002</v>
      </c>
      <c r="O204" s="10">
        <v>181.803</v>
      </c>
      <c r="P204" s="10">
        <v>108</v>
      </c>
      <c r="Q204" s="10">
        <v>108</v>
      </c>
      <c r="R204" s="10">
        <v>86</v>
      </c>
    </row>
    <row r="205" spans="1:18" ht="17" customHeight="1" x14ac:dyDescent="0.15">
      <c r="A205" s="11" t="s">
        <v>1098</v>
      </c>
      <c r="B205" s="1" t="s">
        <v>1099</v>
      </c>
      <c r="C205" s="11" t="s">
        <v>1100</v>
      </c>
      <c r="D205" s="11" t="s">
        <v>1100</v>
      </c>
      <c r="E205" s="11" t="s">
        <v>1101</v>
      </c>
      <c r="F205" s="11" t="s">
        <v>1102</v>
      </c>
      <c r="G205" s="11" t="s">
        <v>1103</v>
      </c>
      <c r="H205" s="11" t="s">
        <v>1075</v>
      </c>
      <c r="I205" s="11" t="str">
        <f>HYPERLINK("http://www.decorartex.com/","www.decorartex.com")</f>
        <v>www.decorartex.com</v>
      </c>
      <c r="J205" s="12">
        <v>23881.758000000002</v>
      </c>
      <c r="K205" s="12">
        <v>23881.758000000002</v>
      </c>
      <c r="L205" s="13">
        <v>34911.792999999998</v>
      </c>
      <c r="M205" s="12">
        <v>-30.858000000000001</v>
      </c>
      <c r="N205" s="12">
        <v>-30.858000000000001</v>
      </c>
      <c r="O205" s="12">
        <v>-1039.095</v>
      </c>
      <c r="P205" s="12">
        <v>455</v>
      </c>
      <c r="Q205" s="12">
        <v>455</v>
      </c>
      <c r="R205" s="12">
        <v>386</v>
      </c>
    </row>
    <row r="206" spans="1:18" ht="29.5" customHeight="1" x14ac:dyDescent="0.15">
      <c r="A206" s="8" t="s">
        <v>1104</v>
      </c>
      <c r="B206" s="9" t="s">
        <v>1105</v>
      </c>
      <c r="C206" s="8" t="s">
        <v>1106</v>
      </c>
      <c r="D206" s="8" t="s">
        <v>1106</v>
      </c>
      <c r="E206" s="8" t="s">
        <v>1107</v>
      </c>
      <c r="F206" s="8" t="s">
        <v>1043</v>
      </c>
      <c r="G206" s="8" t="s">
        <v>1044</v>
      </c>
      <c r="H206" s="8" t="s">
        <v>1045</v>
      </c>
      <c r="I206" s="8" t="str">
        <f>HYPERLINK("http://www.caravelspa.com/","www.caravelspa.com")</f>
        <v>www.caravelspa.com</v>
      </c>
      <c r="J206" s="10">
        <v>24548.811000000002</v>
      </c>
      <c r="K206" s="10">
        <v>24548.811000000002</v>
      </c>
      <c r="L206" s="10">
        <v>34817.932000000001</v>
      </c>
      <c r="M206" s="10">
        <v>134.636</v>
      </c>
      <c r="N206" s="10">
        <v>134.636</v>
      </c>
      <c r="O206" s="10">
        <v>4595.5370000000003</v>
      </c>
      <c r="P206" s="10">
        <v>88</v>
      </c>
      <c r="Q206" s="10">
        <v>88</v>
      </c>
      <c r="R206" s="10">
        <v>87</v>
      </c>
    </row>
    <row r="207" spans="1:18" ht="17" customHeight="1" x14ac:dyDescent="0.15">
      <c r="A207" s="11" t="s">
        <v>1108</v>
      </c>
      <c r="B207" s="1" t="s">
        <v>1109</v>
      </c>
      <c r="C207" s="11" t="s">
        <v>1110</v>
      </c>
      <c r="D207" s="11" t="s">
        <v>1110</v>
      </c>
      <c r="E207" s="11" t="s">
        <v>1111</v>
      </c>
      <c r="F207" s="11" t="s">
        <v>1030</v>
      </c>
      <c r="G207" s="11" t="s">
        <v>1074</v>
      </c>
      <c r="H207" s="11" t="s">
        <v>1075</v>
      </c>
      <c r="I207" s="11" t="str">
        <f>HYPERLINK("http://www.daddato.it/","www.daddato.it")</f>
        <v>www.daddato.it</v>
      </c>
      <c r="J207" s="12">
        <v>25651.524000000001</v>
      </c>
      <c r="K207" s="12">
        <v>25651.524000000001</v>
      </c>
      <c r="L207" s="13">
        <v>34679.750999999997</v>
      </c>
      <c r="M207" s="12">
        <v>2962.0210000000002</v>
      </c>
      <c r="N207" s="12">
        <v>2962.0210000000002</v>
      </c>
      <c r="O207" s="12">
        <v>6759.1419999999998</v>
      </c>
      <c r="P207" s="12">
        <v>70</v>
      </c>
      <c r="Q207" s="12">
        <v>70</v>
      </c>
      <c r="R207" s="12">
        <v>69</v>
      </c>
    </row>
    <row r="208" spans="1:18" ht="29.5" customHeight="1" x14ac:dyDescent="0.15">
      <c r="A208" s="8" t="s">
        <v>1112</v>
      </c>
      <c r="B208" s="9" t="s">
        <v>1113</v>
      </c>
      <c r="C208" s="8" t="s">
        <v>1114</v>
      </c>
      <c r="D208" s="8" t="s">
        <v>1115</v>
      </c>
      <c r="E208" s="8" t="s">
        <v>1116</v>
      </c>
      <c r="F208" s="8" t="s">
        <v>1050</v>
      </c>
      <c r="G208" s="8" t="s">
        <v>1117</v>
      </c>
      <c r="H208" s="8" t="s">
        <v>1045</v>
      </c>
      <c r="I208" s="8" t="str">
        <f>HYPERLINK("http://www.albertogozzi.it/","www.albertogozzi.it")</f>
        <v>www.albertogozzi.it</v>
      </c>
      <c r="J208" s="10">
        <v>34868.019</v>
      </c>
      <c r="K208" s="10">
        <v>34868.019</v>
      </c>
      <c r="L208" s="10">
        <v>34659.754000000001</v>
      </c>
      <c r="M208" s="10">
        <v>1160.751</v>
      </c>
      <c r="N208" s="10">
        <v>1160.751</v>
      </c>
      <c r="O208" s="10">
        <v>1176.6769999999999</v>
      </c>
      <c r="P208" s="10">
        <v>107</v>
      </c>
      <c r="Q208" s="10">
        <v>107</v>
      </c>
      <c r="R208" s="10">
        <v>106</v>
      </c>
    </row>
    <row r="209" spans="1:18" ht="17" customHeight="1" x14ac:dyDescent="0.15">
      <c r="A209" s="11" t="s">
        <v>1118</v>
      </c>
      <c r="B209" s="1" t="s">
        <v>1119</v>
      </c>
      <c r="C209" s="11" t="s">
        <v>1120</v>
      </c>
      <c r="D209" s="11" t="s">
        <v>1120</v>
      </c>
      <c r="E209" s="11" t="s">
        <v>1121</v>
      </c>
      <c r="F209" s="11" t="s">
        <v>1050</v>
      </c>
      <c r="G209" s="11" t="s">
        <v>1122</v>
      </c>
      <c r="H209" s="11" t="s">
        <v>1123</v>
      </c>
      <c r="I209" s="11" t="str">
        <f>HYPERLINK("http://www.decristofaroshoes.com/","www.decristofaroshoes.com")</f>
        <v>www.decristofaroshoes.com</v>
      </c>
      <c r="J209" s="12">
        <v>41939.461000000003</v>
      </c>
      <c r="K209" s="12">
        <v>41939.461000000003</v>
      </c>
      <c r="L209" s="13">
        <v>34132.173000000003</v>
      </c>
      <c r="M209" s="12">
        <v>8372.8050000000003</v>
      </c>
      <c r="N209" s="12">
        <v>8372.8050000000003</v>
      </c>
      <c r="O209" s="12">
        <v>1787.2439999999999</v>
      </c>
      <c r="P209" s="12">
        <v>55</v>
      </c>
      <c r="Q209" s="12">
        <v>55</v>
      </c>
      <c r="R209" s="12">
        <v>58</v>
      </c>
    </row>
    <row r="210" spans="1:18" ht="17" customHeight="1" x14ac:dyDescent="0.15">
      <c r="A210" s="8" t="s">
        <v>1124</v>
      </c>
      <c r="B210" s="9" t="s">
        <v>1125</v>
      </c>
      <c r="C210" s="8" t="s">
        <v>1126</v>
      </c>
      <c r="D210" s="8" t="s">
        <v>1127</v>
      </c>
      <c r="E210" s="8" t="s">
        <v>1128</v>
      </c>
      <c r="F210" s="8" t="s">
        <v>1043</v>
      </c>
      <c r="G210" s="8" t="s">
        <v>1044</v>
      </c>
      <c r="H210" s="8" t="s">
        <v>1045</v>
      </c>
      <c r="I210" s="8" t="str">
        <f>HYPERLINK("http://www.settebelloconceria.it/","www.settebelloconceria.it")</f>
        <v>www.settebelloconceria.it</v>
      </c>
      <c r="J210" s="10">
        <v>34209.796999999999</v>
      </c>
      <c r="K210" s="10">
        <v>34209.796999999999</v>
      </c>
      <c r="L210" s="10">
        <v>34091.080999999998</v>
      </c>
      <c r="M210" s="10">
        <v>683.50599999999997</v>
      </c>
      <c r="N210" s="10">
        <v>683.50599999999997</v>
      </c>
      <c r="O210" s="10">
        <v>1529.4570000000001</v>
      </c>
      <c r="P210" s="10">
        <v>56</v>
      </c>
      <c r="Q210" s="10">
        <v>56</v>
      </c>
      <c r="R210" s="10">
        <v>48</v>
      </c>
    </row>
    <row r="211" spans="1:18" ht="29.5" customHeight="1" x14ac:dyDescent="0.15">
      <c r="A211" s="11" t="s">
        <v>1129</v>
      </c>
      <c r="B211" s="1" t="s">
        <v>1130</v>
      </c>
      <c r="C211" s="11" t="s">
        <v>1131</v>
      </c>
      <c r="D211" s="11" t="s">
        <v>1131</v>
      </c>
      <c r="E211" s="11" t="s">
        <v>1132</v>
      </c>
      <c r="F211" s="11" t="s">
        <v>1043</v>
      </c>
      <c r="G211" s="11" t="s">
        <v>1062</v>
      </c>
      <c r="H211" s="11" t="s">
        <v>1063</v>
      </c>
      <c r="I211" s="11" t="str">
        <f>HYPERLINK("http://www.gaiera.eu/","www.gaiera.eu")</f>
        <v>www.gaiera.eu</v>
      </c>
      <c r="J211" s="12">
        <v>32948.144999999997</v>
      </c>
      <c r="K211" s="12">
        <v>32948.144999999997</v>
      </c>
      <c r="L211" s="13">
        <v>33675.222999999998</v>
      </c>
      <c r="M211" s="12">
        <v>-854.25300000000004</v>
      </c>
      <c r="N211" s="12">
        <v>-854.25300000000004</v>
      </c>
      <c r="O211" s="12">
        <v>-1001.204</v>
      </c>
      <c r="P211" s="12">
        <v>72</v>
      </c>
      <c r="Q211" s="12">
        <v>72</v>
      </c>
      <c r="R211" s="12">
        <v>69</v>
      </c>
    </row>
    <row r="212" spans="1:18" ht="17" customHeight="1" x14ac:dyDescent="0.15">
      <c r="A212" s="8" t="s">
        <v>1133</v>
      </c>
      <c r="B212" s="9" t="s">
        <v>1134</v>
      </c>
      <c r="C212" s="8" t="s">
        <v>1135</v>
      </c>
      <c r="D212" s="8" t="s">
        <v>1135</v>
      </c>
      <c r="E212" s="8" t="s">
        <v>1136</v>
      </c>
      <c r="F212" s="8" t="s">
        <v>1050</v>
      </c>
      <c r="G212" s="8" t="s">
        <v>1137</v>
      </c>
      <c r="H212" s="8" t="s">
        <v>1138</v>
      </c>
      <c r="I212" s="8" t="str">
        <f>HYPERLINK("http://www.spirale.it/","www.spirale.it")</f>
        <v>www.spirale.it</v>
      </c>
      <c r="J212" s="10">
        <v>26769.655999999999</v>
      </c>
      <c r="K212" s="10">
        <v>26769.655999999999</v>
      </c>
      <c r="L212" s="10">
        <v>33605.065999999999</v>
      </c>
      <c r="M212" s="10">
        <v>-645.72699999999998</v>
      </c>
      <c r="N212" s="10">
        <v>-645.72699999999998</v>
      </c>
      <c r="O212" s="10">
        <v>1134.5540000000001</v>
      </c>
      <c r="P212" s="10">
        <v>121</v>
      </c>
      <c r="Q212" s="10">
        <v>121</v>
      </c>
      <c r="R212" s="10">
        <v>131</v>
      </c>
    </row>
    <row r="213" spans="1:18" ht="17" customHeight="1" x14ac:dyDescent="0.15">
      <c r="A213" s="11" t="s">
        <v>1139</v>
      </c>
      <c r="B213" s="1" t="s">
        <v>1140</v>
      </c>
      <c r="C213" s="11" t="s">
        <v>1141</v>
      </c>
      <c r="D213" s="11" t="s">
        <v>1141</v>
      </c>
      <c r="E213" s="11" t="s">
        <v>1142</v>
      </c>
      <c r="F213" s="11" t="s">
        <v>1050</v>
      </c>
      <c r="G213" s="11" t="s">
        <v>1038</v>
      </c>
      <c r="H213" s="11" t="s">
        <v>1032</v>
      </c>
      <c r="I213" s="11" t="str">
        <f>HYPERLINK("http://www.northwave.com/","www.northwave.com")</f>
        <v>www.northwave.com</v>
      </c>
      <c r="J213" s="12">
        <v>21811</v>
      </c>
      <c r="K213" s="12">
        <v>21811</v>
      </c>
      <c r="L213" s="13">
        <v>33358.589999999997</v>
      </c>
      <c r="M213" s="12">
        <v>161.47399999999999</v>
      </c>
      <c r="N213" s="12">
        <v>161.47399999999999</v>
      </c>
      <c r="O213" s="12">
        <v>563.87199999999996</v>
      </c>
      <c r="P213" s="12">
        <v>47</v>
      </c>
      <c r="Q213" s="12">
        <v>47</v>
      </c>
      <c r="R213" s="12">
        <v>46</v>
      </c>
    </row>
    <row r="214" spans="1:18" ht="17" customHeight="1" x14ac:dyDescent="0.15">
      <c r="A214" s="8" t="s">
        <v>1143</v>
      </c>
      <c r="B214" s="9" t="s">
        <v>1144</v>
      </c>
      <c r="C214" s="8" t="s">
        <v>1145</v>
      </c>
      <c r="D214" s="8" t="s">
        <v>1145</v>
      </c>
      <c r="E214" s="8" t="s">
        <v>1146</v>
      </c>
      <c r="F214" s="8" t="s">
        <v>1050</v>
      </c>
      <c r="G214" s="8" t="s">
        <v>1038</v>
      </c>
      <c r="H214" s="8" t="s">
        <v>1032</v>
      </c>
      <c r="I214" s="8" t="str">
        <f>HYPERLINK("http://sidi.com/","sidi.com")</f>
        <v>sidi.com</v>
      </c>
      <c r="J214" s="10">
        <v>23804</v>
      </c>
      <c r="K214" s="10">
        <v>23804</v>
      </c>
      <c r="L214" s="10">
        <v>33194.959000000003</v>
      </c>
      <c r="M214" s="10">
        <v>-4015</v>
      </c>
      <c r="N214" s="10">
        <v>-4015</v>
      </c>
      <c r="O214" s="10">
        <v>3656.2719999999999</v>
      </c>
      <c r="P214" s="10">
        <v>69</v>
      </c>
      <c r="Q214" s="10">
        <v>69</v>
      </c>
      <c r="R214" s="10">
        <v>64</v>
      </c>
    </row>
    <row r="215" spans="1:18" ht="17" customHeight="1" x14ac:dyDescent="0.15">
      <c r="A215" s="11" t="s">
        <v>1147</v>
      </c>
      <c r="B215" s="1" t="s">
        <v>1148</v>
      </c>
      <c r="C215" s="11" t="s">
        <v>1149</v>
      </c>
      <c r="D215" s="11" t="s">
        <v>1149</v>
      </c>
      <c r="E215" s="11" t="s">
        <v>1150</v>
      </c>
      <c r="F215" s="11" t="s">
        <v>1151</v>
      </c>
      <c r="G215" s="11" t="s">
        <v>1068</v>
      </c>
      <c r="H215" s="11" t="s">
        <v>1045</v>
      </c>
      <c r="I215" s="11" t="str">
        <f>HYPERLINK("http://www.pelletteriaalmax.com/","www.pelletteriaalmax.com")</f>
        <v>www.pelletteriaalmax.com</v>
      </c>
      <c r="J215" s="12">
        <v>35315.53</v>
      </c>
      <c r="K215" s="12">
        <v>35315.53</v>
      </c>
      <c r="L215" s="13">
        <v>33162.822999999997</v>
      </c>
      <c r="M215" s="12">
        <v>-79.876000000000005</v>
      </c>
      <c r="N215" s="12">
        <v>-79.876000000000005</v>
      </c>
      <c r="O215" s="12">
        <v>545.45100000000002</v>
      </c>
      <c r="P215" s="12">
        <v>224</v>
      </c>
      <c r="Q215" s="12">
        <v>224</v>
      </c>
      <c r="R215" s="12">
        <v>233</v>
      </c>
    </row>
    <row r="216" spans="1:18" ht="17" customHeight="1" x14ac:dyDescent="0.15">
      <c r="A216" s="8" t="s">
        <v>1152</v>
      </c>
      <c r="B216" s="9" t="s">
        <v>1153</v>
      </c>
      <c r="C216" s="8" t="s">
        <v>1154</v>
      </c>
      <c r="D216" s="8" t="s">
        <v>1154</v>
      </c>
      <c r="E216" s="8" t="s">
        <v>1155</v>
      </c>
      <c r="F216" s="8" t="s">
        <v>1080</v>
      </c>
      <c r="G216" s="8" t="s">
        <v>1092</v>
      </c>
      <c r="H216" s="8" t="s">
        <v>1032</v>
      </c>
      <c r="I216" s="8" t="str">
        <f>HYPERLINK("http://www.industrialstarter.com/","www.industrialstarter.com")</f>
        <v>www.industrialstarter.com</v>
      </c>
      <c r="J216" s="10">
        <v>33452.044999999998</v>
      </c>
      <c r="K216" s="10">
        <v>33452.044999999998</v>
      </c>
      <c r="L216" s="10">
        <v>33087.514000000003</v>
      </c>
      <c r="M216" s="10">
        <v>892.15200000000004</v>
      </c>
      <c r="N216" s="10">
        <v>892.15200000000004</v>
      </c>
      <c r="O216" s="10">
        <v>2249.6880000000001</v>
      </c>
      <c r="P216" s="10">
        <v>50</v>
      </c>
      <c r="Q216" s="10">
        <v>50</v>
      </c>
      <c r="R216" s="10">
        <v>51</v>
      </c>
    </row>
    <row r="217" spans="1:18" ht="29.5" customHeight="1" x14ac:dyDescent="0.15">
      <c r="A217" s="11" t="s">
        <v>1156</v>
      </c>
      <c r="B217" s="1" t="s">
        <v>1157</v>
      </c>
      <c r="C217" s="11" t="s">
        <v>1158</v>
      </c>
      <c r="D217" s="11" t="s">
        <v>1158</v>
      </c>
      <c r="E217" s="11" t="s">
        <v>1159</v>
      </c>
      <c r="F217" s="11" t="s">
        <v>1043</v>
      </c>
      <c r="G217" s="11" t="s">
        <v>1092</v>
      </c>
      <c r="H217" s="11" t="s">
        <v>1032</v>
      </c>
      <c r="I217" s="11" t="str">
        <f>HYPERLINK("http://www.icaleather.it/","http://www.icaleather.it")</f>
        <v>http://www.icaleather.it</v>
      </c>
      <c r="J217" s="12">
        <v>28552.352999999999</v>
      </c>
      <c r="K217" s="12">
        <v>28552.352999999999</v>
      </c>
      <c r="L217" s="13">
        <v>32975.26</v>
      </c>
      <c r="M217" s="12">
        <v>4186.6109999999999</v>
      </c>
      <c r="N217" s="12">
        <v>4186.6109999999999</v>
      </c>
      <c r="O217" s="12">
        <v>6202.8649999999998</v>
      </c>
      <c r="P217" s="12">
        <v>53</v>
      </c>
      <c r="Q217" s="12">
        <v>53</v>
      </c>
      <c r="R217" s="12">
        <v>53</v>
      </c>
    </row>
    <row r="218" spans="1:18" ht="17" customHeight="1" x14ac:dyDescent="0.15">
      <c r="A218" s="8" t="s">
        <v>1160</v>
      </c>
      <c r="B218" s="9" t="s">
        <v>1161</v>
      </c>
      <c r="C218" s="8" t="s">
        <v>1162</v>
      </c>
      <c r="D218" s="8" t="s">
        <v>1162</v>
      </c>
      <c r="E218" s="8" t="s">
        <v>1163</v>
      </c>
      <c r="F218" s="8" t="s">
        <v>1030</v>
      </c>
      <c r="G218" s="8" t="s">
        <v>1051</v>
      </c>
      <c r="H218" s="8" t="s">
        <v>1032</v>
      </c>
      <c r="I218" s="8" t="str">
        <f>HYPERLINK("http://www.manifatturacorona.it/","www.manifatturacorona.it")</f>
        <v>www.manifatturacorona.it</v>
      </c>
      <c r="J218" s="10">
        <v>33810.65</v>
      </c>
      <c r="K218" s="10">
        <v>33810.65</v>
      </c>
      <c r="L218" s="10">
        <v>32759.223999999998</v>
      </c>
      <c r="M218" s="10">
        <v>1396.09</v>
      </c>
      <c r="N218" s="10">
        <v>1396.09</v>
      </c>
      <c r="O218" s="10">
        <v>-875.24</v>
      </c>
      <c r="P218" s="10">
        <v>69</v>
      </c>
      <c r="Q218" s="10">
        <v>69</v>
      </c>
      <c r="R218" s="10">
        <v>78</v>
      </c>
    </row>
    <row r="219" spans="1:18" ht="17" customHeight="1" x14ac:dyDescent="0.15">
      <c r="A219" s="11" t="s">
        <v>1164</v>
      </c>
      <c r="B219" s="1" t="s">
        <v>1165</v>
      </c>
      <c r="C219" s="11" t="s">
        <v>1166</v>
      </c>
      <c r="D219" s="11" t="s">
        <v>1167</v>
      </c>
      <c r="E219" s="11" t="s">
        <v>1168</v>
      </c>
      <c r="F219" s="11" t="s">
        <v>1073</v>
      </c>
      <c r="G219" s="11" t="s">
        <v>1169</v>
      </c>
      <c r="H219" s="11" t="s">
        <v>1063</v>
      </c>
      <c r="I219" s="11" t="str">
        <f>HYPERLINK("http://www.cotonella.com/","www.cotonella.com")</f>
        <v>www.cotonella.com</v>
      </c>
      <c r="J219" s="12">
        <v>28650.923999999999</v>
      </c>
      <c r="K219" s="12">
        <v>28650.923999999999</v>
      </c>
      <c r="L219" s="13">
        <v>32681.217000000001</v>
      </c>
      <c r="M219" s="12">
        <v>481.85</v>
      </c>
      <c r="N219" s="12">
        <v>481.85</v>
      </c>
      <c r="O219" s="12">
        <v>1086.722</v>
      </c>
      <c r="P219" s="12">
        <v>99</v>
      </c>
      <c r="Q219" s="12">
        <v>99</v>
      </c>
      <c r="R219" s="12">
        <v>100</v>
      </c>
    </row>
    <row r="220" spans="1:18" ht="17" customHeight="1" x14ac:dyDescent="0.15">
      <c r="A220" s="8" t="s">
        <v>1170</v>
      </c>
      <c r="B220" s="9" t="s">
        <v>1171</v>
      </c>
      <c r="C220" s="8" t="s">
        <v>1172</v>
      </c>
      <c r="D220" s="8" t="s">
        <v>1172</v>
      </c>
      <c r="E220" s="8" t="s">
        <v>1173</v>
      </c>
      <c r="F220" s="8" t="s">
        <v>1030</v>
      </c>
      <c r="G220" s="8" t="s">
        <v>1068</v>
      </c>
      <c r="H220" s="8" t="s">
        <v>1045</v>
      </c>
      <c r="I220" s="8" t="str">
        <f>HYPERLINK("http://www.hostage.it/","www.hostage.it")</f>
        <v>www.hostage.it</v>
      </c>
      <c r="J220" s="10">
        <v>40630.703999999998</v>
      </c>
      <c r="K220" s="10">
        <v>40630.703999999998</v>
      </c>
      <c r="L220" s="10">
        <v>32668.901999999998</v>
      </c>
      <c r="M220" s="10">
        <v>3701.6419999999998</v>
      </c>
      <c r="N220" s="10">
        <v>3701.6419999999998</v>
      </c>
      <c r="O220" s="10">
        <v>2202.366</v>
      </c>
      <c r="P220" s="10">
        <v>100</v>
      </c>
      <c r="Q220" s="10">
        <v>100</v>
      </c>
      <c r="R220" s="10">
        <v>95</v>
      </c>
    </row>
    <row r="221" spans="1:18" ht="17" customHeight="1" x14ac:dyDescent="0.15">
      <c r="A221" s="11" t="s">
        <v>1174</v>
      </c>
      <c r="B221" s="1" t="s">
        <v>1175</v>
      </c>
      <c r="C221" s="11" t="s">
        <v>1176</v>
      </c>
      <c r="D221" s="11" t="s">
        <v>1177</v>
      </c>
      <c r="E221" s="11" t="s">
        <v>1178</v>
      </c>
      <c r="F221" s="11" t="s">
        <v>1179</v>
      </c>
      <c r="G221" s="11" t="s">
        <v>1169</v>
      </c>
      <c r="H221" s="11" t="s">
        <v>1063</v>
      </c>
      <c r="I221" s="11" t="str">
        <f>HYPERLINK("http://www.vignoni.net/","www.vignoni.net")</f>
        <v>www.vignoni.net</v>
      </c>
      <c r="J221" s="12">
        <v>25331.978999999999</v>
      </c>
      <c r="K221" s="12">
        <v>25331.978999999999</v>
      </c>
      <c r="L221" s="13">
        <v>32667.205000000002</v>
      </c>
      <c r="M221" s="12">
        <v>60.326999999999998</v>
      </c>
      <c r="N221" s="12">
        <v>60.326999999999998</v>
      </c>
      <c r="O221" s="12">
        <v>67.055999999999997</v>
      </c>
      <c r="P221" s="12">
        <v>61</v>
      </c>
      <c r="Q221" s="12">
        <v>61</v>
      </c>
      <c r="R221" s="12">
        <v>69</v>
      </c>
    </row>
    <row r="222" spans="1:18" ht="17" customHeight="1" x14ac:dyDescent="0.15">
      <c r="A222" s="8" t="s">
        <v>1180</v>
      </c>
      <c r="B222" s="9" t="s">
        <v>1181</v>
      </c>
      <c r="C222" s="8" t="s">
        <v>1182</v>
      </c>
      <c r="D222" s="8" t="s">
        <v>1182</v>
      </c>
      <c r="E222" s="8" t="s">
        <v>1183</v>
      </c>
      <c r="F222" s="8" t="s">
        <v>1050</v>
      </c>
      <c r="G222" s="8" t="s">
        <v>1038</v>
      </c>
      <c r="H222" s="8" t="s">
        <v>1032</v>
      </c>
      <c r="I222" s="8" t="str">
        <f>HYPERLINK("http://www.crispi.it/","www.crispi.it")</f>
        <v>www.crispi.it</v>
      </c>
      <c r="J222" s="10">
        <v>38140.144</v>
      </c>
      <c r="K222" s="10">
        <v>38140.144</v>
      </c>
      <c r="L222" s="10">
        <v>32622.251</v>
      </c>
      <c r="M222" s="10">
        <v>6049.63</v>
      </c>
      <c r="N222" s="10">
        <v>6049.63</v>
      </c>
      <c r="O222" s="10">
        <v>5475.6329999999998</v>
      </c>
      <c r="P222" s="10">
        <v>49</v>
      </c>
      <c r="Q222" s="10">
        <v>49</v>
      </c>
      <c r="R222" s="10">
        <v>57</v>
      </c>
    </row>
    <row r="223" spans="1:18" ht="17" customHeight="1" x14ac:dyDescent="0.15">
      <c r="A223" s="11" t="s">
        <v>1184</v>
      </c>
      <c r="B223" s="1" t="s">
        <v>1185</v>
      </c>
      <c r="C223" s="11" t="s">
        <v>1186</v>
      </c>
      <c r="D223" s="11" t="s">
        <v>1186</v>
      </c>
      <c r="E223" s="11" t="s">
        <v>1187</v>
      </c>
      <c r="F223" s="11" t="s">
        <v>1030</v>
      </c>
      <c r="G223" s="11" t="s">
        <v>1188</v>
      </c>
      <c r="H223" s="11" t="s">
        <v>1075</v>
      </c>
      <c r="I223" s="11" t="str">
        <f>HYPERLINK("http://www.tagliatore.com/","www.tagliatore.com")</f>
        <v>www.tagliatore.com</v>
      </c>
      <c r="J223" s="12">
        <v>42002.408000000003</v>
      </c>
      <c r="K223" s="12">
        <v>42002.408000000003</v>
      </c>
      <c r="L223" s="13">
        <v>32603.348000000002</v>
      </c>
      <c r="M223" s="12">
        <v>4658.491</v>
      </c>
      <c r="N223" s="12">
        <v>4658.491</v>
      </c>
      <c r="O223" s="12">
        <v>2932.5039999999999</v>
      </c>
      <c r="P223" s="12">
        <v>207</v>
      </c>
      <c r="Q223" s="12">
        <v>207</v>
      </c>
      <c r="R223" s="12">
        <v>210</v>
      </c>
    </row>
    <row r="224" spans="1:18" ht="17" customHeight="1" x14ac:dyDescent="0.15">
      <c r="A224" s="8" t="s">
        <v>1189</v>
      </c>
      <c r="B224" s="9" t="s">
        <v>1190</v>
      </c>
      <c r="C224" s="8" t="s">
        <v>1191</v>
      </c>
      <c r="D224" s="8" t="s">
        <v>1191</v>
      </c>
      <c r="E224" s="8" t="s">
        <v>1192</v>
      </c>
      <c r="F224" s="8" t="s">
        <v>1050</v>
      </c>
      <c r="G224" s="8" t="s">
        <v>1038</v>
      </c>
      <c r="H224" s="8" t="s">
        <v>1032</v>
      </c>
      <c r="I224" s="8" t="str">
        <f>HYPERLINK("http://frasson.com/","frasson.com")</f>
        <v>frasson.com</v>
      </c>
      <c r="J224" s="10">
        <v>24462.582999999999</v>
      </c>
      <c r="K224" s="10">
        <v>24462.582999999999</v>
      </c>
      <c r="L224" s="10">
        <v>32458.407999999999</v>
      </c>
      <c r="M224" s="10">
        <v>1830.7159999999999</v>
      </c>
      <c r="N224" s="10">
        <v>1830.7159999999999</v>
      </c>
      <c r="O224" s="10">
        <v>2430.7109999999998</v>
      </c>
      <c r="P224" s="10">
        <v>91</v>
      </c>
      <c r="Q224" s="10">
        <v>91</v>
      </c>
      <c r="R224" s="10">
        <v>98</v>
      </c>
    </row>
    <row r="225" spans="1:18" ht="17" customHeight="1" x14ac:dyDescent="0.15">
      <c r="A225" s="11" t="s">
        <v>1193</v>
      </c>
      <c r="B225" s="1" t="s">
        <v>1194</v>
      </c>
      <c r="C225" s="11" t="s">
        <v>1195</v>
      </c>
      <c r="D225" s="11" t="s">
        <v>1195</v>
      </c>
      <c r="E225" s="11" t="s">
        <v>1196</v>
      </c>
      <c r="F225" s="11" t="s">
        <v>1197</v>
      </c>
      <c r="G225" s="11" t="s">
        <v>1198</v>
      </c>
      <c r="H225" s="11" t="s">
        <v>1199</v>
      </c>
      <c r="I225" s="11" t="str">
        <f>HYPERLINK("http://exena.com/","exena.com")</f>
        <v>exena.com</v>
      </c>
      <c r="J225" s="12">
        <v>29930.809000000001</v>
      </c>
      <c r="K225" s="12">
        <v>29930.809000000001</v>
      </c>
      <c r="L225" s="13">
        <v>32386.571</v>
      </c>
      <c r="M225" s="12">
        <v>1282.5930000000001</v>
      </c>
      <c r="N225" s="12">
        <v>1282.5930000000001</v>
      </c>
      <c r="O225" s="12">
        <v>643.31100000000004</v>
      </c>
      <c r="P225" s="12">
        <v>30</v>
      </c>
      <c r="Q225" s="12">
        <v>30</v>
      </c>
      <c r="R225" s="12">
        <v>31</v>
      </c>
    </row>
    <row r="226" spans="1:18" ht="17" customHeight="1" x14ac:dyDescent="0.15">
      <c r="A226" s="8" t="s">
        <v>1200</v>
      </c>
      <c r="B226" s="9" t="s">
        <v>1201</v>
      </c>
      <c r="C226" s="8" t="s">
        <v>1202</v>
      </c>
      <c r="D226" s="8" t="s">
        <v>1202</v>
      </c>
      <c r="E226" s="8" t="s">
        <v>1203</v>
      </c>
      <c r="F226" s="8" t="s">
        <v>1204</v>
      </c>
      <c r="G226" s="8" t="s">
        <v>1205</v>
      </c>
      <c r="H226" s="8" t="s">
        <v>1206</v>
      </c>
      <c r="I226" s="8" t="str">
        <f>HYPERLINK("http://www.cfbspa.it/","http://www.cfbspa.it")</f>
        <v>http://www.cfbspa.it</v>
      </c>
      <c r="J226" s="10">
        <v>33886.940999999999</v>
      </c>
      <c r="K226" s="10">
        <v>33886.940999999999</v>
      </c>
      <c r="L226" s="10">
        <v>31913.772000000001</v>
      </c>
      <c r="M226" s="10">
        <v>2605.06</v>
      </c>
      <c r="N226" s="10">
        <v>2605.06</v>
      </c>
      <c r="O226" s="10">
        <v>1522.8</v>
      </c>
      <c r="P226" s="10">
        <v>31</v>
      </c>
      <c r="Q226" s="10">
        <v>31</v>
      </c>
      <c r="R226" s="10">
        <v>29</v>
      </c>
    </row>
    <row r="227" spans="1:18" ht="17" customHeight="1" x14ac:dyDescent="0.15">
      <c r="A227" s="11" t="s">
        <v>1207</v>
      </c>
      <c r="B227" s="1" t="s">
        <v>1208</v>
      </c>
      <c r="C227" s="11" t="s">
        <v>1209</v>
      </c>
      <c r="D227" s="11" t="s">
        <v>1209</v>
      </c>
      <c r="E227" s="11" t="s">
        <v>1210</v>
      </c>
      <c r="F227" s="11" t="s">
        <v>1211</v>
      </c>
      <c r="G227" s="11" t="s">
        <v>1212</v>
      </c>
      <c r="H227" s="11" t="s">
        <v>1213</v>
      </c>
      <c r="I227" s="11" t="str">
        <f>HYPERLINK("http://www.kokka.it/","www.kokka.it")</f>
        <v>www.kokka.it</v>
      </c>
      <c r="J227" s="12">
        <v>35215.14</v>
      </c>
      <c r="K227" s="12">
        <v>35215.14</v>
      </c>
      <c r="L227" s="13">
        <v>31865.422999999999</v>
      </c>
      <c r="M227" s="12">
        <v>-1247.5640000000001</v>
      </c>
      <c r="N227" s="12">
        <v>-1247.5640000000001</v>
      </c>
      <c r="O227" s="12">
        <v>727.00599999999997</v>
      </c>
      <c r="P227" s="12">
        <v>184</v>
      </c>
      <c r="Q227" s="12">
        <v>184</v>
      </c>
      <c r="R227" s="12">
        <v>172</v>
      </c>
    </row>
    <row r="228" spans="1:18" ht="17" customHeight="1" x14ac:dyDescent="0.15">
      <c r="A228" s="8" t="s">
        <v>1214</v>
      </c>
      <c r="B228" s="9" t="s">
        <v>1215</v>
      </c>
      <c r="C228" s="8" t="s">
        <v>1216</v>
      </c>
      <c r="D228" s="8" t="s">
        <v>1216</v>
      </c>
      <c r="E228" s="8" t="s">
        <v>1217</v>
      </c>
      <c r="F228" s="8" t="s">
        <v>1211</v>
      </c>
      <c r="G228" s="8" t="s">
        <v>1218</v>
      </c>
      <c r="H228" s="8" t="s">
        <v>1206</v>
      </c>
      <c r="I228" s="8" t="str">
        <f>HYPERLINK("http://www.essenza.it/","http://www.essenza.it")</f>
        <v>http://www.essenza.it</v>
      </c>
      <c r="J228" s="10">
        <v>35627.434000000001</v>
      </c>
      <c r="K228" s="10">
        <v>35627.434000000001</v>
      </c>
      <c r="L228" s="10">
        <v>31700.973000000002</v>
      </c>
      <c r="M228" s="10">
        <v>3409.2759999999998</v>
      </c>
      <c r="N228" s="10">
        <v>3409.2759999999998</v>
      </c>
      <c r="O228" s="10">
        <v>1661.13</v>
      </c>
      <c r="P228" s="10">
        <v>50</v>
      </c>
      <c r="Q228" s="10">
        <v>50</v>
      </c>
      <c r="R228" s="10">
        <v>49</v>
      </c>
    </row>
    <row r="229" spans="1:18" ht="17" customHeight="1" x14ac:dyDescent="0.15">
      <c r="A229" s="11" t="s">
        <v>1219</v>
      </c>
      <c r="B229" s="1" t="s">
        <v>1220</v>
      </c>
      <c r="C229" s="11" t="s">
        <v>1221</v>
      </c>
      <c r="D229" s="11" t="s">
        <v>1221</v>
      </c>
      <c r="E229" s="11" t="s">
        <v>1222</v>
      </c>
      <c r="F229" s="11" t="s">
        <v>1223</v>
      </c>
      <c r="G229" s="11" t="s">
        <v>1224</v>
      </c>
      <c r="H229" s="11" t="s">
        <v>1225</v>
      </c>
      <c r="I229" s="11" t="str">
        <f>HYPERLINK("http://www.nyky.it/","www.nyky.it")</f>
        <v>www.nyky.it</v>
      </c>
      <c r="J229" s="12">
        <v>31471.688999999998</v>
      </c>
      <c r="K229" s="12">
        <v>31471.688999999998</v>
      </c>
      <c r="L229" s="13">
        <v>31666.649000000001</v>
      </c>
      <c r="M229" s="12">
        <v>124.46299999999999</v>
      </c>
      <c r="N229" s="12">
        <v>124.46299999999999</v>
      </c>
      <c r="O229" s="12">
        <v>135.875</v>
      </c>
      <c r="P229" s="12">
        <v>103</v>
      </c>
      <c r="Q229" s="12">
        <v>103</v>
      </c>
      <c r="R229" s="12">
        <v>99</v>
      </c>
    </row>
    <row r="230" spans="1:18" ht="17" customHeight="1" x14ac:dyDescent="0.15">
      <c r="A230" s="8" t="s">
        <v>1226</v>
      </c>
      <c r="B230" s="9" t="s">
        <v>1227</v>
      </c>
      <c r="C230" s="8" t="s">
        <v>1228</v>
      </c>
      <c r="D230" s="8" t="s">
        <v>1228</v>
      </c>
      <c r="E230" s="8" t="s">
        <v>1229</v>
      </c>
      <c r="F230" s="8" t="s">
        <v>1230</v>
      </c>
      <c r="G230" s="8" t="s">
        <v>1231</v>
      </c>
      <c r="H230" s="8" t="s">
        <v>1232</v>
      </c>
      <c r="I230" s="8" t="str">
        <f>HYPERLINK("http://www.ilbisonte.com/","www.ilbisonte.com")</f>
        <v>www.ilbisonte.com</v>
      </c>
      <c r="J230" s="10">
        <v>30565.429</v>
      </c>
      <c r="K230" s="10">
        <v>30565.429</v>
      </c>
      <c r="L230" s="10">
        <v>31628.117999999999</v>
      </c>
      <c r="M230" s="10">
        <v>-1250.8679999999999</v>
      </c>
      <c r="N230" s="10">
        <v>-1250.8679999999999</v>
      </c>
      <c r="O230" s="10">
        <v>-798.04899999999998</v>
      </c>
      <c r="P230" s="10">
        <v>134</v>
      </c>
      <c r="Q230" s="10">
        <v>134</v>
      </c>
      <c r="R230" s="10">
        <v>130</v>
      </c>
    </row>
    <row r="231" spans="1:18" ht="17" customHeight="1" x14ac:dyDescent="0.15">
      <c r="A231" s="11" t="s">
        <v>1233</v>
      </c>
      <c r="B231" s="1" t="s">
        <v>1234</v>
      </c>
      <c r="C231" s="11" t="s">
        <v>1235</v>
      </c>
      <c r="D231" s="11" t="s">
        <v>1236</v>
      </c>
      <c r="E231" s="11" t="s">
        <v>1237</v>
      </c>
      <c r="F231" s="11" t="s">
        <v>1223</v>
      </c>
      <c r="G231" s="11" t="s">
        <v>1238</v>
      </c>
      <c r="H231" s="11" t="s">
        <v>1239</v>
      </c>
      <c r="I231" s="11" t="str">
        <f>HYPERLINK("http://aesseprojects.com/","aesseprojects.com")</f>
        <v>aesseprojects.com</v>
      </c>
      <c r="J231" s="12">
        <v>36078.28</v>
      </c>
      <c r="K231" s="12">
        <v>36078.28</v>
      </c>
      <c r="L231" s="13">
        <v>31475.881000000001</v>
      </c>
      <c r="M231" s="12">
        <v>756.09799999999996</v>
      </c>
      <c r="N231" s="12">
        <v>756.09799999999996</v>
      </c>
      <c r="O231" s="12">
        <v>-78.36</v>
      </c>
      <c r="P231" s="12">
        <v>98</v>
      </c>
      <c r="Q231" s="12">
        <v>98</v>
      </c>
      <c r="R231" s="12">
        <v>102</v>
      </c>
    </row>
    <row r="232" spans="1:18" ht="17" customHeight="1" x14ac:dyDescent="0.15">
      <c r="A232" s="8" t="s">
        <v>1240</v>
      </c>
      <c r="B232" s="9" t="s">
        <v>1241</v>
      </c>
      <c r="C232" s="8" t="s">
        <v>1242</v>
      </c>
      <c r="D232" s="8" t="s">
        <v>1242</v>
      </c>
      <c r="E232" s="8" t="s">
        <v>1243</v>
      </c>
      <c r="F232" s="8" t="s">
        <v>1211</v>
      </c>
      <c r="G232" s="8" t="s">
        <v>1244</v>
      </c>
      <c r="H232" s="8" t="s">
        <v>1199</v>
      </c>
      <c r="I232" s="8" t="str">
        <f>HYPERLINK("http://www.ethicamoda.it/","www.ethicamoda.it")</f>
        <v>www.ethicamoda.it</v>
      </c>
      <c r="J232" s="10">
        <v>35485.951000000001</v>
      </c>
      <c r="K232" s="10">
        <v>35485.951000000001</v>
      </c>
      <c r="L232" s="10">
        <v>31213.580999999998</v>
      </c>
      <c r="M232" s="10">
        <v>7296.8639999999996</v>
      </c>
      <c r="N232" s="10">
        <v>7296.8639999999996</v>
      </c>
      <c r="O232" s="10">
        <v>6523.9690000000001</v>
      </c>
      <c r="P232" s="10">
        <v>84</v>
      </c>
      <c r="Q232" s="10">
        <v>84</v>
      </c>
      <c r="R232" s="10">
        <v>79</v>
      </c>
    </row>
    <row r="233" spans="1:18" ht="17" customHeight="1" x14ac:dyDescent="0.15">
      <c r="A233" s="11" t="s">
        <v>1245</v>
      </c>
      <c r="B233" s="1" t="s">
        <v>1246</v>
      </c>
      <c r="C233" s="11" t="s">
        <v>1247</v>
      </c>
      <c r="D233" s="11" t="s">
        <v>1247</v>
      </c>
      <c r="E233" s="11" t="s">
        <v>1248</v>
      </c>
      <c r="F233" s="11" t="s">
        <v>1249</v>
      </c>
      <c r="G233" s="11" t="s">
        <v>1250</v>
      </c>
      <c r="H233" s="11" t="s">
        <v>1251</v>
      </c>
      <c r="I233" s="11" t="str">
        <f>HYPERLINK("http://www.pscomponents.eu/","www.pscomponents.eu")</f>
        <v>www.pscomponents.eu</v>
      </c>
      <c r="J233" s="12">
        <v>34910.462</v>
      </c>
      <c r="K233" s="12">
        <v>34910.462</v>
      </c>
      <c r="L233" s="13">
        <v>31185.757000000001</v>
      </c>
      <c r="M233" s="12">
        <v>1835.857</v>
      </c>
      <c r="N233" s="12">
        <v>1835.857</v>
      </c>
      <c r="O233" s="12">
        <v>1794.0719999999999</v>
      </c>
      <c r="P233" s="12">
        <v>142</v>
      </c>
      <c r="Q233" s="12">
        <v>142</v>
      </c>
      <c r="R233" s="12">
        <v>148</v>
      </c>
    </row>
    <row r="234" spans="1:18" ht="17" customHeight="1" x14ac:dyDescent="0.15">
      <c r="A234" s="8" t="s">
        <v>1252</v>
      </c>
      <c r="B234" s="9" t="s">
        <v>1253</v>
      </c>
      <c r="C234" s="8" t="s">
        <v>1254</v>
      </c>
      <c r="D234" s="8" t="s">
        <v>1254</v>
      </c>
      <c r="E234" s="8" t="s">
        <v>1255</v>
      </c>
      <c r="F234" s="8" t="s">
        <v>1197</v>
      </c>
      <c r="G234" s="8" t="s">
        <v>1231</v>
      </c>
      <c r="H234" s="8" t="s">
        <v>1232</v>
      </c>
      <c r="I234" s="8" t="str">
        <f>HYPERLINK("http://www.gmitaliane.it/","www.gmitaliane.it")</f>
        <v>www.gmitaliane.it</v>
      </c>
      <c r="J234" s="10">
        <v>38949.705000000002</v>
      </c>
      <c r="K234" s="10">
        <v>38949.705000000002</v>
      </c>
      <c r="L234" s="10">
        <v>30981.584999999999</v>
      </c>
      <c r="M234" s="10">
        <v>-705.09</v>
      </c>
      <c r="N234" s="10">
        <v>-705.09</v>
      </c>
      <c r="O234" s="10">
        <v>-3640.2629999999999</v>
      </c>
      <c r="P234" s="10">
        <v>150</v>
      </c>
      <c r="Q234" s="10">
        <v>150</v>
      </c>
      <c r="R234" s="10">
        <v>135</v>
      </c>
    </row>
    <row r="235" spans="1:18" ht="17" customHeight="1" x14ac:dyDescent="0.15">
      <c r="A235" s="11" t="s">
        <v>1256</v>
      </c>
      <c r="B235" s="1" t="s">
        <v>1257</v>
      </c>
      <c r="C235" s="11" t="s">
        <v>1258</v>
      </c>
      <c r="D235" s="11" t="s">
        <v>1258</v>
      </c>
      <c r="E235" s="11" t="s">
        <v>1259</v>
      </c>
      <c r="F235" s="11" t="s">
        <v>1211</v>
      </c>
      <c r="G235" s="11" t="s">
        <v>1224</v>
      </c>
      <c r="H235" s="11" t="s">
        <v>1225</v>
      </c>
      <c r="I235" s="11" t="str">
        <f>HYPERLINK("http://www.confezioniraffaella.it/","www.confezioniraffaella.it")</f>
        <v>www.confezioniraffaella.it</v>
      </c>
      <c r="J235" s="12">
        <v>15067.203</v>
      </c>
      <c r="K235" s="12">
        <v>15067.203</v>
      </c>
      <c r="L235" s="13">
        <v>30934.562000000002</v>
      </c>
      <c r="M235" s="12">
        <v>513.56200000000001</v>
      </c>
      <c r="N235" s="12">
        <v>513.56200000000001</v>
      </c>
      <c r="O235" s="12">
        <v>5744.4759999999997</v>
      </c>
      <c r="P235" s="12">
        <v>35</v>
      </c>
      <c r="Q235" s="12">
        <v>35</v>
      </c>
      <c r="R235" s="12">
        <v>45</v>
      </c>
    </row>
    <row r="236" spans="1:18" ht="17" customHeight="1" x14ac:dyDescent="0.15">
      <c r="A236" s="8" t="s">
        <v>1260</v>
      </c>
      <c r="B236" s="9" t="s">
        <v>1261</v>
      </c>
      <c r="C236" s="8" t="s">
        <v>1262</v>
      </c>
      <c r="D236" s="8" t="s">
        <v>1262</v>
      </c>
      <c r="E236" s="8" t="s">
        <v>1263</v>
      </c>
      <c r="F236" s="8" t="s">
        <v>1211</v>
      </c>
      <c r="G236" s="8" t="s">
        <v>1264</v>
      </c>
      <c r="H236" s="8" t="s">
        <v>1265</v>
      </c>
      <c r="I236" s="8" t="str">
        <f>HYPERLINK("http://www.cs-jeans.com/","www.cs-jeans.com")</f>
        <v>www.cs-jeans.com</v>
      </c>
      <c r="J236" s="10">
        <v>29055.279999999999</v>
      </c>
      <c r="K236" s="10">
        <v>29055.279999999999</v>
      </c>
      <c r="L236" s="10">
        <v>30908.871999999999</v>
      </c>
      <c r="M236" s="10">
        <v>568.29600000000005</v>
      </c>
      <c r="N236" s="10">
        <v>568.29600000000005</v>
      </c>
      <c r="O236" s="10">
        <v>3073.569</v>
      </c>
      <c r="P236" s="10">
        <v>72</v>
      </c>
      <c r="Q236" s="10">
        <v>72</v>
      </c>
      <c r="R236" s="10">
        <v>70</v>
      </c>
    </row>
    <row r="237" spans="1:18" ht="17" customHeight="1" x14ac:dyDescent="0.15">
      <c r="A237" s="11" t="s">
        <v>1266</v>
      </c>
      <c r="B237" s="1" t="s">
        <v>1267</v>
      </c>
      <c r="C237" s="11" t="s">
        <v>1268</v>
      </c>
      <c r="D237" s="11" t="s">
        <v>1268</v>
      </c>
      <c r="E237" s="11" t="s">
        <v>1269</v>
      </c>
      <c r="F237" s="11" t="s">
        <v>1211</v>
      </c>
      <c r="G237" s="11" t="s">
        <v>1270</v>
      </c>
      <c r="H237" s="11" t="s">
        <v>1271</v>
      </c>
      <c r="I237" s="11" t="str">
        <f>HYPERLINK("http://urbankiss.it/","urbankiss.it")</f>
        <v>urbankiss.it</v>
      </c>
      <c r="J237" s="12">
        <v>36443.15</v>
      </c>
      <c r="K237" s="12">
        <v>36443.15</v>
      </c>
      <c r="L237" s="13">
        <v>30866.395</v>
      </c>
      <c r="M237" s="12">
        <v>2296.877</v>
      </c>
      <c r="N237" s="12">
        <v>2296.877</v>
      </c>
      <c r="O237" s="12">
        <v>916.01300000000003</v>
      </c>
      <c r="P237" s="12">
        <v>35</v>
      </c>
      <c r="Q237" s="12">
        <v>35</v>
      </c>
      <c r="R237" s="12">
        <v>38</v>
      </c>
    </row>
    <row r="238" spans="1:18" ht="29.5" customHeight="1" x14ac:dyDescent="0.15">
      <c r="A238" s="8" t="s">
        <v>1272</v>
      </c>
      <c r="B238" s="9" t="s">
        <v>1273</v>
      </c>
      <c r="C238" s="8" t="s">
        <v>1274</v>
      </c>
      <c r="D238" s="8" t="s">
        <v>1274</v>
      </c>
      <c r="E238" s="8" t="s">
        <v>1275</v>
      </c>
      <c r="F238" s="8" t="s">
        <v>1223</v>
      </c>
      <c r="G238" s="8" t="s">
        <v>1276</v>
      </c>
      <c r="H238" s="8" t="s">
        <v>1239</v>
      </c>
      <c r="I238" s="8" t="str">
        <f>HYPERLINK("http://www.societamanifatturatessile.it/","www.societamanifatturatessile.it")</f>
        <v>www.societamanifatturatessile.it</v>
      </c>
      <c r="J238" s="10">
        <v>42364.824000000001</v>
      </c>
      <c r="K238" s="10">
        <v>42364.824000000001</v>
      </c>
      <c r="L238" s="10">
        <v>30848.968000000001</v>
      </c>
      <c r="M238" s="10">
        <v>6857.3729999999996</v>
      </c>
      <c r="N238" s="10">
        <v>6857.3729999999996</v>
      </c>
      <c r="O238" s="10">
        <v>3446.5929999999998</v>
      </c>
      <c r="P238" s="10">
        <v>175</v>
      </c>
      <c r="Q238" s="10">
        <v>175</v>
      </c>
      <c r="R238" s="10">
        <v>127</v>
      </c>
    </row>
    <row r="239" spans="1:18" ht="17" customHeight="1" x14ac:dyDescent="0.15">
      <c r="A239" s="11" t="s">
        <v>1277</v>
      </c>
      <c r="B239" s="1" t="s">
        <v>1278</v>
      </c>
      <c r="C239" s="11" t="s">
        <v>1279</v>
      </c>
      <c r="D239" s="11" t="s">
        <v>1279</v>
      </c>
      <c r="E239" s="11" t="s">
        <v>1280</v>
      </c>
      <c r="F239" s="11" t="s">
        <v>1197</v>
      </c>
      <c r="G239" s="11" t="s">
        <v>1231</v>
      </c>
      <c r="H239" s="11" t="s">
        <v>1232</v>
      </c>
      <c r="I239" s="11" t="str">
        <f>HYPERLINK("http://www.benit.it/","www.benit.it")</f>
        <v>www.benit.it</v>
      </c>
      <c r="J239" s="12">
        <v>27973.231</v>
      </c>
      <c r="K239" s="12">
        <v>27973.231</v>
      </c>
      <c r="L239" s="13">
        <v>30686.913</v>
      </c>
      <c r="M239" s="12">
        <v>772.44500000000005</v>
      </c>
      <c r="N239" s="12">
        <v>772.44500000000005</v>
      </c>
      <c r="O239" s="12">
        <v>1484.2919999999999</v>
      </c>
      <c r="P239" s="12">
        <v>5</v>
      </c>
      <c r="Q239" s="12">
        <v>5</v>
      </c>
      <c r="R239" s="12">
        <v>5</v>
      </c>
    </row>
    <row r="240" spans="1:18" ht="17" customHeight="1" x14ac:dyDescent="0.15">
      <c r="A240" s="8" t="s">
        <v>1281</v>
      </c>
      <c r="B240" s="9" t="s">
        <v>1282</v>
      </c>
      <c r="C240" s="8" t="s">
        <v>1283</v>
      </c>
      <c r="D240" s="8" t="s">
        <v>1283</v>
      </c>
      <c r="E240" s="8" t="s">
        <v>1284</v>
      </c>
      <c r="F240" s="8" t="s">
        <v>1211</v>
      </c>
      <c r="G240" s="8" t="s">
        <v>1285</v>
      </c>
      <c r="H240" s="8" t="s">
        <v>1232</v>
      </c>
      <c r="I240" s="8" t="str">
        <f>HYPERLINK("http://masons.it/","masons.it")</f>
        <v>masons.it</v>
      </c>
      <c r="J240" s="10">
        <v>32255.611000000001</v>
      </c>
      <c r="K240" s="10">
        <v>32255.611000000001</v>
      </c>
      <c r="L240" s="10">
        <v>30586.550999999999</v>
      </c>
      <c r="M240" s="10">
        <v>3128.962</v>
      </c>
      <c r="N240" s="10">
        <v>3128.962</v>
      </c>
      <c r="O240" s="10">
        <v>2545.4920000000002</v>
      </c>
      <c r="P240" s="10">
        <v>11</v>
      </c>
      <c r="Q240" s="10">
        <v>11</v>
      </c>
      <c r="R240" s="10">
        <v>11</v>
      </c>
    </row>
    <row r="241" spans="1:18" ht="17" customHeight="1" x14ac:dyDescent="0.15">
      <c r="A241" s="11" t="s">
        <v>1286</v>
      </c>
      <c r="B241" s="1" t="s">
        <v>1287</v>
      </c>
      <c r="C241" s="11" t="s">
        <v>1288</v>
      </c>
      <c r="D241" s="11" t="s">
        <v>1288</v>
      </c>
      <c r="E241" s="11" t="s">
        <v>1289</v>
      </c>
      <c r="F241" s="11" t="s">
        <v>1211</v>
      </c>
      <c r="G241" s="11" t="s">
        <v>1290</v>
      </c>
      <c r="H241" s="11" t="s">
        <v>1239</v>
      </c>
      <c r="I241" s="11" t="str">
        <f>HYPERLINK("http://carusomenswear.com/","carusomenswear.com")</f>
        <v>carusomenswear.com</v>
      </c>
      <c r="J241" s="12">
        <v>39684</v>
      </c>
      <c r="K241" s="12">
        <v>39684</v>
      </c>
      <c r="L241" s="13">
        <v>30520.934000000001</v>
      </c>
      <c r="M241" s="12">
        <v>-135</v>
      </c>
      <c r="N241" s="12">
        <v>-135</v>
      </c>
      <c r="O241" s="12">
        <v>-3904.6689999999999</v>
      </c>
      <c r="P241" s="12">
        <v>458</v>
      </c>
      <c r="Q241" s="12">
        <v>458</v>
      </c>
      <c r="R241" s="12">
        <v>435</v>
      </c>
    </row>
    <row r="242" spans="1:18" ht="17" customHeight="1" x14ac:dyDescent="0.15">
      <c r="A242" s="8" t="s">
        <v>1291</v>
      </c>
      <c r="B242" s="9" t="s">
        <v>1292</v>
      </c>
      <c r="C242" s="8" t="s">
        <v>1293</v>
      </c>
      <c r="D242" s="8" t="s">
        <v>1293</v>
      </c>
      <c r="E242" s="8" t="s">
        <v>1294</v>
      </c>
      <c r="F242" s="8" t="s">
        <v>1223</v>
      </c>
      <c r="G242" s="8" t="s">
        <v>1295</v>
      </c>
      <c r="H242" s="8" t="s">
        <v>1206</v>
      </c>
      <c r="I242" s="8" t="str">
        <f>HYPERLINK("http://blueline.it/","blueline.it")</f>
        <v>blueline.it</v>
      </c>
      <c r="J242" s="10">
        <v>27508.001</v>
      </c>
      <c r="K242" s="10">
        <v>27508.001</v>
      </c>
      <c r="L242" s="10">
        <v>30445.256000000001</v>
      </c>
      <c r="M242" s="10">
        <v>181.49700000000001</v>
      </c>
      <c r="N242" s="10">
        <v>181.49700000000001</v>
      </c>
      <c r="O242" s="10">
        <v>-3945.0639999999999</v>
      </c>
      <c r="P242" s="10">
        <v>78</v>
      </c>
      <c r="Q242" s="10">
        <v>78</v>
      </c>
      <c r="R242" s="10">
        <v>92</v>
      </c>
    </row>
    <row r="243" spans="1:18" ht="17" customHeight="1" x14ac:dyDescent="0.15">
      <c r="A243" s="11" t="s">
        <v>1296</v>
      </c>
      <c r="B243" s="1" t="s">
        <v>1297</v>
      </c>
      <c r="C243" s="11" t="s">
        <v>1298</v>
      </c>
      <c r="D243" s="11" t="s">
        <v>1298</v>
      </c>
      <c r="E243" s="11" t="s">
        <v>1299</v>
      </c>
      <c r="F243" s="11" t="s">
        <v>1300</v>
      </c>
      <c r="G243" s="11" t="s">
        <v>1301</v>
      </c>
      <c r="H243" s="11" t="s">
        <v>1225</v>
      </c>
      <c r="I243" s="11" t="str">
        <f>HYPERLINK("http://www.conceriavolpiana.it/","www.conceriavolpiana.it")</f>
        <v>www.conceriavolpiana.it</v>
      </c>
      <c r="J243" s="12">
        <v>29189.274000000001</v>
      </c>
      <c r="K243" s="12">
        <v>29189.274000000001</v>
      </c>
      <c r="L243" s="13">
        <v>30409.759999999998</v>
      </c>
      <c r="M243" s="12">
        <v>808.13400000000001</v>
      </c>
      <c r="N243" s="12">
        <v>808.13400000000001</v>
      </c>
      <c r="O243" s="12">
        <v>684.14200000000005</v>
      </c>
      <c r="P243" s="12">
        <v>97</v>
      </c>
      <c r="Q243" s="12">
        <v>97</v>
      </c>
      <c r="R243" s="12">
        <v>104</v>
      </c>
    </row>
    <row r="244" spans="1:18" ht="17" customHeight="1" x14ac:dyDescent="0.15">
      <c r="A244" s="8" t="s">
        <v>1302</v>
      </c>
      <c r="B244" s="9" t="s">
        <v>1303</v>
      </c>
      <c r="C244" s="8" t="s">
        <v>1304</v>
      </c>
      <c r="D244" s="8" t="s">
        <v>1305</v>
      </c>
      <c r="E244" s="8" t="s">
        <v>1306</v>
      </c>
      <c r="F244" s="8" t="s">
        <v>1230</v>
      </c>
      <c r="G244" s="8" t="s">
        <v>1295</v>
      </c>
      <c r="H244" s="8" t="s">
        <v>1206</v>
      </c>
      <c r="I244" s="8" t="str">
        <f>HYPERLINK("http://www.borbonese.com/","http://www.borbonese.com")</f>
        <v>http://www.borbonese.com</v>
      </c>
      <c r="J244" s="10">
        <v>32460.855</v>
      </c>
      <c r="K244" s="10">
        <v>32460.855</v>
      </c>
      <c r="L244" s="10">
        <v>30311.167000000001</v>
      </c>
      <c r="M244" s="10">
        <v>7.3620000000000001</v>
      </c>
      <c r="N244" s="10">
        <v>7.3620000000000001</v>
      </c>
      <c r="O244" s="10">
        <v>189.77799999999999</v>
      </c>
      <c r="P244" s="10">
        <v>142</v>
      </c>
      <c r="Q244" s="10">
        <v>142</v>
      </c>
      <c r="R244" s="10">
        <v>131</v>
      </c>
    </row>
    <row r="245" spans="1:18" ht="29.5" customHeight="1" x14ac:dyDescent="0.15">
      <c r="A245" s="11" t="s">
        <v>1307</v>
      </c>
      <c r="B245" s="1" t="s">
        <v>1308</v>
      </c>
      <c r="C245" s="11" t="s">
        <v>1309</v>
      </c>
      <c r="D245" s="11" t="s">
        <v>1310</v>
      </c>
      <c r="E245" s="11" t="s">
        <v>1311</v>
      </c>
      <c r="F245" s="11" t="s">
        <v>1223</v>
      </c>
      <c r="G245" s="11" t="s">
        <v>1312</v>
      </c>
      <c r="H245" s="11" t="s">
        <v>1225</v>
      </c>
      <c r="I245" s="11" t="str">
        <f>HYPERLINK("http://www.brugi.it/","www.brugi.it")</f>
        <v>www.brugi.it</v>
      </c>
      <c r="J245" s="12">
        <v>29911.162</v>
      </c>
      <c r="K245" s="12">
        <v>29911.162</v>
      </c>
      <c r="L245" s="13">
        <v>30254.201000000001</v>
      </c>
      <c r="M245" s="12">
        <v>1095.327</v>
      </c>
      <c r="N245" s="12">
        <v>1095.327</v>
      </c>
      <c r="O245" s="12">
        <v>912.92899999999997</v>
      </c>
      <c r="P245" s="12">
        <v>65</v>
      </c>
      <c r="Q245" s="12">
        <v>65</v>
      </c>
      <c r="R245" s="12">
        <v>65</v>
      </c>
    </row>
    <row r="246" spans="1:18" ht="17" customHeight="1" x14ac:dyDescent="0.15">
      <c r="A246" s="8" t="s">
        <v>1313</v>
      </c>
      <c r="B246" s="9" t="s">
        <v>1314</v>
      </c>
      <c r="C246" s="8" t="s">
        <v>1315</v>
      </c>
      <c r="D246" s="8" t="s">
        <v>1315</v>
      </c>
      <c r="E246" s="8" t="s">
        <v>1316</v>
      </c>
      <c r="F246" s="8" t="s">
        <v>1317</v>
      </c>
      <c r="G246" s="8" t="s">
        <v>1244</v>
      </c>
      <c r="H246" s="8" t="s">
        <v>1199</v>
      </c>
      <c r="I246" s="8" t="str">
        <f>HYPERLINK("http://goretti.it/","goretti.it")</f>
        <v>goretti.it</v>
      </c>
      <c r="J246" s="10">
        <v>34191.432000000001</v>
      </c>
      <c r="K246" s="10">
        <v>34191.432000000001</v>
      </c>
      <c r="L246" s="10">
        <v>30083.647000000001</v>
      </c>
      <c r="M246" s="10">
        <v>7667.5219999999999</v>
      </c>
      <c r="N246" s="10">
        <v>7667.5219999999999</v>
      </c>
      <c r="O246" s="10">
        <v>4798.6220000000003</v>
      </c>
      <c r="P246" s="10">
        <v>122</v>
      </c>
      <c r="Q246" s="10">
        <v>122</v>
      </c>
      <c r="R246" s="10">
        <v>26</v>
      </c>
    </row>
    <row r="247" spans="1:18" ht="17" customHeight="1" x14ac:dyDescent="0.15">
      <c r="A247" s="11" t="s">
        <v>1318</v>
      </c>
      <c r="B247" s="1" t="s">
        <v>1319</v>
      </c>
      <c r="C247" s="11" t="s">
        <v>1320</v>
      </c>
      <c r="D247" s="11" t="s">
        <v>1320</v>
      </c>
      <c r="E247" s="11" t="s">
        <v>1321</v>
      </c>
      <c r="F247" s="11" t="s">
        <v>1197</v>
      </c>
      <c r="G247" s="11" t="s">
        <v>1322</v>
      </c>
      <c r="H247" s="11" t="s">
        <v>1199</v>
      </c>
      <c r="I247" s="11" t="str">
        <f>HYPERLINK("http://www.assoitaly.it/","http://www.assoitaly.it")</f>
        <v>http://www.assoitaly.it</v>
      </c>
      <c r="J247" s="12">
        <v>31128.78</v>
      </c>
      <c r="K247" s="12">
        <v>31128.78</v>
      </c>
      <c r="L247" s="13">
        <v>30064.352999999999</v>
      </c>
      <c r="M247" s="12">
        <v>2808.2930000000001</v>
      </c>
      <c r="N247" s="12">
        <v>2808.2930000000001</v>
      </c>
      <c r="O247" s="12">
        <v>1097.6410000000001</v>
      </c>
      <c r="P247" s="12">
        <v>19</v>
      </c>
      <c r="Q247" s="12">
        <v>19</v>
      </c>
      <c r="R247" s="12">
        <v>18</v>
      </c>
    </row>
    <row r="248" spans="1:18" ht="17" customHeight="1" x14ac:dyDescent="0.15">
      <c r="A248" s="8" t="s">
        <v>1323</v>
      </c>
      <c r="B248" s="9" t="s">
        <v>1324</v>
      </c>
      <c r="C248" s="8" t="s">
        <v>1325</v>
      </c>
      <c r="D248" s="8" t="s">
        <v>1325</v>
      </c>
      <c r="E248" s="8" t="s">
        <v>1326</v>
      </c>
      <c r="F248" s="8" t="s">
        <v>1327</v>
      </c>
      <c r="G248" s="8" t="s">
        <v>1301</v>
      </c>
      <c r="H248" s="8" t="s">
        <v>1225</v>
      </c>
      <c r="I248" s="8" t="str">
        <f>HYPERLINK("http://www.fvl.it/","http://www.fvl.it")</f>
        <v>http://www.fvl.it</v>
      </c>
      <c r="J248" s="10">
        <v>32468.416000000001</v>
      </c>
      <c r="K248" s="10">
        <v>32468.416000000001</v>
      </c>
      <c r="L248" s="10">
        <v>30056.608</v>
      </c>
      <c r="M248" s="10">
        <v>1974.6780000000001</v>
      </c>
      <c r="N248" s="10">
        <v>1974.6780000000001</v>
      </c>
      <c r="O248" s="10">
        <v>873.69100000000003</v>
      </c>
      <c r="P248" s="10">
        <v>47</v>
      </c>
      <c r="Q248" s="10">
        <v>47</v>
      </c>
      <c r="R248" s="10">
        <v>42</v>
      </c>
    </row>
    <row r="249" spans="1:18" ht="17" customHeight="1" x14ac:dyDescent="0.15">
      <c r="A249" s="11" t="s">
        <v>1328</v>
      </c>
      <c r="B249" s="1" t="s">
        <v>1329</v>
      </c>
      <c r="C249" s="11" t="s">
        <v>1330</v>
      </c>
      <c r="D249" s="11" t="s">
        <v>1331</v>
      </c>
      <c r="E249" s="11" t="s">
        <v>1332</v>
      </c>
      <c r="F249" s="11" t="s">
        <v>1327</v>
      </c>
      <c r="G249" s="11" t="s">
        <v>1295</v>
      </c>
      <c r="H249" s="11" t="s">
        <v>1206</v>
      </c>
      <c r="I249" s="11" t="str">
        <f>HYPERLINK("http://www.pucci.com/","www.pucci.com")</f>
        <v>www.pucci.com</v>
      </c>
      <c r="J249" s="12">
        <v>35709.951000000001</v>
      </c>
      <c r="K249" s="12">
        <v>35709.951000000001</v>
      </c>
      <c r="L249" s="13">
        <v>29852.365000000002</v>
      </c>
      <c r="M249" s="12">
        <v>-24958.952000000001</v>
      </c>
      <c r="N249" s="12">
        <v>-24958.952000000001</v>
      </c>
      <c r="O249" s="12">
        <v>-22756.207999999999</v>
      </c>
      <c r="P249" s="12">
        <v>99</v>
      </c>
      <c r="Q249" s="12">
        <v>99</v>
      </c>
      <c r="R249" s="12">
        <v>80</v>
      </c>
    </row>
    <row r="250" spans="1:18" ht="17" customHeight="1" x14ac:dyDescent="0.15">
      <c r="A250" s="8" t="s">
        <v>1333</v>
      </c>
      <c r="B250" s="9" t="s">
        <v>1334</v>
      </c>
      <c r="C250" s="8" t="s">
        <v>1335</v>
      </c>
      <c r="D250" s="8" t="s">
        <v>1335</v>
      </c>
      <c r="E250" s="8" t="s">
        <v>1336</v>
      </c>
      <c r="F250" s="8" t="s">
        <v>1300</v>
      </c>
      <c r="G250" s="8" t="s">
        <v>1337</v>
      </c>
      <c r="H250" s="8" t="s">
        <v>1232</v>
      </c>
      <c r="I250" s="8" t="str">
        <f>HYPERLINK("http://www.dolmenspa.com/","www.dolmenspa.com")</f>
        <v>www.dolmenspa.com</v>
      </c>
      <c r="J250" s="10">
        <v>28238.69</v>
      </c>
      <c r="K250" s="10">
        <v>28238.69</v>
      </c>
      <c r="L250" s="10">
        <v>29821.816999999999</v>
      </c>
      <c r="M250" s="10">
        <v>180.78100000000001</v>
      </c>
      <c r="N250" s="10">
        <v>180.78100000000001</v>
      </c>
      <c r="O250" s="10">
        <v>75.471000000000004</v>
      </c>
      <c r="P250" s="10">
        <v>60</v>
      </c>
      <c r="Q250" s="10">
        <v>60</v>
      </c>
      <c r="R250" s="10">
        <v>59</v>
      </c>
    </row>
    <row r="251" spans="1:18" ht="29.5" customHeight="1" x14ac:dyDescent="0.15">
      <c r="A251" s="11" t="s">
        <v>1338</v>
      </c>
      <c r="B251" s="1" t="s">
        <v>1339</v>
      </c>
      <c r="C251" s="11" t="s">
        <v>1340</v>
      </c>
      <c r="D251" s="11" t="s">
        <v>1340</v>
      </c>
      <c r="E251" s="11" t="s">
        <v>1341</v>
      </c>
      <c r="F251" s="11" t="s">
        <v>1204</v>
      </c>
      <c r="G251" s="11" t="s">
        <v>1250</v>
      </c>
      <c r="H251" s="11" t="s">
        <v>1251</v>
      </c>
      <c r="I251" s="11" t="str">
        <f>HYPERLINK("http://www.dececco.net/","www.dececco.net")</f>
        <v>www.dececco.net</v>
      </c>
      <c r="J251" s="12">
        <v>32934.607000000004</v>
      </c>
      <c r="K251" s="12">
        <v>32934.607000000004</v>
      </c>
      <c r="L251" s="13">
        <v>29280.046999999999</v>
      </c>
      <c r="M251" s="12">
        <v>488.61500000000001</v>
      </c>
      <c r="N251" s="12">
        <v>488.61500000000001</v>
      </c>
      <c r="O251" s="12">
        <v>510.69900000000001</v>
      </c>
      <c r="P251" s="12">
        <v>105</v>
      </c>
      <c r="Q251" s="12">
        <v>105</v>
      </c>
      <c r="R251" s="12">
        <v>100</v>
      </c>
    </row>
    <row r="252" spans="1:18" ht="17" customHeight="1" x14ac:dyDescent="0.15">
      <c r="A252" s="8" t="s">
        <v>1342</v>
      </c>
      <c r="B252" s="9" t="s">
        <v>1343</v>
      </c>
      <c r="C252" s="8" t="s">
        <v>1344</v>
      </c>
      <c r="D252" s="8" t="s">
        <v>1344</v>
      </c>
      <c r="E252" s="8" t="s">
        <v>1345</v>
      </c>
      <c r="F252" s="8" t="s">
        <v>1197</v>
      </c>
      <c r="G252" s="8" t="s">
        <v>1346</v>
      </c>
      <c r="H252" s="8" t="s">
        <v>1271</v>
      </c>
      <c r="I252" s="8" t="str">
        <f>HYPERLINK("http://www.gianelshoes.it/","www.gianelshoes.it")</f>
        <v>www.gianelshoes.it</v>
      </c>
      <c r="J252" s="10">
        <v>28821.286</v>
      </c>
      <c r="K252" s="10">
        <v>28821.286</v>
      </c>
      <c r="L252" s="10">
        <v>29277.455999999998</v>
      </c>
      <c r="M252" s="10">
        <v>4600.4989999999998</v>
      </c>
      <c r="N252" s="10">
        <v>4600.4989999999998</v>
      </c>
      <c r="O252" s="10">
        <v>1867.2729999999999</v>
      </c>
      <c r="P252" s="10">
        <v>453</v>
      </c>
      <c r="Q252" s="10">
        <v>453</v>
      </c>
      <c r="R252" s="10">
        <v>448</v>
      </c>
    </row>
    <row r="253" spans="1:18" ht="17" customHeight="1" x14ac:dyDescent="0.15">
      <c r="A253" s="11" t="s">
        <v>1347</v>
      </c>
      <c r="B253" s="1" t="s">
        <v>1348</v>
      </c>
      <c r="C253" s="11" t="s">
        <v>1349</v>
      </c>
      <c r="D253" s="11" t="s">
        <v>1349</v>
      </c>
      <c r="E253" s="11" t="s">
        <v>1350</v>
      </c>
      <c r="F253" s="11" t="s">
        <v>1197</v>
      </c>
      <c r="G253" s="11" t="s">
        <v>1224</v>
      </c>
      <c r="H253" s="11" t="s">
        <v>1225</v>
      </c>
      <c r="I253" s="11" t="str">
        <f>HYPERLINK("http://www.aku.com/","www.aku.com")</f>
        <v>www.aku.com</v>
      </c>
      <c r="J253" s="12">
        <v>30203.477999999999</v>
      </c>
      <c r="K253" s="12">
        <v>30203.477999999999</v>
      </c>
      <c r="L253" s="13">
        <v>29219.357</v>
      </c>
      <c r="M253" s="12">
        <v>-462.072</v>
      </c>
      <c r="N253" s="12">
        <v>-462.072</v>
      </c>
      <c r="O253" s="12">
        <v>652.54300000000001</v>
      </c>
      <c r="P253" s="12">
        <v>58</v>
      </c>
      <c r="Q253" s="12">
        <v>58</v>
      </c>
      <c r="R253" s="12">
        <v>56</v>
      </c>
    </row>
    <row r="254" spans="1:18" ht="17" customHeight="1" x14ac:dyDescent="0.15">
      <c r="A254" s="8" t="s">
        <v>1351</v>
      </c>
      <c r="B254" s="9" t="s">
        <v>1352</v>
      </c>
      <c r="C254" s="8" t="s">
        <v>1353</v>
      </c>
      <c r="D254" s="8" t="s">
        <v>1353</v>
      </c>
      <c r="E254" s="8" t="s">
        <v>1354</v>
      </c>
      <c r="F254" s="8" t="s">
        <v>1355</v>
      </c>
      <c r="G254" s="8" t="s">
        <v>1356</v>
      </c>
      <c r="H254" s="8" t="s">
        <v>1206</v>
      </c>
      <c r="I254" s="8" t="str">
        <f>HYPERLINK("http://www.ilarygroup.com/","www.ilarygroup.com")</f>
        <v>www.ilarygroup.com</v>
      </c>
      <c r="J254" s="10">
        <v>29157.360000000001</v>
      </c>
      <c r="K254" s="10">
        <v>29157.360000000001</v>
      </c>
      <c r="L254" s="10">
        <v>29171.812000000002</v>
      </c>
      <c r="M254" s="10">
        <v>639.25599999999997</v>
      </c>
      <c r="N254" s="10">
        <v>639.25599999999997</v>
      </c>
      <c r="O254" s="10">
        <v>797.36800000000005</v>
      </c>
      <c r="P254" s="10">
        <v>98</v>
      </c>
      <c r="Q254" s="10">
        <v>98</v>
      </c>
      <c r="R254" s="10">
        <v>96</v>
      </c>
    </row>
    <row r="255" spans="1:18" ht="17" customHeight="1" x14ac:dyDescent="0.15">
      <c r="A255" s="11" t="s">
        <v>1357</v>
      </c>
      <c r="B255" s="1" t="s">
        <v>1358</v>
      </c>
      <c r="C255" s="11" t="s">
        <v>1359</v>
      </c>
      <c r="D255" s="11" t="s">
        <v>1359</v>
      </c>
      <c r="E255" s="11" t="s">
        <v>1360</v>
      </c>
      <c r="F255" s="11" t="s">
        <v>1300</v>
      </c>
      <c r="G255" s="11" t="s">
        <v>1361</v>
      </c>
      <c r="H255" s="11" t="s">
        <v>1213</v>
      </c>
      <c r="I255" s="11" t="str">
        <f>HYPERLINK("http://www.carismaleather.it/","http://www.carismaleather.it")</f>
        <v>http://www.carismaleather.it</v>
      </c>
      <c r="J255" s="12">
        <v>25537.794000000002</v>
      </c>
      <c r="K255" s="12">
        <v>25537.794000000002</v>
      </c>
      <c r="L255" s="13">
        <v>29118.655999999999</v>
      </c>
      <c r="M255" s="12">
        <v>649.99400000000003</v>
      </c>
      <c r="N255" s="12">
        <v>649.99400000000003</v>
      </c>
      <c r="O255" s="12">
        <v>738.68899999999996</v>
      </c>
      <c r="P255" s="12">
        <v>94</v>
      </c>
      <c r="Q255" s="12">
        <v>94</v>
      </c>
      <c r="R255" s="12">
        <v>87</v>
      </c>
    </row>
    <row r="256" spans="1:18" ht="29.5" customHeight="1" x14ac:dyDescent="0.15">
      <c r="A256" s="8" t="s">
        <v>1362</v>
      </c>
      <c r="B256" s="9" t="s">
        <v>1363</v>
      </c>
      <c r="C256" s="8" t="s">
        <v>1364</v>
      </c>
      <c r="D256" s="8" t="s">
        <v>1364</v>
      </c>
      <c r="E256" s="8" t="s">
        <v>1365</v>
      </c>
      <c r="F256" s="8" t="s">
        <v>1197</v>
      </c>
      <c r="G256" s="8" t="s">
        <v>1224</v>
      </c>
      <c r="H256" s="8" t="s">
        <v>1225</v>
      </c>
      <c r="I256" s="8" t="str">
        <f>HYPERLINK("http://uk.garmont.com/","uk.garmont.com")</f>
        <v>uk.garmont.com</v>
      </c>
      <c r="J256" s="10">
        <v>25836.984</v>
      </c>
      <c r="K256" s="10">
        <v>25836.984</v>
      </c>
      <c r="L256" s="10">
        <v>28956.305</v>
      </c>
      <c r="M256" s="10">
        <v>-83.766000000000005</v>
      </c>
      <c r="N256" s="10">
        <v>-83.766000000000005</v>
      </c>
      <c r="O256" s="10">
        <v>1057.9000000000001</v>
      </c>
      <c r="P256" s="10">
        <v>27</v>
      </c>
      <c r="Q256" s="10">
        <v>27</v>
      </c>
      <c r="R256" s="10">
        <v>23</v>
      </c>
    </row>
    <row r="257" spans="1:18" ht="17" customHeight="1" x14ac:dyDescent="0.15">
      <c r="A257" s="11" t="s">
        <v>1366</v>
      </c>
      <c r="B257" s="1" t="s">
        <v>1367</v>
      </c>
      <c r="C257" s="11" t="s">
        <v>1368</v>
      </c>
      <c r="D257" s="11" t="s">
        <v>1368</v>
      </c>
      <c r="E257" s="11" t="s">
        <v>1369</v>
      </c>
      <c r="F257" s="11" t="s">
        <v>1370</v>
      </c>
      <c r="G257" s="11" t="s">
        <v>1371</v>
      </c>
      <c r="H257" s="11" t="s">
        <v>1372</v>
      </c>
      <c r="I257" s="11" t="str">
        <f>HYPERLINK("http://www.febos.com/","www.febos.com")</f>
        <v>www.febos.com</v>
      </c>
      <c r="J257" s="12">
        <v>33000.377</v>
      </c>
      <c r="K257" s="12">
        <v>33000.377</v>
      </c>
      <c r="L257" s="13">
        <v>28849.82</v>
      </c>
      <c r="M257" s="12">
        <v>926.38599999999997</v>
      </c>
      <c r="N257" s="12">
        <v>926.38599999999997</v>
      </c>
      <c r="O257" s="12">
        <v>486.91199999999998</v>
      </c>
      <c r="P257" s="12">
        <v>43</v>
      </c>
      <c r="Q257" s="12">
        <v>43</v>
      </c>
      <c r="R257" s="12">
        <v>40</v>
      </c>
    </row>
    <row r="258" spans="1:18" ht="17" customHeight="1" x14ac:dyDescent="0.15">
      <c r="A258" s="8" t="s">
        <v>1373</v>
      </c>
      <c r="B258" s="9" t="s">
        <v>1374</v>
      </c>
      <c r="C258" s="8" t="s">
        <v>1375</v>
      </c>
      <c r="D258" s="8" t="s">
        <v>1375</v>
      </c>
      <c r="E258" s="8" t="s">
        <v>1376</v>
      </c>
      <c r="F258" s="8" t="s">
        <v>1370</v>
      </c>
      <c r="G258" s="8" t="s">
        <v>1377</v>
      </c>
      <c r="H258" s="8" t="s">
        <v>1378</v>
      </c>
      <c r="I258" s="8" t="str">
        <f>HYPERLINK("http://www.flyflot.it/","www.flyflot.it")</f>
        <v>www.flyflot.it</v>
      </c>
      <c r="J258" s="10">
        <v>25632.763999999999</v>
      </c>
      <c r="K258" s="10">
        <v>25632.763999999999</v>
      </c>
      <c r="L258" s="10">
        <v>28829.690999999999</v>
      </c>
      <c r="M258" s="10">
        <v>1562.713</v>
      </c>
      <c r="N258" s="10">
        <v>1562.713</v>
      </c>
      <c r="O258" s="10">
        <v>1976.3610000000001</v>
      </c>
      <c r="P258" s="10">
        <v>53</v>
      </c>
      <c r="Q258" s="10">
        <v>53</v>
      </c>
      <c r="R258" s="10">
        <v>47</v>
      </c>
    </row>
    <row r="259" spans="1:18" ht="55.75" customHeight="1" x14ac:dyDescent="0.15">
      <c r="A259" s="11" t="s">
        <v>1379</v>
      </c>
      <c r="B259" s="1" t="s">
        <v>1380</v>
      </c>
      <c r="C259" s="11" t="s">
        <v>1381</v>
      </c>
      <c r="D259" s="11" t="s">
        <v>1381</v>
      </c>
      <c r="E259" s="11" t="s">
        <v>1382</v>
      </c>
      <c r="F259" s="11" t="s">
        <v>1383</v>
      </c>
      <c r="G259" s="11" t="s">
        <v>1384</v>
      </c>
      <c r="H259" s="11" t="s">
        <v>1385</v>
      </c>
      <c r="I259" s="11" t="str">
        <f>HYPERLINK("http://www.ingropelli.it/","www.ingropelli.it")</f>
        <v>www.ingropelli.it</v>
      </c>
      <c r="J259" s="12">
        <v>29637.66</v>
      </c>
      <c r="K259" s="12">
        <v>29637.66</v>
      </c>
      <c r="L259" s="13">
        <v>28818.169000000002</v>
      </c>
      <c r="M259" s="12">
        <v>1678.1089999999999</v>
      </c>
      <c r="N259" s="12">
        <v>1678.1089999999999</v>
      </c>
      <c r="O259" s="12">
        <v>1756.068</v>
      </c>
      <c r="P259" s="14" t="s">
        <v>1386</v>
      </c>
      <c r="Q259" s="14" t="s">
        <v>1386</v>
      </c>
      <c r="R259" s="12">
        <v>26</v>
      </c>
    </row>
    <row r="260" spans="1:18" ht="17" customHeight="1" x14ac:dyDescent="0.15">
      <c r="A260" s="8" t="s">
        <v>1387</v>
      </c>
      <c r="B260" s="9" t="s">
        <v>1388</v>
      </c>
      <c r="C260" s="8" t="s">
        <v>1389</v>
      </c>
      <c r="D260" s="8" t="s">
        <v>1389</v>
      </c>
      <c r="E260" s="8" t="s">
        <v>1390</v>
      </c>
      <c r="F260" s="8" t="s">
        <v>1391</v>
      </c>
      <c r="G260" s="8" t="s">
        <v>1392</v>
      </c>
      <c r="H260" s="8" t="s">
        <v>1378</v>
      </c>
      <c r="I260" s="8" t="str">
        <f>HYPERLINK("http://www.lorenaantoniazzi.it/","http://www.lorenaantoniazzi.it")</f>
        <v>http://www.lorenaantoniazzi.it</v>
      </c>
      <c r="J260" s="10">
        <v>35650.877999999997</v>
      </c>
      <c r="K260" s="10">
        <v>35650.877999999997</v>
      </c>
      <c r="L260" s="10">
        <v>28675.745999999999</v>
      </c>
      <c r="M260" s="10">
        <v>761.74900000000002</v>
      </c>
      <c r="N260" s="10">
        <v>761.74900000000002</v>
      </c>
      <c r="O260" s="10">
        <v>661.74900000000002</v>
      </c>
      <c r="P260" s="10">
        <v>120</v>
      </c>
      <c r="Q260" s="10">
        <v>120</v>
      </c>
      <c r="R260" s="10">
        <v>124</v>
      </c>
    </row>
    <row r="261" spans="1:18" ht="17" customHeight="1" x14ac:dyDescent="0.15">
      <c r="A261" s="11" t="s">
        <v>1393</v>
      </c>
      <c r="B261" s="1" t="s">
        <v>1394</v>
      </c>
      <c r="C261" s="11" t="s">
        <v>1395</v>
      </c>
      <c r="D261" s="11" t="s">
        <v>1395</v>
      </c>
      <c r="E261" s="11" t="s">
        <v>1396</v>
      </c>
      <c r="F261" s="11" t="s">
        <v>1397</v>
      </c>
      <c r="G261" s="11" t="s">
        <v>1398</v>
      </c>
      <c r="H261" s="11" t="s">
        <v>1399</v>
      </c>
      <c r="I261" s="11" t="str">
        <f>HYPERLINK("http://www.cover50.it/","www.cover50.it")</f>
        <v>www.cover50.it</v>
      </c>
      <c r="J261" s="12">
        <v>40790.51</v>
      </c>
      <c r="K261" s="12">
        <v>40790.51</v>
      </c>
      <c r="L261" s="13">
        <v>28630.832999999999</v>
      </c>
      <c r="M261" s="12">
        <v>1143.5309999999999</v>
      </c>
      <c r="N261" s="12">
        <v>1143.5309999999999</v>
      </c>
      <c r="O261" s="12">
        <v>3655.482</v>
      </c>
      <c r="P261" s="12">
        <v>54</v>
      </c>
      <c r="Q261" s="12">
        <v>54</v>
      </c>
      <c r="R261" s="12">
        <v>57</v>
      </c>
    </row>
    <row r="262" spans="1:18" ht="17" customHeight="1" x14ac:dyDescent="0.15">
      <c r="A262" s="8" t="s">
        <v>1400</v>
      </c>
      <c r="B262" s="9" t="s">
        <v>1401</v>
      </c>
      <c r="C262" s="8" t="s">
        <v>1402</v>
      </c>
      <c r="D262" s="8" t="s">
        <v>1402</v>
      </c>
      <c r="E262" s="8" t="s">
        <v>1403</v>
      </c>
      <c r="F262" s="8" t="s">
        <v>1404</v>
      </c>
      <c r="G262" s="8" t="s">
        <v>1405</v>
      </c>
      <c r="H262" s="8" t="s">
        <v>1385</v>
      </c>
      <c r="I262" s="8" t="str">
        <f>HYPERLINK("http://www.robans.com/","www.robans.com")</f>
        <v>www.robans.com</v>
      </c>
      <c r="J262" s="10">
        <v>46011.998</v>
      </c>
      <c r="K262" s="10">
        <v>46011.998</v>
      </c>
      <c r="L262" s="10">
        <v>28630.224999999999</v>
      </c>
      <c r="M262" s="10">
        <v>7063.2520000000004</v>
      </c>
      <c r="N262" s="10">
        <v>7063.2520000000004</v>
      </c>
      <c r="O262" s="10">
        <v>3969.0349999999999</v>
      </c>
      <c r="P262" s="10">
        <v>126</v>
      </c>
      <c r="Q262" s="10">
        <v>126</v>
      </c>
      <c r="R262" s="10">
        <v>114</v>
      </c>
    </row>
    <row r="263" spans="1:18" ht="17" customHeight="1" x14ac:dyDescent="0.15">
      <c r="A263" s="11" t="s">
        <v>1406</v>
      </c>
      <c r="B263" s="1" t="s">
        <v>1407</v>
      </c>
      <c r="C263" s="11" t="s">
        <v>1408</v>
      </c>
      <c r="D263" s="11" t="s">
        <v>1408</v>
      </c>
      <c r="E263" s="11" t="s">
        <v>1409</v>
      </c>
      <c r="F263" s="11" t="s">
        <v>1383</v>
      </c>
      <c r="G263" s="11" t="s">
        <v>1392</v>
      </c>
      <c r="H263" s="11" t="s">
        <v>1378</v>
      </c>
      <c r="I263" s="11" t="str">
        <f>HYPERLINK("http://www.deviconcia.it/","www.deviconcia.it")</f>
        <v>www.deviconcia.it</v>
      </c>
      <c r="J263" s="12">
        <v>26332.054</v>
      </c>
      <c r="K263" s="12">
        <v>26332.054</v>
      </c>
      <c r="L263" s="13">
        <v>28604.870999999999</v>
      </c>
      <c r="M263" s="12">
        <v>1431.89</v>
      </c>
      <c r="N263" s="12">
        <v>1431.89</v>
      </c>
      <c r="O263" s="12">
        <v>1189.1610000000001</v>
      </c>
      <c r="P263" s="12">
        <v>81</v>
      </c>
      <c r="Q263" s="12">
        <v>81</v>
      </c>
      <c r="R263" s="12">
        <v>92</v>
      </c>
    </row>
    <row r="264" spans="1:18" ht="17" customHeight="1" x14ac:dyDescent="0.15">
      <c r="A264" s="8" t="s">
        <v>1410</v>
      </c>
      <c r="B264" s="9" t="s">
        <v>1411</v>
      </c>
      <c r="C264" s="8" t="s">
        <v>1412</v>
      </c>
      <c r="D264" s="8" t="s">
        <v>1412</v>
      </c>
      <c r="E264" s="8" t="s">
        <v>1413</v>
      </c>
      <c r="F264" s="8" t="s">
        <v>1414</v>
      </c>
      <c r="G264" s="8" t="s">
        <v>1415</v>
      </c>
      <c r="H264" s="8" t="s">
        <v>1378</v>
      </c>
      <c r="I264" s="8" t="str">
        <f>HYPERLINK("http://www.santinicycling.com/","www.santinicycling.com")</f>
        <v>www.santinicycling.com</v>
      </c>
      <c r="J264" s="10">
        <v>22439.920999999998</v>
      </c>
      <c r="K264" s="10">
        <v>22439.920999999998</v>
      </c>
      <c r="L264" s="10">
        <v>28475.21</v>
      </c>
      <c r="M264" s="10">
        <v>100.74</v>
      </c>
      <c r="N264" s="10">
        <v>100.74</v>
      </c>
      <c r="O264" s="10">
        <v>300.904</v>
      </c>
      <c r="P264" s="10">
        <v>91</v>
      </c>
      <c r="Q264" s="10">
        <v>91</v>
      </c>
      <c r="R264" s="10">
        <v>93</v>
      </c>
    </row>
    <row r="265" spans="1:18" ht="43" customHeight="1" x14ac:dyDescent="0.15">
      <c r="A265" s="11" t="s">
        <v>1416</v>
      </c>
      <c r="B265" s="1" t="s">
        <v>1417</v>
      </c>
      <c r="C265" s="11" t="s">
        <v>1418</v>
      </c>
      <c r="D265" s="11" t="s">
        <v>1418</v>
      </c>
      <c r="E265" s="11" t="s">
        <v>1419</v>
      </c>
      <c r="F265" s="11" t="s">
        <v>1383</v>
      </c>
      <c r="G265" s="11" t="s">
        <v>1405</v>
      </c>
      <c r="H265" s="11" t="s">
        <v>1385</v>
      </c>
      <c r="I265" s="11" t="str">
        <f>HYPERLINK("http://www.valdarno.it/","www.valdarno.it")</f>
        <v>www.valdarno.it</v>
      </c>
      <c r="J265" s="12">
        <v>27116.491000000002</v>
      </c>
      <c r="K265" s="12">
        <v>27116.491000000002</v>
      </c>
      <c r="L265" s="13">
        <v>28338.885999999999</v>
      </c>
      <c r="M265" s="12">
        <v>691.71500000000003</v>
      </c>
      <c r="N265" s="12">
        <v>691.71500000000003</v>
      </c>
      <c r="O265" s="12">
        <v>1078.0409999999999</v>
      </c>
      <c r="P265" s="12">
        <v>25</v>
      </c>
      <c r="Q265" s="12">
        <v>25</v>
      </c>
      <c r="R265" s="12">
        <v>23</v>
      </c>
    </row>
    <row r="266" spans="1:18" ht="43" customHeight="1" x14ac:dyDescent="0.15">
      <c r="A266" s="8" t="s">
        <v>1420</v>
      </c>
      <c r="B266" s="9" t="s">
        <v>1421</v>
      </c>
      <c r="C266" s="8" t="s">
        <v>1422</v>
      </c>
      <c r="D266" s="8" t="s">
        <v>1423</v>
      </c>
      <c r="E266" s="8" t="s">
        <v>1424</v>
      </c>
      <c r="F266" s="8" t="s">
        <v>1425</v>
      </c>
      <c r="G266" s="8" t="s">
        <v>1426</v>
      </c>
      <c r="H266" s="8" t="s">
        <v>1427</v>
      </c>
      <c r="I266" s="8" t="str">
        <f>HYPERLINK("http://www.manilagrace.com/it/","http://www.manilagrace.com/it/")</f>
        <v>http://www.manilagrace.com/it/</v>
      </c>
      <c r="J266" s="10">
        <v>4970.4110000000001</v>
      </c>
      <c r="K266" s="10">
        <v>4970.4110000000001</v>
      </c>
      <c r="L266" s="10">
        <v>28321.262999999999</v>
      </c>
      <c r="M266" s="10">
        <v>-2739.4259999999999</v>
      </c>
      <c r="N266" s="10">
        <v>-2739.4259999999999</v>
      </c>
      <c r="O266" s="10">
        <v>-25031.838</v>
      </c>
      <c r="P266" s="10">
        <v>1</v>
      </c>
      <c r="Q266" s="10">
        <v>1</v>
      </c>
      <c r="R266" s="10">
        <v>101</v>
      </c>
    </row>
    <row r="267" spans="1:18" ht="29.5" customHeight="1" x14ac:dyDescent="0.15">
      <c r="A267" s="11" t="s">
        <v>1428</v>
      </c>
      <c r="B267" s="1" t="s">
        <v>1429</v>
      </c>
      <c r="C267" s="11" t="s">
        <v>1430</v>
      </c>
      <c r="D267" s="11" t="s">
        <v>1430</v>
      </c>
      <c r="E267" s="11" t="s">
        <v>1431</v>
      </c>
      <c r="F267" s="11" t="s">
        <v>1414</v>
      </c>
      <c r="G267" s="11" t="s">
        <v>1432</v>
      </c>
      <c r="H267" s="11" t="s">
        <v>1378</v>
      </c>
      <c r="I267" s="11" t="str">
        <f>HYPERLINK("http://www.moasport.it/","www.moasport.it")</f>
        <v>www.moasport.it</v>
      </c>
      <c r="J267" s="12">
        <v>16442.248</v>
      </c>
      <c r="K267" s="12">
        <v>16442.248</v>
      </c>
      <c r="L267" s="13">
        <v>28298.929</v>
      </c>
      <c r="M267" s="12">
        <v>-998.96199999999999</v>
      </c>
      <c r="N267" s="12">
        <v>-998.96199999999999</v>
      </c>
      <c r="O267" s="12">
        <v>1326.9280000000001</v>
      </c>
      <c r="P267" s="12">
        <v>228</v>
      </c>
      <c r="Q267" s="12">
        <v>228</v>
      </c>
      <c r="R267" s="12">
        <v>238</v>
      </c>
    </row>
    <row r="268" spans="1:18" ht="17" customHeight="1" x14ac:dyDescent="0.15">
      <c r="A268" s="8" t="s">
        <v>1433</v>
      </c>
      <c r="B268" s="9" t="s">
        <v>1434</v>
      </c>
      <c r="C268" s="8" t="s">
        <v>1435</v>
      </c>
      <c r="D268" s="8" t="s">
        <v>1435</v>
      </c>
      <c r="E268" s="8" t="s">
        <v>1436</v>
      </c>
      <c r="F268" s="8" t="s">
        <v>1425</v>
      </c>
      <c r="G268" s="8" t="s">
        <v>1437</v>
      </c>
      <c r="H268" s="8" t="s">
        <v>1372</v>
      </c>
      <c r="I268" s="8" t="str">
        <f>HYPERLINK("http://www.forte-forte.jp/","www.forte-forte.jp")</f>
        <v>www.forte-forte.jp</v>
      </c>
      <c r="J268" s="10">
        <v>29980.406999999999</v>
      </c>
      <c r="K268" s="10">
        <v>29980.406999999999</v>
      </c>
      <c r="L268" s="10">
        <v>28254.375</v>
      </c>
      <c r="M268" s="10">
        <v>813.85500000000002</v>
      </c>
      <c r="N268" s="10">
        <v>813.85500000000002</v>
      </c>
      <c r="O268" s="10">
        <v>637.48299999999995</v>
      </c>
      <c r="P268" s="10">
        <v>61</v>
      </c>
      <c r="Q268" s="10">
        <v>61</v>
      </c>
      <c r="R268" s="10">
        <v>57</v>
      </c>
    </row>
    <row r="269" spans="1:18" ht="17" customHeight="1" x14ac:dyDescent="0.15">
      <c r="A269" s="11" t="s">
        <v>1438</v>
      </c>
      <c r="B269" s="1" t="s">
        <v>1439</v>
      </c>
      <c r="C269" s="11" t="s">
        <v>1440</v>
      </c>
      <c r="D269" s="11" t="s">
        <v>1441</v>
      </c>
      <c r="E269" s="11" t="s">
        <v>1442</v>
      </c>
      <c r="F269" s="11" t="s">
        <v>1414</v>
      </c>
      <c r="G269" s="11" t="s">
        <v>1443</v>
      </c>
      <c r="H269" s="11" t="s">
        <v>1372</v>
      </c>
      <c r="I269" s="11" t="str">
        <f>HYPERLINK("http://alecycling.com/","alecycling.com")</f>
        <v>alecycling.com</v>
      </c>
      <c r="J269" s="12">
        <v>21350.016</v>
      </c>
      <c r="K269" s="12">
        <v>21350.016</v>
      </c>
      <c r="L269" s="13">
        <v>28224.659</v>
      </c>
      <c r="M269" s="12">
        <v>0.72899999999999998</v>
      </c>
      <c r="N269" s="12">
        <v>0.72899999999999998</v>
      </c>
      <c r="O269" s="12">
        <v>3625.788</v>
      </c>
      <c r="P269" s="12">
        <v>97</v>
      </c>
      <c r="Q269" s="12">
        <v>97</v>
      </c>
      <c r="R269" s="12">
        <v>102</v>
      </c>
    </row>
    <row r="270" spans="1:18" ht="17" customHeight="1" x14ac:dyDescent="0.15">
      <c r="A270" s="8" t="s">
        <v>1444</v>
      </c>
      <c r="B270" s="9" t="s">
        <v>1445</v>
      </c>
      <c r="C270" s="8" t="s">
        <v>1446</v>
      </c>
      <c r="D270" s="8" t="s">
        <v>1446</v>
      </c>
      <c r="E270" s="8" t="s">
        <v>1447</v>
      </c>
      <c r="F270" s="8" t="s">
        <v>1425</v>
      </c>
      <c r="G270" s="8" t="s">
        <v>1448</v>
      </c>
      <c r="H270" s="8" t="s">
        <v>1372</v>
      </c>
      <c r="I270" s="8" t="str">
        <f>HYPERLINK("http://www.pespow.com/","www.pespow.com")</f>
        <v>www.pespow.com</v>
      </c>
      <c r="J270" s="10">
        <v>28956.757000000001</v>
      </c>
      <c r="K270" s="10">
        <v>28956.757000000001</v>
      </c>
      <c r="L270" s="10">
        <v>28159.115000000002</v>
      </c>
      <c r="M270" s="10">
        <v>1077.778</v>
      </c>
      <c r="N270" s="10">
        <v>1077.778</v>
      </c>
      <c r="O270" s="10">
        <v>1413.546</v>
      </c>
      <c r="P270" s="10">
        <v>71</v>
      </c>
      <c r="Q270" s="10">
        <v>71</v>
      </c>
      <c r="R270" s="10">
        <v>60</v>
      </c>
    </row>
    <row r="271" spans="1:18" ht="17" customHeight="1" x14ac:dyDescent="0.15">
      <c r="A271" s="11" t="s">
        <v>1449</v>
      </c>
      <c r="B271" s="1" t="s">
        <v>1450</v>
      </c>
      <c r="C271" s="11" t="s">
        <v>1451</v>
      </c>
      <c r="D271" s="11" t="s">
        <v>1451</v>
      </c>
      <c r="E271" s="11" t="s">
        <v>1452</v>
      </c>
      <c r="F271" s="11" t="s">
        <v>1397</v>
      </c>
      <c r="G271" s="11" t="s">
        <v>1384</v>
      </c>
      <c r="H271" s="11" t="s">
        <v>1385</v>
      </c>
      <c r="I271" s="11" t="str">
        <f>HYPERLINK("http://www.ottodame.it/","www.ottodame.it")</f>
        <v>www.ottodame.it</v>
      </c>
      <c r="J271" s="12">
        <v>30177.904999999999</v>
      </c>
      <c r="K271" s="12">
        <v>30177.904999999999</v>
      </c>
      <c r="L271" s="13">
        <v>28127.111000000001</v>
      </c>
      <c r="M271" s="12">
        <v>905.84500000000003</v>
      </c>
      <c r="N271" s="12">
        <v>905.84500000000003</v>
      </c>
      <c r="O271" s="12">
        <v>1543.357</v>
      </c>
      <c r="P271" s="12">
        <v>55</v>
      </c>
      <c r="Q271" s="12">
        <v>55</v>
      </c>
      <c r="R271" s="12">
        <v>48</v>
      </c>
    </row>
    <row r="272" spans="1:18" ht="17" customHeight="1" x14ac:dyDescent="0.15">
      <c r="A272" s="8" t="s">
        <v>1453</v>
      </c>
      <c r="B272" s="9" t="s">
        <v>1454</v>
      </c>
      <c r="C272" s="8" t="s">
        <v>1455</v>
      </c>
      <c r="D272" s="8" t="s">
        <v>1455</v>
      </c>
      <c r="E272" s="8" t="s">
        <v>1456</v>
      </c>
      <c r="F272" s="8" t="s">
        <v>1425</v>
      </c>
      <c r="G272" s="8" t="s">
        <v>1437</v>
      </c>
      <c r="H272" s="8" t="s">
        <v>1372</v>
      </c>
      <c r="I272" s="8" t="str">
        <f>HYPERLINK("http://www.gegservice.it/","www.gegservice.it")</f>
        <v>www.gegservice.it</v>
      </c>
      <c r="J272" s="10">
        <v>26053.472000000002</v>
      </c>
      <c r="K272" s="10">
        <v>26053.472000000002</v>
      </c>
      <c r="L272" s="10">
        <v>28020.401000000002</v>
      </c>
      <c r="M272" s="10">
        <v>1687.925</v>
      </c>
      <c r="N272" s="10">
        <v>1687.925</v>
      </c>
      <c r="O272" s="10">
        <v>793.822</v>
      </c>
      <c r="P272" s="10">
        <v>71</v>
      </c>
      <c r="Q272" s="10">
        <v>71</v>
      </c>
      <c r="R272" s="10">
        <v>78</v>
      </c>
    </row>
    <row r="273" spans="1:18" ht="17" customHeight="1" x14ac:dyDescent="0.15">
      <c r="A273" s="11" t="s">
        <v>1457</v>
      </c>
      <c r="B273" s="1" t="s">
        <v>1458</v>
      </c>
      <c r="C273" s="11" t="s">
        <v>1459</v>
      </c>
      <c r="D273" s="11" t="s">
        <v>1459</v>
      </c>
      <c r="E273" s="11" t="s">
        <v>1460</v>
      </c>
      <c r="F273" s="11" t="s">
        <v>1397</v>
      </c>
      <c r="G273" s="11" t="s">
        <v>1461</v>
      </c>
      <c r="H273" s="11" t="s">
        <v>1372</v>
      </c>
      <c r="I273" s="11" t="str">
        <f>HYPERLINK("http://www.seventyvenezia.it/","www.seventyvenezia.it")</f>
        <v>www.seventyvenezia.it</v>
      </c>
      <c r="J273" s="12">
        <v>27565.919999999998</v>
      </c>
      <c r="K273" s="12">
        <v>27565.919999999998</v>
      </c>
      <c r="L273" s="13">
        <v>27507.522000000001</v>
      </c>
      <c r="M273" s="12">
        <v>-282.76100000000002</v>
      </c>
      <c r="N273" s="12">
        <v>-282.76100000000002</v>
      </c>
      <c r="O273" s="12">
        <v>-345.26100000000002</v>
      </c>
      <c r="P273" s="12">
        <v>89</v>
      </c>
      <c r="Q273" s="12">
        <v>89</v>
      </c>
      <c r="R273" s="12">
        <v>97</v>
      </c>
    </row>
    <row r="274" spans="1:18" ht="17" customHeight="1" x14ac:dyDescent="0.15">
      <c r="A274" s="8" t="s">
        <v>1462</v>
      </c>
      <c r="B274" s="9" t="s">
        <v>1463</v>
      </c>
      <c r="C274" s="8" t="s">
        <v>1464</v>
      </c>
      <c r="D274" s="8" t="s">
        <v>1464</v>
      </c>
      <c r="E274" s="8" t="s">
        <v>1465</v>
      </c>
      <c r="F274" s="8" t="s">
        <v>1397</v>
      </c>
      <c r="G274" s="8" t="s">
        <v>1466</v>
      </c>
      <c r="H274" s="8" t="s">
        <v>1467</v>
      </c>
      <c r="I274" s="8" t="str">
        <f>HYPERLINK("http://www.erregiricami.it/","www.erregiricami.it")</f>
        <v>www.erregiricami.it</v>
      </c>
      <c r="J274" s="10">
        <v>24486.99</v>
      </c>
      <c r="K274" s="10">
        <v>24486.99</v>
      </c>
      <c r="L274" s="10">
        <v>27230.839</v>
      </c>
      <c r="M274" s="10">
        <v>4831.076</v>
      </c>
      <c r="N274" s="10">
        <v>4831.076</v>
      </c>
      <c r="O274" s="10">
        <v>5842.0969999999998</v>
      </c>
      <c r="P274" s="15" t="s">
        <v>1386</v>
      </c>
      <c r="Q274" s="15" t="s">
        <v>1386</v>
      </c>
      <c r="R274" s="10">
        <v>47</v>
      </c>
    </row>
    <row r="275" spans="1:18" ht="17" customHeight="1" x14ac:dyDescent="0.15">
      <c r="A275" s="11" t="s">
        <v>1468</v>
      </c>
      <c r="B275" s="1" t="s">
        <v>1469</v>
      </c>
      <c r="C275" s="11" t="s">
        <v>1470</v>
      </c>
      <c r="D275" s="11" t="s">
        <v>1470</v>
      </c>
      <c r="E275" s="11" t="s">
        <v>1471</v>
      </c>
      <c r="F275" s="11" t="s">
        <v>1472</v>
      </c>
      <c r="G275" s="11" t="s">
        <v>1437</v>
      </c>
      <c r="H275" s="11" t="s">
        <v>1372</v>
      </c>
      <c r="I275" s="11" t="str">
        <f>HYPERLINK("http://www.siggigroup.it/","www.siggigroup.it")</f>
        <v>www.siggigroup.it</v>
      </c>
      <c r="J275" s="12">
        <v>27043.152999999998</v>
      </c>
      <c r="K275" s="12">
        <v>27043.152999999998</v>
      </c>
      <c r="L275" s="13">
        <v>27132.616999999998</v>
      </c>
      <c r="M275" s="12">
        <v>252.375</v>
      </c>
      <c r="N275" s="12">
        <v>252.375</v>
      </c>
      <c r="O275" s="12">
        <v>326.39699999999999</v>
      </c>
      <c r="P275" s="12">
        <v>68</v>
      </c>
      <c r="Q275" s="12">
        <v>68</v>
      </c>
      <c r="R275" s="12">
        <v>65</v>
      </c>
    </row>
    <row r="276" spans="1:18" ht="17" customHeight="1" x14ac:dyDescent="0.15">
      <c r="A276" s="8" t="s">
        <v>1473</v>
      </c>
      <c r="B276" s="9" t="s">
        <v>1474</v>
      </c>
      <c r="C276" s="8" t="s">
        <v>1475</v>
      </c>
      <c r="D276" s="8" t="s">
        <v>1475</v>
      </c>
      <c r="E276" s="8" t="s">
        <v>1476</v>
      </c>
      <c r="F276" s="8" t="s">
        <v>1370</v>
      </c>
      <c r="G276" s="8" t="s">
        <v>1448</v>
      </c>
      <c r="H276" s="8" t="s">
        <v>1372</v>
      </c>
      <c r="I276" s="8" t="str">
        <f>HYPERLINK("http://www.maretto.it/","www.maretto.it")</f>
        <v>www.maretto.it</v>
      </c>
      <c r="J276" s="10">
        <v>29435.874</v>
      </c>
      <c r="K276" s="10">
        <v>29435.874</v>
      </c>
      <c r="L276" s="10">
        <v>27070.036</v>
      </c>
      <c r="M276" s="10">
        <v>1931.9659999999999</v>
      </c>
      <c r="N276" s="10">
        <v>1931.9659999999999</v>
      </c>
      <c r="O276" s="10">
        <v>1019.111</v>
      </c>
      <c r="P276" s="10">
        <v>113</v>
      </c>
      <c r="Q276" s="10">
        <v>113</v>
      </c>
      <c r="R276" s="10">
        <v>111</v>
      </c>
    </row>
    <row r="277" spans="1:18" ht="17" customHeight="1" x14ac:dyDescent="0.15">
      <c r="A277" s="11" t="s">
        <v>1477</v>
      </c>
      <c r="B277" s="1" t="s">
        <v>1478</v>
      </c>
      <c r="C277" s="11" t="s">
        <v>1479</v>
      </c>
      <c r="D277" s="11" t="s">
        <v>1479</v>
      </c>
      <c r="E277" s="11" t="s">
        <v>1480</v>
      </c>
      <c r="F277" s="11" t="s">
        <v>1481</v>
      </c>
      <c r="G277" s="11" t="s">
        <v>1461</v>
      </c>
      <c r="H277" s="11" t="s">
        <v>1372</v>
      </c>
      <c r="I277" s="11" t="str">
        <f>HYPERLINK("http://www.artigianiveneziani.it/","www.artigianiveneziani.it")</f>
        <v>www.artigianiveneziani.it</v>
      </c>
      <c r="J277" s="12">
        <v>28334.452000000001</v>
      </c>
      <c r="K277" s="12">
        <v>28334.452000000001</v>
      </c>
      <c r="L277" s="13">
        <v>27048.361000000001</v>
      </c>
      <c r="M277" s="12">
        <v>3821.3910000000001</v>
      </c>
      <c r="N277" s="12">
        <v>3821.3910000000001</v>
      </c>
      <c r="O277" s="12">
        <v>3781.2489999999998</v>
      </c>
      <c r="P277" s="12">
        <v>115</v>
      </c>
      <c r="Q277" s="12">
        <v>115</v>
      </c>
      <c r="R277" s="12">
        <v>111</v>
      </c>
    </row>
    <row r="278" spans="1:18" ht="29.5" customHeight="1" x14ac:dyDescent="0.15">
      <c r="A278" s="8" t="s">
        <v>1482</v>
      </c>
      <c r="B278" s="9" t="s">
        <v>1483</v>
      </c>
      <c r="C278" s="8" t="s">
        <v>1484</v>
      </c>
      <c r="D278" s="8" t="s">
        <v>1484</v>
      </c>
      <c r="E278" s="8" t="s">
        <v>1485</v>
      </c>
      <c r="F278" s="8" t="s">
        <v>1383</v>
      </c>
      <c r="G278" s="8" t="s">
        <v>1437</v>
      </c>
      <c r="H278" s="8" t="s">
        <v>1372</v>
      </c>
      <c r="I278" s="8" t="str">
        <f>HYPERLINK("http://www.conceria3c.it/","www.conceria3c.it")</f>
        <v>www.conceria3c.it</v>
      </c>
      <c r="J278" s="10">
        <v>24003.821</v>
      </c>
      <c r="K278" s="10">
        <v>24003.821</v>
      </c>
      <c r="L278" s="10">
        <v>26942.508999999998</v>
      </c>
      <c r="M278" s="10">
        <v>1564.51</v>
      </c>
      <c r="N278" s="10">
        <v>1564.51</v>
      </c>
      <c r="O278" s="10">
        <v>1772.7819999999999</v>
      </c>
      <c r="P278" s="10">
        <v>64</v>
      </c>
      <c r="Q278" s="10">
        <v>64</v>
      </c>
      <c r="R278" s="10">
        <v>64</v>
      </c>
    </row>
    <row r="279" spans="1:18" ht="17" customHeight="1" x14ac:dyDescent="0.15">
      <c r="A279" s="11" t="s">
        <v>1486</v>
      </c>
      <c r="B279" s="1" t="s">
        <v>1487</v>
      </c>
      <c r="C279" s="11" t="s">
        <v>1488</v>
      </c>
      <c r="D279" s="11" t="s">
        <v>1488</v>
      </c>
      <c r="E279" s="11" t="s">
        <v>1489</v>
      </c>
      <c r="F279" s="11" t="s">
        <v>1481</v>
      </c>
      <c r="G279" s="11" t="s">
        <v>1384</v>
      </c>
      <c r="H279" s="11" t="s">
        <v>1385</v>
      </c>
      <c r="I279" s="11" t="str">
        <f>HYPERLINK("http://www.gabgroup.it/","www.gabgroup.it")</f>
        <v>www.gabgroup.it</v>
      </c>
      <c r="J279" s="12">
        <v>25341.178</v>
      </c>
      <c r="K279" s="12">
        <v>25341.178</v>
      </c>
      <c r="L279" s="13">
        <v>26755.167000000001</v>
      </c>
      <c r="M279" s="12">
        <v>317.81299999999999</v>
      </c>
      <c r="N279" s="12">
        <v>317.81299999999999</v>
      </c>
      <c r="O279" s="12">
        <v>2047.163</v>
      </c>
      <c r="P279" s="12">
        <v>126</v>
      </c>
      <c r="Q279" s="12">
        <v>126</v>
      </c>
      <c r="R279" s="12">
        <v>79</v>
      </c>
    </row>
    <row r="280" spans="1:18" ht="43" customHeight="1" x14ac:dyDescent="0.15">
      <c r="A280" s="8" t="s">
        <v>1490</v>
      </c>
      <c r="B280" s="9" t="s">
        <v>1491</v>
      </c>
      <c r="C280" s="8" t="s">
        <v>1492</v>
      </c>
      <c r="D280" s="8" t="s">
        <v>1492</v>
      </c>
      <c r="E280" s="8" t="s">
        <v>1493</v>
      </c>
      <c r="F280" s="8" t="s">
        <v>1391</v>
      </c>
      <c r="G280" s="8" t="s">
        <v>1494</v>
      </c>
      <c r="H280" s="8" t="s">
        <v>1399</v>
      </c>
      <c r="I280" s="8" t="str">
        <f>HYPERLINK("http://www.effe2srl.net/","www.effe2srl.net")</f>
        <v>www.effe2srl.net</v>
      </c>
      <c r="J280" s="10">
        <v>27125.348000000002</v>
      </c>
      <c r="K280" s="10">
        <v>27125.348000000002</v>
      </c>
      <c r="L280" s="10">
        <v>26545.05</v>
      </c>
      <c r="M280" s="10">
        <v>1760.683</v>
      </c>
      <c r="N280" s="10">
        <v>1760.683</v>
      </c>
      <c r="O280" s="10">
        <v>1473.5940000000001</v>
      </c>
      <c r="P280" s="10">
        <v>71</v>
      </c>
      <c r="Q280" s="10">
        <v>71</v>
      </c>
      <c r="R280" s="10">
        <v>53</v>
      </c>
    </row>
    <row r="281" spans="1:18" ht="17" customHeight="1" x14ac:dyDescent="0.15">
      <c r="A281" s="11" t="s">
        <v>1495</v>
      </c>
      <c r="B281" s="1" t="s">
        <v>1496</v>
      </c>
      <c r="C281" s="11" t="s">
        <v>1497</v>
      </c>
      <c r="D281" s="11" t="s">
        <v>1497</v>
      </c>
      <c r="E281" s="11" t="s">
        <v>1498</v>
      </c>
      <c r="F281" s="11" t="s">
        <v>1370</v>
      </c>
      <c r="G281" s="11" t="s">
        <v>1499</v>
      </c>
      <c r="H281" s="11" t="s">
        <v>1427</v>
      </c>
      <c r="I281" s="11" t="str">
        <f>HYPERLINK("http://3juin.com/","3juin.com")</f>
        <v>3juin.com</v>
      </c>
      <c r="J281" s="12">
        <v>33591.991000000002</v>
      </c>
      <c r="K281" s="12">
        <v>33591.991000000002</v>
      </c>
      <c r="L281" s="13">
        <v>26447.264999999999</v>
      </c>
      <c r="M281" s="12">
        <v>3386.3690000000001</v>
      </c>
      <c r="N281" s="12">
        <v>3386.3690000000001</v>
      </c>
      <c r="O281" s="12">
        <v>2698.1509999999998</v>
      </c>
      <c r="P281" s="12">
        <v>100</v>
      </c>
      <c r="Q281" s="12">
        <v>100</v>
      </c>
      <c r="R281" s="12">
        <v>84</v>
      </c>
    </row>
    <row r="282" spans="1:18" ht="17" customHeight="1" x14ac:dyDescent="0.15">
      <c r="A282" s="8" t="s">
        <v>1500</v>
      </c>
      <c r="B282" s="9" t="s">
        <v>1501</v>
      </c>
      <c r="C282" s="8" t="s">
        <v>1502</v>
      </c>
      <c r="D282" s="8" t="s">
        <v>1502</v>
      </c>
      <c r="E282" s="8" t="s">
        <v>1503</v>
      </c>
      <c r="F282" s="8" t="s">
        <v>1383</v>
      </c>
      <c r="G282" s="8" t="s">
        <v>1405</v>
      </c>
      <c r="H282" s="8" t="s">
        <v>1385</v>
      </c>
      <c r="I282" s="8" t="str">
        <f>HYPERLINK("http://lapatrie.it/","lapatrie.it")</f>
        <v>lapatrie.it</v>
      </c>
      <c r="J282" s="10">
        <v>24232.126</v>
      </c>
      <c r="K282" s="10">
        <v>24232.126</v>
      </c>
      <c r="L282" s="10">
        <v>26440.036</v>
      </c>
      <c r="M282" s="10">
        <v>2097.5279999999998</v>
      </c>
      <c r="N282" s="10">
        <v>2097.5279999999998</v>
      </c>
      <c r="O282" s="10">
        <v>3352.587</v>
      </c>
      <c r="P282" s="10">
        <v>53</v>
      </c>
      <c r="Q282" s="10">
        <v>53</v>
      </c>
      <c r="R282" s="10">
        <v>45</v>
      </c>
    </row>
    <row r="283" spans="1:18" ht="17" customHeight="1" x14ac:dyDescent="0.15">
      <c r="A283" s="11" t="s">
        <v>1504</v>
      </c>
      <c r="B283" s="1" t="s">
        <v>1505</v>
      </c>
      <c r="C283" s="11" t="s">
        <v>1506</v>
      </c>
      <c r="D283" s="11" t="s">
        <v>1506</v>
      </c>
      <c r="E283" s="11" t="s">
        <v>1507</v>
      </c>
      <c r="F283" s="11" t="s">
        <v>1481</v>
      </c>
      <c r="G283" s="11" t="s">
        <v>1437</v>
      </c>
      <c r="H283" s="11" t="s">
        <v>1372</v>
      </c>
      <c r="I283" s="11" t="str">
        <f>HYPERLINK("http://sagipelletterie.com/","sagipelletterie.com")</f>
        <v>sagipelletterie.com</v>
      </c>
      <c r="J283" s="12">
        <v>23161.342000000001</v>
      </c>
      <c r="K283" s="12">
        <v>23161.342000000001</v>
      </c>
      <c r="L283" s="13">
        <v>26418.98</v>
      </c>
      <c r="M283" s="12">
        <v>1282.0070000000001</v>
      </c>
      <c r="N283" s="12">
        <v>1282.0070000000001</v>
      </c>
      <c r="O283" s="12">
        <v>937.51400000000001</v>
      </c>
      <c r="P283" s="12">
        <v>57</v>
      </c>
      <c r="Q283" s="12">
        <v>57</v>
      </c>
      <c r="R283" s="12">
        <v>50</v>
      </c>
    </row>
    <row r="284" spans="1:18" ht="17" customHeight="1" x14ac:dyDescent="0.15">
      <c r="A284" s="8" t="s">
        <v>1508</v>
      </c>
      <c r="B284" s="9" t="s">
        <v>1509</v>
      </c>
      <c r="C284" s="8" t="s">
        <v>1510</v>
      </c>
      <c r="D284" s="8" t="s">
        <v>1510</v>
      </c>
      <c r="E284" s="8" t="s">
        <v>1511</v>
      </c>
      <c r="F284" s="8" t="s">
        <v>1414</v>
      </c>
      <c r="G284" s="8" t="s">
        <v>1384</v>
      </c>
      <c r="H284" s="8" t="s">
        <v>1385</v>
      </c>
      <c r="I284" s="8" t="str">
        <f>HYPERLINK("http://sevenbellgroup.com/","sevenbellgroup.com")</f>
        <v>sevenbellgroup.com</v>
      </c>
      <c r="J284" s="10">
        <v>28512.192999999999</v>
      </c>
      <c r="K284" s="10">
        <v>28512.192999999999</v>
      </c>
      <c r="L284" s="10">
        <v>26342.273000000001</v>
      </c>
      <c r="M284" s="10">
        <v>92.486000000000004</v>
      </c>
      <c r="N284" s="10">
        <v>92.486000000000004</v>
      </c>
      <c r="O284" s="10">
        <v>327.94600000000003</v>
      </c>
      <c r="P284" s="10">
        <v>32</v>
      </c>
      <c r="Q284" s="10">
        <v>32</v>
      </c>
      <c r="R284" s="10">
        <v>32</v>
      </c>
    </row>
    <row r="285" spans="1:18" ht="17" customHeight="1" x14ac:dyDescent="0.15">
      <c r="A285" s="11" t="s">
        <v>1512</v>
      </c>
      <c r="B285" s="1" t="s">
        <v>1513</v>
      </c>
      <c r="C285" s="11" t="s">
        <v>1514</v>
      </c>
      <c r="D285" s="11" t="s">
        <v>1514</v>
      </c>
      <c r="E285" s="11" t="s">
        <v>1515</v>
      </c>
      <c r="F285" s="11" t="s">
        <v>1397</v>
      </c>
      <c r="G285" s="11" t="s">
        <v>1516</v>
      </c>
      <c r="H285" s="11" t="s">
        <v>1517</v>
      </c>
      <c r="I285" s="11" t="str">
        <f>HYPERLINK("http://kianid.com/","kianid.com")</f>
        <v>kianid.com</v>
      </c>
      <c r="J285" s="12">
        <v>27797.657999999999</v>
      </c>
      <c r="K285" s="12">
        <v>27797.657999999999</v>
      </c>
      <c r="L285" s="13">
        <v>25986.625</v>
      </c>
      <c r="M285" s="12">
        <v>209.07</v>
      </c>
      <c r="N285" s="12">
        <v>209.07</v>
      </c>
      <c r="O285" s="12">
        <v>390.59800000000001</v>
      </c>
      <c r="P285" s="12">
        <v>51</v>
      </c>
      <c r="Q285" s="12">
        <v>51</v>
      </c>
      <c r="R285" s="12">
        <v>43</v>
      </c>
    </row>
    <row r="286" spans="1:18" ht="17" customHeight="1" x14ac:dyDescent="0.15">
      <c r="A286" s="8" t="s">
        <v>1518</v>
      </c>
      <c r="B286" s="9" t="s">
        <v>1519</v>
      </c>
      <c r="C286" s="8" t="s">
        <v>1520</v>
      </c>
      <c r="D286" s="8" t="s">
        <v>1520</v>
      </c>
      <c r="E286" s="8" t="s">
        <v>1521</v>
      </c>
      <c r="F286" s="8" t="s">
        <v>1425</v>
      </c>
      <c r="G286" s="8" t="s">
        <v>1522</v>
      </c>
      <c r="H286" s="8" t="s">
        <v>1427</v>
      </c>
      <c r="I286" s="8" t="str">
        <f>HYPERLINK("http://www.high-everydaycouture.com/","www.high-everydaycouture.com")</f>
        <v>www.high-everydaycouture.com</v>
      </c>
      <c r="J286" s="10">
        <v>24010</v>
      </c>
      <c r="K286" s="10">
        <v>24010</v>
      </c>
      <c r="L286" s="10">
        <v>25910</v>
      </c>
      <c r="M286" s="10">
        <v>-134</v>
      </c>
      <c r="N286" s="10">
        <v>-134</v>
      </c>
      <c r="O286" s="10">
        <v>749</v>
      </c>
      <c r="P286" s="10">
        <v>0</v>
      </c>
      <c r="Q286" s="10">
        <v>0</v>
      </c>
      <c r="R286" s="10">
        <v>0</v>
      </c>
    </row>
    <row r="287" spans="1:18" ht="17" customHeight="1" x14ac:dyDescent="0.15">
      <c r="A287" s="11" t="s">
        <v>1523</v>
      </c>
      <c r="B287" s="1" t="s">
        <v>1524</v>
      </c>
      <c r="C287" s="11" t="s">
        <v>1525</v>
      </c>
      <c r="D287" s="11" t="s">
        <v>1525</v>
      </c>
      <c r="E287" s="11" t="s">
        <v>1526</v>
      </c>
      <c r="F287" s="11" t="s">
        <v>1425</v>
      </c>
      <c r="G287" s="11" t="s">
        <v>1443</v>
      </c>
      <c r="H287" s="11" t="s">
        <v>1372</v>
      </c>
      <c r="I287" s="11" t="str">
        <f>HYPERLINK("http://www.atelier-eme.com/","www.atelier-eme.com")</f>
        <v>www.atelier-eme.com</v>
      </c>
      <c r="J287" s="12">
        <v>32329.624</v>
      </c>
      <c r="K287" s="12">
        <v>28368.44</v>
      </c>
      <c r="L287" s="13">
        <v>25772.702000000001</v>
      </c>
      <c r="M287" s="12">
        <v>-10598.003000000001</v>
      </c>
      <c r="N287" s="12">
        <v>-7328.2849999999999</v>
      </c>
      <c r="O287" s="12">
        <v>-6480.7690000000002</v>
      </c>
      <c r="P287" s="12">
        <v>321</v>
      </c>
      <c r="Q287" s="12">
        <v>330</v>
      </c>
      <c r="R287" s="12">
        <v>289</v>
      </c>
    </row>
    <row r="288" spans="1:18" ht="17" customHeight="1" x14ac:dyDescent="0.15">
      <c r="A288" s="8" t="s">
        <v>1527</v>
      </c>
      <c r="B288" s="9" t="s">
        <v>1528</v>
      </c>
      <c r="C288" s="8" t="s">
        <v>1529</v>
      </c>
      <c r="D288" s="8" t="s">
        <v>1529</v>
      </c>
      <c r="E288" s="8" t="s">
        <v>1530</v>
      </c>
      <c r="F288" s="8" t="s">
        <v>1383</v>
      </c>
      <c r="G288" s="8" t="s">
        <v>1437</v>
      </c>
      <c r="H288" s="8" t="s">
        <v>1372</v>
      </c>
      <c r="I288" s="8" t="str">
        <f>HYPERLINK("http://www.conceriapriante.com/","http://www.conceriapriante.com")</f>
        <v>http://www.conceriapriante.com</v>
      </c>
      <c r="J288" s="10">
        <v>20853.55</v>
      </c>
      <c r="K288" s="10">
        <v>20853.55</v>
      </c>
      <c r="L288" s="10">
        <v>25729.037</v>
      </c>
      <c r="M288" s="10">
        <v>-4634.8509999999997</v>
      </c>
      <c r="N288" s="10">
        <v>-4634.8509999999997</v>
      </c>
      <c r="O288" s="10">
        <v>-2643.7370000000001</v>
      </c>
      <c r="P288" s="10">
        <v>114</v>
      </c>
      <c r="Q288" s="10">
        <v>114</v>
      </c>
      <c r="R288" s="10">
        <v>100</v>
      </c>
    </row>
    <row r="289" spans="1:18" ht="17" customHeight="1" x14ac:dyDescent="0.15">
      <c r="A289" s="11" t="s">
        <v>1531</v>
      </c>
      <c r="B289" s="1" t="s">
        <v>1532</v>
      </c>
      <c r="C289" s="11" t="s">
        <v>1533</v>
      </c>
      <c r="D289" s="11" t="s">
        <v>1533</v>
      </c>
      <c r="E289" s="11" t="s">
        <v>1534</v>
      </c>
      <c r="F289" s="11" t="s">
        <v>1535</v>
      </c>
      <c r="G289" s="11" t="s">
        <v>1536</v>
      </c>
      <c r="H289" s="11" t="s">
        <v>1537</v>
      </c>
      <c r="I289" s="11" t="str">
        <f>HYPERLINK("http://www.twinssrl.it/","www.twinssrl.it")</f>
        <v>www.twinssrl.it</v>
      </c>
      <c r="J289" s="12">
        <v>27822.306</v>
      </c>
      <c r="K289" s="12">
        <v>27822.306</v>
      </c>
      <c r="L289" s="13">
        <v>25715.718000000001</v>
      </c>
      <c r="M289" s="12">
        <v>303.00599999999997</v>
      </c>
      <c r="N289" s="12">
        <v>303.00599999999997</v>
      </c>
      <c r="O289" s="12">
        <v>513.59100000000001</v>
      </c>
      <c r="P289" s="12">
        <v>41</v>
      </c>
      <c r="Q289" s="12">
        <v>41</v>
      </c>
      <c r="R289" s="12">
        <v>36</v>
      </c>
    </row>
    <row r="290" spans="1:18" ht="17" customHeight="1" x14ac:dyDescent="0.15">
      <c r="A290" s="8" t="s">
        <v>1538</v>
      </c>
      <c r="B290" s="9" t="s">
        <v>1539</v>
      </c>
      <c r="C290" s="8" t="s">
        <v>1540</v>
      </c>
      <c r="D290" s="8" t="s">
        <v>1540</v>
      </c>
      <c r="E290" s="8" t="s">
        <v>1541</v>
      </c>
      <c r="F290" s="8" t="s">
        <v>1542</v>
      </c>
      <c r="G290" s="8" t="s">
        <v>1543</v>
      </c>
      <c r="H290" s="8" t="s">
        <v>1544</v>
      </c>
      <c r="I290" s="8" t="str">
        <f>HYPERLINK("http://www.lagriffe.it/","www.lagriffe.it")</f>
        <v>www.lagriffe.it</v>
      </c>
      <c r="J290" s="10">
        <v>25665.284</v>
      </c>
      <c r="K290" s="15" t="s">
        <v>1545</v>
      </c>
      <c r="L290" s="10">
        <v>25665.284</v>
      </c>
      <c r="M290" s="10">
        <v>653.44799999999998</v>
      </c>
      <c r="N290" s="15" t="s">
        <v>1545</v>
      </c>
      <c r="O290" s="10">
        <v>653.44799999999998</v>
      </c>
      <c r="P290" s="10">
        <v>94</v>
      </c>
      <c r="Q290" s="15" t="s">
        <v>1545</v>
      </c>
      <c r="R290" s="10">
        <v>94</v>
      </c>
    </row>
    <row r="291" spans="1:18" ht="17" customHeight="1" x14ac:dyDescent="0.15">
      <c r="A291" s="11" t="s">
        <v>1546</v>
      </c>
      <c r="B291" s="1" t="s">
        <v>1547</v>
      </c>
      <c r="C291" s="11" t="s">
        <v>1548</v>
      </c>
      <c r="D291" s="11" t="s">
        <v>1548</v>
      </c>
      <c r="E291" s="11" t="s">
        <v>1549</v>
      </c>
      <c r="F291" s="11" t="s">
        <v>1550</v>
      </c>
      <c r="G291" s="11" t="s">
        <v>1551</v>
      </c>
      <c r="H291" s="11" t="s">
        <v>1552</v>
      </c>
      <c r="I291" s="11" t="str">
        <f>HYPERLINK("http://bagnolisartoria.com/","http://bagnolisartoria.com")</f>
        <v>http://bagnolisartoria.com</v>
      </c>
      <c r="J291" s="12">
        <v>31081.097000000002</v>
      </c>
      <c r="K291" s="12">
        <v>31081.097000000002</v>
      </c>
      <c r="L291" s="13">
        <v>25611.644</v>
      </c>
      <c r="M291" s="12">
        <v>402.29899999999998</v>
      </c>
      <c r="N291" s="12">
        <v>402.29899999999998</v>
      </c>
      <c r="O291" s="12">
        <v>314.12200000000001</v>
      </c>
      <c r="P291" s="12">
        <v>169</v>
      </c>
      <c r="Q291" s="12">
        <v>169</v>
      </c>
      <c r="R291" s="12">
        <v>167</v>
      </c>
    </row>
    <row r="292" spans="1:18" ht="17" customHeight="1" x14ac:dyDescent="0.15">
      <c r="A292" s="8" t="s">
        <v>1553</v>
      </c>
      <c r="B292" s="9" t="s">
        <v>1554</v>
      </c>
      <c r="C292" s="8" t="s">
        <v>1555</v>
      </c>
      <c r="D292" s="8" t="s">
        <v>1555</v>
      </c>
      <c r="E292" s="8" t="s">
        <v>1556</v>
      </c>
      <c r="F292" s="8" t="s">
        <v>1550</v>
      </c>
      <c r="G292" s="8" t="s">
        <v>1557</v>
      </c>
      <c r="H292" s="8" t="s">
        <v>1558</v>
      </c>
      <c r="I292" s="8" t="str">
        <f>HYPERLINK("http://www.paoloni.it/about/","www.paoloni.it/about/")</f>
        <v>www.paoloni.it/about/</v>
      </c>
      <c r="J292" s="10">
        <v>27925.741999999998</v>
      </c>
      <c r="K292" s="10">
        <v>27925.741999999998</v>
      </c>
      <c r="L292" s="10">
        <v>25496.940999999999</v>
      </c>
      <c r="M292" s="10">
        <v>257.43400000000003</v>
      </c>
      <c r="N292" s="10">
        <v>257.43400000000003</v>
      </c>
      <c r="O292" s="10">
        <v>722.822</v>
      </c>
      <c r="P292" s="10">
        <v>87</v>
      </c>
      <c r="Q292" s="10">
        <v>87</v>
      </c>
      <c r="R292" s="10">
        <v>98</v>
      </c>
    </row>
    <row r="293" spans="1:18" ht="17" customHeight="1" x14ac:dyDescent="0.15">
      <c r="A293" s="11" t="s">
        <v>1559</v>
      </c>
      <c r="B293" s="1" t="s">
        <v>1560</v>
      </c>
      <c r="C293" s="11" t="s">
        <v>1561</v>
      </c>
      <c r="D293" s="11" t="s">
        <v>1561</v>
      </c>
      <c r="E293" s="11" t="s">
        <v>1562</v>
      </c>
      <c r="F293" s="11" t="s">
        <v>1563</v>
      </c>
      <c r="G293" s="11" t="s">
        <v>1564</v>
      </c>
      <c r="H293" s="11" t="s">
        <v>1565</v>
      </c>
      <c r="I293" s="11" t="str">
        <f>HYPERLINK("http://www.sivapelli.com/","www.sivapelli.com")</f>
        <v>www.sivapelli.com</v>
      </c>
      <c r="J293" s="12">
        <v>23465.465</v>
      </c>
      <c r="K293" s="12">
        <v>23465.465</v>
      </c>
      <c r="L293" s="13">
        <v>25445.334999999999</v>
      </c>
      <c r="M293" s="12">
        <v>35.32</v>
      </c>
      <c r="N293" s="12">
        <v>35.32</v>
      </c>
      <c r="O293" s="12">
        <v>183.63499999999999</v>
      </c>
      <c r="P293" s="12">
        <v>30</v>
      </c>
      <c r="Q293" s="12">
        <v>30</v>
      </c>
      <c r="R293" s="12">
        <v>32</v>
      </c>
    </row>
    <row r="294" spans="1:18" ht="17" customHeight="1" x14ac:dyDescent="0.15">
      <c r="A294" s="8" t="s">
        <v>1566</v>
      </c>
      <c r="B294" s="9" t="s">
        <v>1567</v>
      </c>
      <c r="C294" s="8" t="s">
        <v>1568</v>
      </c>
      <c r="D294" s="8" t="s">
        <v>1568</v>
      </c>
      <c r="E294" s="8" t="s">
        <v>1569</v>
      </c>
      <c r="F294" s="8" t="s">
        <v>1542</v>
      </c>
      <c r="G294" s="8" t="s">
        <v>1570</v>
      </c>
      <c r="H294" s="8" t="s">
        <v>1571</v>
      </c>
      <c r="I294" s="8" t="str">
        <f>HYPERLINK("http://www.calzaturediamante.it/","www.calzaturediamante.it")</f>
        <v>www.calzaturediamante.it</v>
      </c>
      <c r="J294" s="10">
        <v>31357.924999999999</v>
      </c>
      <c r="K294" s="10">
        <v>31357.924999999999</v>
      </c>
      <c r="L294" s="10">
        <v>25299.441999999999</v>
      </c>
      <c r="M294" s="10">
        <v>1633.962</v>
      </c>
      <c r="N294" s="10">
        <v>1633.962</v>
      </c>
      <c r="O294" s="10">
        <v>913.71400000000006</v>
      </c>
      <c r="P294" s="10">
        <v>19</v>
      </c>
      <c r="Q294" s="10">
        <v>19</v>
      </c>
      <c r="R294" s="10">
        <v>17</v>
      </c>
    </row>
    <row r="295" spans="1:18" ht="17" customHeight="1" x14ac:dyDescent="0.15">
      <c r="A295" s="11" t="s">
        <v>1572</v>
      </c>
      <c r="B295" s="1" t="s">
        <v>1573</v>
      </c>
      <c r="C295" s="11" t="s">
        <v>1574</v>
      </c>
      <c r="D295" s="11" t="s">
        <v>1574</v>
      </c>
      <c r="E295" s="11" t="s">
        <v>1575</v>
      </c>
      <c r="F295" s="11" t="s">
        <v>1576</v>
      </c>
      <c r="G295" s="11" t="s">
        <v>1577</v>
      </c>
      <c r="H295" s="11" t="s">
        <v>1565</v>
      </c>
      <c r="I295" s="11" t="str">
        <f>HYPERLINK("http://www.space2000spa.com/","www.space2000spa.com")</f>
        <v>www.space2000spa.com</v>
      </c>
      <c r="J295" s="12">
        <v>30721.135999999999</v>
      </c>
      <c r="K295" s="12">
        <v>29636.768</v>
      </c>
      <c r="L295" s="13">
        <v>25298.205999999998</v>
      </c>
      <c r="M295" s="12">
        <v>601.32399999999996</v>
      </c>
      <c r="N295" s="12">
        <v>1836.3920000000001</v>
      </c>
      <c r="O295" s="12">
        <v>1188.374</v>
      </c>
      <c r="P295" s="12">
        <v>107</v>
      </c>
      <c r="Q295" s="12">
        <v>93</v>
      </c>
      <c r="R295" s="12">
        <v>76</v>
      </c>
    </row>
    <row r="296" spans="1:18" ht="17" customHeight="1" x14ac:dyDescent="0.15">
      <c r="A296" s="8" t="s">
        <v>1578</v>
      </c>
      <c r="B296" s="9" t="s">
        <v>1579</v>
      </c>
      <c r="C296" s="8" t="s">
        <v>1580</v>
      </c>
      <c r="D296" s="8" t="s">
        <v>1580</v>
      </c>
      <c r="E296" s="8" t="s">
        <v>1581</v>
      </c>
      <c r="F296" s="8" t="s">
        <v>1582</v>
      </c>
      <c r="G296" s="8" t="s">
        <v>1543</v>
      </c>
      <c r="H296" s="8" t="s">
        <v>1544</v>
      </c>
      <c r="I296" s="8" t="str">
        <f>HYPERLINK("http://www.stilema.com/","http://www.stilema.com")</f>
        <v>http://www.stilema.com</v>
      </c>
      <c r="J296" s="10">
        <v>3294.9409999999998</v>
      </c>
      <c r="K296" s="10">
        <v>3294.9409999999998</v>
      </c>
      <c r="L296" s="10">
        <v>25264.575000000001</v>
      </c>
      <c r="M296" s="10">
        <v>10.292</v>
      </c>
      <c r="N296" s="10">
        <v>10.292</v>
      </c>
      <c r="O296" s="10">
        <v>625.78499999999997</v>
      </c>
      <c r="P296" s="10">
        <v>3</v>
      </c>
      <c r="Q296" s="10">
        <v>3</v>
      </c>
      <c r="R296" s="10">
        <v>3</v>
      </c>
    </row>
    <row r="297" spans="1:18" ht="17" customHeight="1" x14ac:dyDescent="0.15">
      <c r="A297" s="11" t="s">
        <v>1583</v>
      </c>
      <c r="B297" s="1" t="s">
        <v>1584</v>
      </c>
      <c r="C297" s="11" t="s">
        <v>1585</v>
      </c>
      <c r="D297" s="11" t="s">
        <v>1585</v>
      </c>
      <c r="E297" s="11" t="s">
        <v>1586</v>
      </c>
      <c r="F297" s="11" t="s">
        <v>1587</v>
      </c>
      <c r="G297" s="11" t="s">
        <v>1543</v>
      </c>
      <c r="H297" s="11" t="s">
        <v>1544</v>
      </c>
      <c r="I297" s="11" t="str">
        <f>HYPERLINK("http://www.laskmilano.it/","www.laskmilano.it")</f>
        <v>www.laskmilano.it</v>
      </c>
      <c r="J297" s="12">
        <v>16554.812999999998</v>
      </c>
      <c r="K297" s="12">
        <v>16554.812999999998</v>
      </c>
      <c r="L297" s="13">
        <v>25127.775000000001</v>
      </c>
      <c r="M297" s="12">
        <v>645.74800000000005</v>
      </c>
      <c r="N297" s="12">
        <v>645.74800000000005</v>
      </c>
      <c r="O297" s="12">
        <v>1007.731</v>
      </c>
      <c r="P297" s="12">
        <v>95</v>
      </c>
      <c r="Q297" s="12">
        <v>95</v>
      </c>
      <c r="R297" s="12">
        <v>102</v>
      </c>
    </row>
    <row r="298" spans="1:18" ht="68" customHeight="1" x14ac:dyDescent="0.15">
      <c r="A298" s="8" t="s">
        <v>1588</v>
      </c>
      <c r="B298" s="9" t="s">
        <v>1589</v>
      </c>
      <c r="C298" s="8" t="s">
        <v>1590</v>
      </c>
      <c r="D298" s="8" t="s">
        <v>1590</v>
      </c>
      <c r="E298" s="8" t="s">
        <v>1591</v>
      </c>
      <c r="F298" s="8" t="s">
        <v>1542</v>
      </c>
      <c r="G298" s="8" t="s">
        <v>1592</v>
      </c>
      <c r="H298" s="8" t="s">
        <v>1571</v>
      </c>
      <c r="I298" s="8" t="str">
        <f>HYPERLINK("http://casadei.com/","casadei.com")</f>
        <v>casadei.com</v>
      </c>
      <c r="J298" s="10">
        <v>26216.166000000001</v>
      </c>
      <c r="K298" s="10">
        <v>26216.166000000001</v>
      </c>
      <c r="L298" s="10">
        <v>25107.583999999999</v>
      </c>
      <c r="M298" s="10">
        <v>-507.9</v>
      </c>
      <c r="N298" s="10">
        <v>-507.9</v>
      </c>
      <c r="O298" s="10">
        <v>-1349.04</v>
      </c>
      <c r="P298" s="10">
        <v>150</v>
      </c>
      <c r="Q298" s="10">
        <v>150</v>
      </c>
      <c r="R298" s="10">
        <v>148</v>
      </c>
    </row>
    <row r="299" spans="1:18" ht="29.5" customHeight="1" x14ac:dyDescent="0.15">
      <c r="A299" s="11" t="s">
        <v>1593</v>
      </c>
      <c r="B299" s="1" t="s">
        <v>1594</v>
      </c>
      <c r="C299" s="11" t="s">
        <v>1595</v>
      </c>
      <c r="D299" s="11" t="s">
        <v>1595</v>
      </c>
      <c r="E299" s="11" t="s">
        <v>1596</v>
      </c>
      <c r="F299" s="11" t="s">
        <v>1542</v>
      </c>
      <c r="G299" s="11" t="s">
        <v>1597</v>
      </c>
      <c r="H299" s="11" t="s">
        <v>1558</v>
      </c>
      <c r="I299" s="11" t="str">
        <f>HYPERLINK("http://www.agl.com/","www.agl.com")</f>
        <v>www.agl.com</v>
      </c>
      <c r="J299" s="12">
        <v>23505.508000000002</v>
      </c>
      <c r="K299" s="12">
        <v>23505.508000000002</v>
      </c>
      <c r="L299" s="13">
        <v>25051.696</v>
      </c>
      <c r="M299" s="12">
        <v>610.08900000000006</v>
      </c>
      <c r="N299" s="12">
        <v>610.08900000000006</v>
      </c>
      <c r="O299" s="12">
        <v>1069.201</v>
      </c>
      <c r="P299" s="12">
        <v>119</v>
      </c>
      <c r="Q299" s="12">
        <v>119</v>
      </c>
      <c r="R299" s="12">
        <v>114</v>
      </c>
    </row>
    <row r="300" spans="1:18" ht="29.5" customHeight="1" x14ac:dyDescent="0.15">
      <c r="A300" s="8" t="s">
        <v>1598</v>
      </c>
      <c r="B300" s="9" t="s">
        <v>1599</v>
      </c>
      <c r="C300" s="8" t="s">
        <v>1600</v>
      </c>
      <c r="D300" s="8" t="s">
        <v>1600</v>
      </c>
      <c r="E300" s="8" t="s">
        <v>1601</v>
      </c>
      <c r="F300" s="8" t="s">
        <v>1563</v>
      </c>
      <c r="G300" s="8" t="s">
        <v>1536</v>
      </c>
      <c r="H300" s="8" t="s">
        <v>1537</v>
      </c>
      <c r="I300" s="8" t="str">
        <f>HYPERLINK("http://www.rinaldiconceria.com/","www.rinaldiconceria.com")</f>
        <v>www.rinaldiconceria.com</v>
      </c>
      <c r="J300" s="10">
        <v>18558.962</v>
      </c>
      <c r="K300" s="10">
        <v>18558.962</v>
      </c>
      <c r="L300" s="10">
        <v>24969.424999999999</v>
      </c>
      <c r="M300" s="10">
        <v>220.98099999999999</v>
      </c>
      <c r="N300" s="10">
        <v>220.98099999999999</v>
      </c>
      <c r="O300" s="10">
        <v>1040.7940000000001</v>
      </c>
      <c r="P300" s="10">
        <v>51</v>
      </c>
      <c r="Q300" s="10">
        <v>51</v>
      </c>
      <c r="R300" s="10">
        <v>50</v>
      </c>
    </row>
    <row r="301" spans="1:18" ht="17" customHeight="1" x14ac:dyDescent="0.15">
      <c r="A301" s="11" t="s">
        <v>1602</v>
      </c>
      <c r="B301" s="1" t="s">
        <v>1603</v>
      </c>
      <c r="C301" s="11" t="s">
        <v>1604</v>
      </c>
      <c r="D301" s="11" t="s">
        <v>1605</v>
      </c>
      <c r="E301" s="11" t="s">
        <v>1606</v>
      </c>
      <c r="F301" s="11" t="s">
        <v>1582</v>
      </c>
      <c r="G301" s="11" t="s">
        <v>1543</v>
      </c>
      <c r="H301" s="11" t="s">
        <v>1544</v>
      </c>
      <c r="I301" s="11" t="str">
        <f>HYPERLINK("http://www.mandarinaduck.com/","www.mandarinaduck.com")</f>
        <v>www.mandarinaduck.com</v>
      </c>
      <c r="J301" s="12">
        <v>29079.18</v>
      </c>
      <c r="K301" s="12">
        <v>29079.18</v>
      </c>
      <c r="L301" s="13">
        <v>24925.445</v>
      </c>
      <c r="M301" s="12">
        <v>-950.97199999999998</v>
      </c>
      <c r="N301" s="12">
        <v>-950.97199999999998</v>
      </c>
      <c r="O301" s="12">
        <v>-176.17500000000001</v>
      </c>
      <c r="P301" s="12">
        <v>90</v>
      </c>
      <c r="Q301" s="12">
        <v>90</v>
      </c>
      <c r="R301" s="12">
        <v>85</v>
      </c>
    </row>
    <row r="302" spans="1:18" ht="17" customHeight="1" x14ac:dyDescent="0.15">
      <c r="A302" s="8" t="s">
        <v>1607</v>
      </c>
      <c r="B302" s="9" t="s">
        <v>1608</v>
      </c>
      <c r="C302" s="8" t="s">
        <v>1609</v>
      </c>
      <c r="D302" s="8" t="s">
        <v>1610</v>
      </c>
      <c r="E302" s="8" t="s">
        <v>1611</v>
      </c>
      <c r="F302" s="8" t="s">
        <v>1612</v>
      </c>
      <c r="G302" s="8" t="s">
        <v>1613</v>
      </c>
      <c r="H302" s="8" t="s">
        <v>1544</v>
      </c>
      <c r="I302" s="8" t="str">
        <f>HYPERLINK("http://www.gallo1927.com/","www.gallo1927.com")</f>
        <v>www.gallo1927.com</v>
      </c>
      <c r="J302" s="10">
        <v>24899.24</v>
      </c>
      <c r="K302" s="10">
        <v>24899.24</v>
      </c>
      <c r="L302" s="10">
        <v>24618.187999999998</v>
      </c>
      <c r="M302" s="10">
        <v>1226.6510000000001</v>
      </c>
      <c r="N302" s="10">
        <v>1226.6510000000001</v>
      </c>
      <c r="O302" s="10">
        <v>507.19400000000002</v>
      </c>
      <c r="P302" s="10">
        <v>203</v>
      </c>
      <c r="Q302" s="10">
        <v>203</v>
      </c>
      <c r="R302" s="10">
        <v>196</v>
      </c>
    </row>
    <row r="303" spans="1:18" ht="17" customHeight="1" x14ac:dyDescent="0.15">
      <c r="A303" s="11" t="s">
        <v>1614</v>
      </c>
      <c r="B303" s="1" t="s">
        <v>1615</v>
      </c>
      <c r="C303" s="11" t="s">
        <v>1616</v>
      </c>
      <c r="D303" s="11" t="s">
        <v>1616</v>
      </c>
      <c r="E303" s="11" t="s">
        <v>1617</v>
      </c>
      <c r="F303" s="11" t="s">
        <v>1576</v>
      </c>
      <c r="G303" s="11" t="s">
        <v>1618</v>
      </c>
      <c r="H303" s="11" t="s">
        <v>1619</v>
      </c>
      <c r="I303" s="11" t="str">
        <f>HYPERLINK("http://www.palzileri.com/","www.palzileri.com")</f>
        <v>www.palzileri.com</v>
      </c>
      <c r="J303" s="12">
        <v>22917</v>
      </c>
      <c r="K303" s="12">
        <v>22917</v>
      </c>
      <c r="L303" s="13">
        <v>24543</v>
      </c>
      <c r="M303" s="12">
        <v>-39</v>
      </c>
      <c r="N303" s="12">
        <v>-39</v>
      </c>
      <c r="O303" s="12">
        <v>-5966</v>
      </c>
      <c r="P303" s="12">
        <v>99</v>
      </c>
      <c r="Q303" s="12">
        <v>99</v>
      </c>
      <c r="R303" s="12">
        <v>178</v>
      </c>
    </row>
    <row r="304" spans="1:18" ht="29.5" customHeight="1" x14ac:dyDescent="0.15">
      <c r="A304" s="8" t="s">
        <v>1620</v>
      </c>
      <c r="B304" s="9" t="s">
        <v>1621</v>
      </c>
      <c r="C304" s="8" t="s">
        <v>1622</v>
      </c>
      <c r="D304" s="8" t="s">
        <v>1622</v>
      </c>
      <c r="E304" s="8" t="s">
        <v>1623</v>
      </c>
      <c r="F304" s="8" t="s">
        <v>1542</v>
      </c>
      <c r="G304" s="8" t="s">
        <v>1597</v>
      </c>
      <c r="H304" s="8" t="s">
        <v>1558</v>
      </c>
      <c r="I304" s="8" t="str">
        <f>HYPERLINK("http://www.officinecreativeitalia.com/","www.officinecreativeitalia.com")</f>
        <v>www.officinecreativeitalia.com</v>
      </c>
      <c r="J304" s="10">
        <v>29347.65</v>
      </c>
      <c r="K304" s="10">
        <v>29347.65</v>
      </c>
      <c r="L304" s="10">
        <v>24415.68</v>
      </c>
      <c r="M304" s="10">
        <v>170.22399999999999</v>
      </c>
      <c r="N304" s="10">
        <v>170.22399999999999</v>
      </c>
      <c r="O304" s="10">
        <v>776.66</v>
      </c>
      <c r="P304" s="10">
        <v>105</v>
      </c>
      <c r="Q304" s="10">
        <v>105</v>
      </c>
      <c r="R304" s="10">
        <v>106</v>
      </c>
    </row>
    <row r="305" spans="1:18" ht="17" customHeight="1" x14ac:dyDescent="0.15">
      <c r="A305" s="11" t="s">
        <v>1624</v>
      </c>
      <c r="B305" s="1" t="s">
        <v>1625</v>
      </c>
      <c r="C305" s="11" t="s">
        <v>1626</v>
      </c>
      <c r="D305" s="11" t="s">
        <v>1626</v>
      </c>
      <c r="E305" s="11" t="s">
        <v>1627</v>
      </c>
      <c r="F305" s="11" t="s">
        <v>1550</v>
      </c>
      <c r="G305" s="11" t="s">
        <v>1613</v>
      </c>
      <c r="H305" s="11" t="s">
        <v>1544</v>
      </c>
      <c r="I305" s="11" t="str">
        <f>HYPERLINK("http://www.goldenseason.it/","www.goldenseason.it")</f>
        <v>www.goldenseason.it</v>
      </c>
      <c r="J305" s="12">
        <v>22190.191999999999</v>
      </c>
      <c r="K305" s="12">
        <v>22190.191999999999</v>
      </c>
      <c r="L305" s="13">
        <v>24335.464</v>
      </c>
      <c r="M305" s="12">
        <v>127.967</v>
      </c>
      <c r="N305" s="12">
        <v>127.967</v>
      </c>
      <c r="O305" s="12">
        <v>-622.96299999999997</v>
      </c>
      <c r="P305" s="12">
        <v>28</v>
      </c>
      <c r="Q305" s="12">
        <v>28</v>
      </c>
      <c r="R305" s="12">
        <v>29</v>
      </c>
    </row>
    <row r="306" spans="1:18" ht="17" customHeight="1" x14ac:dyDescent="0.15">
      <c r="A306" s="8" t="s">
        <v>1628</v>
      </c>
      <c r="B306" s="9" t="s">
        <v>1629</v>
      </c>
      <c r="C306" s="8" t="s">
        <v>1630</v>
      </c>
      <c r="D306" s="8" t="s">
        <v>1630</v>
      </c>
      <c r="E306" s="8" t="s">
        <v>1631</v>
      </c>
      <c r="F306" s="8" t="s">
        <v>1576</v>
      </c>
      <c r="G306" s="8" t="s">
        <v>1632</v>
      </c>
      <c r="H306" s="8" t="s">
        <v>1544</v>
      </c>
      <c r="I306" s="8" t="str">
        <f>HYPERLINK("http://www.aionofficial.com/","www.aionofficial.com")</f>
        <v>www.aionofficial.com</v>
      </c>
      <c r="J306" s="10">
        <v>26583.544999999998</v>
      </c>
      <c r="K306" s="10">
        <v>26583.544999999998</v>
      </c>
      <c r="L306" s="10">
        <v>24219.348999999998</v>
      </c>
      <c r="M306" s="10">
        <v>5617.8310000000001</v>
      </c>
      <c r="N306" s="10">
        <v>5617.8310000000001</v>
      </c>
      <c r="O306" s="10">
        <v>3354.971</v>
      </c>
      <c r="P306" s="10">
        <v>56</v>
      </c>
      <c r="Q306" s="10">
        <v>56</v>
      </c>
      <c r="R306" s="10">
        <v>54</v>
      </c>
    </row>
    <row r="307" spans="1:18" ht="29.5" customHeight="1" x14ac:dyDescent="0.15">
      <c r="A307" s="11" t="s">
        <v>1633</v>
      </c>
      <c r="B307" s="1" t="s">
        <v>1634</v>
      </c>
      <c r="C307" s="11" t="s">
        <v>1635</v>
      </c>
      <c r="D307" s="11" t="s">
        <v>1635</v>
      </c>
      <c r="E307" s="11" t="s">
        <v>1636</v>
      </c>
      <c r="F307" s="11" t="s">
        <v>1582</v>
      </c>
      <c r="G307" s="11" t="s">
        <v>1557</v>
      </c>
      <c r="H307" s="11" t="s">
        <v>1558</v>
      </c>
      <c r="I307" s="11" t="str">
        <f>HYPERLINK("http://www.cromia.it/","www.cromia.it")</f>
        <v>www.cromia.it</v>
      </c>
      <c r="J307" s="12">
        <v>27409.844000000001</v>
      </c>
      <c r="K307" s="12">
        <v>27409.844000000001</v>
      </c>
      <c r="L307" s="13">
        <v>24049.023000000001</v>
      </c>
      <c r="M307" s="12">
        <v>1594.6510000000001</v>
      </c>
      <c r="N307" s="12">
        <v>1594.6510000000001</v>
      </c>
      <c r="O307" s="12">
        <v>477.83699999999999</v>
      </c>
      <c r="P307" s="12">
        <v>147</v>
      </c>
      <c r="Q307" s="12">
        <v>147</v>
      </c>
      <c r="R307" s="12">
        <v>142</v>
      </c>
    </row>
    <row r="308" spans="1:18" ht="29.5" customHeight="1" x14ac:dyDescent="0.15">
      <c r="A308" s="8" t="s">
        <v>1637</v>
      </c>
      <c r="B308" s="9" t="s">
        <v>1638</v>
      </c>
      <c r="C308" s="8" t="s">
        <v>1639</v>
      </c>
      <c r="D308" s="8" t="s">
        <v>1639</v>
      </c>
      <c r="E308" s="8" t="s">
        <v>1640</v>
      </c>
      <c r="F308" s="8" t="s">
        <v>1582</v>
      </c>
      <c r="G308" s="8" t="s">
        <v>1641</v>
      </c>
      <c r="H308" s="8" t="s">
        <v>1642</v>
      </c>
      <c r="I308" s="8" t="str">
        <f>HYPERLINK("http://www.colonnellimanifatture.com/","www.colonnellimanifatture.com")</f>
        <v>www.colonnellimanifatture.com</v>
      </c>
      <c r="J308" s="10">
        <v>29627.977999999999</v>
      </c>
      <c r="K308" s="10">
        <v>29627.977999999999</v>
      </c>
      <c r="L308" s="10">
        <v>24013.203000000001</v>
      </c>
      <c r="M308" s="10">
        <v>19.588999999999999</v>
      </c>
      <c r="N308" s="10">
        <v>19.588999999999999</v>
      </c>
      <c r="O308" s="10">
        <v>84.688000000000002</v>
      </c>
      <c r="P308" s="10">
        <v>461</v>
      </c>
      <c r="Q308" s="10">
        <v>461</v>
      </c>
      <c r="R308" s="10">
        <v>264</v>
      </c>
    </row>
    <row r="309" spans="1:18" ht="17" customHeight="1" x14ac:dyDescent="0.15">
      <c r="A309" s="11" t="s">
        <v>1643</v>
      </c>
      <c r="B309" s="1" t="s">
        <v>1644</v>
      </c>
      <c r="C309" s="11" t="s">
        <v>1645</v>
      </c>
      <c r="D309" s="11" t="s">
        <v>1646</v>
      </c>
      <c r="E309" s="11" t="s">
        <v>1647</v>
      </c>
      <c r="F309" s="11" t="s">
        <v>1648</v>
      </c>
      <c r="G309" s="11" t="s">
        <v>1649</v>
      </c>
      <c r="H309" s="11" t="s">
        <v>1619</v>
      </c>
      <c r="I309" s="11" t="str">
        <f>HYPERLINK("http://www.maliparmi.com/","www.maliparmi.com")</f>
        <v>www.maliparmi.com</v>
      </c>
      <c r="J309" s="12">
        <v>22642.57</v>
      </c>
      <c r="K309" s="12">
        <v>22642.57</v>
      </c>
      <c r="L309" s="13">
        <v>24010.373</v>
      </c>
      <c r="M309" s="12">
        <v>17.838999999999999</v>
      </c>
      <c r="N309" s="12">
        <v>17.838999999999999</v>
      </c>
      <c r="O309" s="12">
        <v>104.82299999999999</v>
      </c>
      <c r="P309" s="12">
        <v>81</v>
      </c>
      <c r="Q309" s="12">
        <v>81</v>
      </c>
      <c r="R309" s="12">
        <v>96</v>
      </c>
    </row>
    <row r="310" spans="1:18" ht="29.5" customHeight="1" x14ac:dyDescent="0.15">
      <c r="A310" s="8" t="s">
        <v>1650</v>
      </c>
      <c r="B310" s="9" t="s">
        <v>1651</v>
      </c>
      <c r="C310" s="8" t="s">
        <v>1652</v>
      </c>
      <c r="D310" s="8" t="s">
        <v>1653</v>
      </c>
      <c r="E310" s="8" t="s">
        <v>1654</v>
      </c>
      <c r="F310" s="8" t="s">
        <v>1563</v>
      </c>
      <c r="G310" s="8" t="s">
        <v>1536</v>
      </c>
      <c r="H310" s="8" t="s">
        <v>1537</v>
      </c>
      <c r="I310" s="8" t="str">
        <f>HYPERLINK("http://www.english.ilceaconceria.it/","www.english.ilceaconceria.it")</f>
        <v>www.english.ilceaconceria.it</v>
      </c>
      <c r="J310" s="10">
        <v>16240.799000000001</v>
      </c>
      <c r="K310" s="10">
        <v>16240.799000000001</v>
      </c>
      <c r="L310" s="10">
        <v>23959.544000000002</v>
      </c>
      <c r="M310" s="10">
        <v>55.213000000000001</v>
      </c>
      <c r="N310" s="10">
        <v>55.213000000000001</v>
      </c>
      <c r="O310" s="10">
        <v>140.58600000000001</v>
      </c>
      <c r="P310" s="10">
        <v>50</v>
      </c>
      <c r="Q310" s="10">
        <v>50</v>
      </c>
      <c r="R310" s="10">
        <v>53</v>
      </c>
    </row>
    <row r="311" spans="1:18" ht="17" customHeight="1" x14ac:dyDescent="0.15">
      <c r="A311" s="11" t="s">
        <v>1655</v>
      </c>
      <c r="B311" s="1" t="s">
        <v>1656</v>
      </c>
      <c r="C311" s="11" t="s">
        <v>1657</v>
      </c>
      <c r="D311" s="11" t="s">
        <v>1657</v>
      </c>
      <c r="E311" s="11" t="s">
        <v>1658</v>
      </c>
      <c r="F311" s="11" t="s">
        <v>1659</v>
      </c>
      <c r="G311" s="11" t="s">
        <v>1660</v>
      </c>
      <c r="H311" s="11" t="s">
        <v>1571</v>
      </c>
      <c r="I311" s="11" t="str">
        <f>HYPERLINK("http://intimamoda.it/","intimamoda.it")</f>
        <v>intimamoda.it</v>
      </c>
      <c r="J311" s="12">
        <v>22759.16</v>
      </c>
      <c r="K311" s="12">
        <v>22759.16</v>
      </c>
      <c r="L311" s="13">
        <v>23957.455999999998</v>
      </c>
      <c r="M311" s="12">
        <v>518.25400000000002</v>
      </c>
      <c r="N311" s="12">
        <v>518.25400000000002</v>
      </c>
      <c r="O311" s="12">
        <v>542.04300000000001</v>
      </c>
      <c r="P311" s="12">
        <v>59</v>
      </c>
      <c r="Q311" s="12">
        <v>59</v>
      </c>
      <c r="R311" s="12">
        <v>53</v>
      </c>
    </row>
    <row r="312" spans="1:18" ht="43" customHeight="1" x14ac:dyDescent="0.15">
      <c r="A312" s="8" t="s">
        <v>1661</v>
      </c>
      <c r="B312" s="9" t="s">
        <v>1662</v>
      </c>
      <c r="C312" s="8" t="s">
        <v>1663</v>
      </c>
      <c r="D312" s="8" t="s">
        <v>1663</v>
      </c>
      <c r="E312" s="8" t="s">
        <v>1664</v>
      </c>
      <c r="F312" s="8" t="s">
        <v>1550</v>
      </c>
      <c r="G312" s="8" t="s">
        <v>1543</v>
      </c>
      <c r="H312" s="8" t="s">
        <v>1544</v>
      </c>
      <c r="I312" s="8" t="str">
        <f>HYPERLINK("http://www.cassera.it/","www.cassera.it")</f>
        <v>www.cassera.it</v>
      </c>
      <c r="J312" s="10">
        <v>23874</v>
      </c>
      <c r="K312" s="15" t="s">
        <v>1545</v>
      </c>
      <c r="L312" s="10">
        <v>23874</v>
      </c>
      <c r="M312" s="10">
        <v>-6196</v>
      </c>
      <c r="N312" s="15" t="s">
        <v>1545</v>
      </c>
      <c r="O312" s="10">
        <v>-6196</v>
      </c>
      <c r="P312" s="10">
        <v>115</v>
      </c>
      <c r="Q312" s="15" t="s">
        <v>1545</v>
      </c>
      <c r="R312" s="10">
        <v>115</v>
      </c>
    </row>
    <row r="313" spans="1:18" ht="17" customHeight="1" x14ac:dyDescent="0.15">
      <c r="A313" s="11" t="s">
        <v>1665</v>
      </c>
      <c r="B313" s="1" t="s">
        <v>1666</v>
      </c>
      <c r="C313" s="11" t="s">
        <v>1667</v>
      </c>
      <c r="D313" s="11" t="s">
        <v>1667</v>
      </c>
      <c r="E313" s="11" t="s">
        <v>1668</v>
      </c>
      <c r="F313" s="11" t="s">
        <v>1582</v>
      </c>
      <c r="G313" s="11" t="s">
        <v>1618</v>
      </c>
      <c r="H313" s="11" t="s">
        <v>1619</v>
      </c>
      <c r="I313" s="11" t="str">
        <f>HYPERLINK("http://www.prestigeitalia.com/","www.prestigeitalia.com")</f>
        <v>www.prestigeitalia.com</v>
      </c>
      <c r="J313" s="12">
        <v>21091.092000000001</v>
      </c>
      <c r="K313" s="12">
        <v>21091.092000000001</v>
      </c>
      <c r="L313" s="13">
        <v>23722.402999999998</v>
      </c>
      <c r="M313" s="12">
        <v>18.943999999999999</v>
      </c>
      <c r="N313" s="12">
        <v>18.943999999999999</v>
      </c>
      <c r="O313" s="12">
        <v>968.35799999999995</v>
      </c>
      <c r="P313" s="12">
        <v>158</v>
      </c>
      <c r="Q313" s="12">
        <v>158</v>
      </c>
      <c r="R313" s="12">
        <v>152</v>
      </c>
    </row>
    <row r="314" spans="1:18" ht="17" customHeight="1" x14ac:dyDescent="0.15">
      <c r="A314" s="8" t="s">
        <v>1669</v>
      </c>
      <c r="B314" s="9" t="s">
        <v>1670</v>
      </c>
      <c r="C314" s="8" t="s">
        <v>1671</v>
      </c>
      <c r="D314" s="8" t="s">
        <v>1671</v>
      </c>
      <c r="E314" s="8" t="s">
        <v>1672</v>
      </c>
      <c r="F314" s="8" t="s">
        <v>1673</v>
      </c>
      <c r="G314" s="8" t="s">
        <v>1543</v>
      </c>
      <c r="H314" s="8" t="s">
        <v>1544</v>
      </c>
      <c r="I314" s="8" t="str">
        <f>HYPERLINK("http://www.ciaosrl.it/","www.ciaosrl.it")</f>
        <v>www.ciaosrl.it</v>
      </c>
      <c r="J314" s="10">
        <v>23992.062000000002</v>
      </c>
      <c r="K314" s="10">
        <v>24522.866000000002</v>
      </c>
      <c r="L314" s="10">
        <v>23675.058000000001</v>
      </c>
      <c r="M314" s="10">
        <v>17.113</v>
      </c>
      <c r="N314" s="10">
        <v>89.903000000000006</v>
      </c>
      <c r="O314" s="10">
        <v>442.78399999999999</v>
      </c>
      <c r="P314" s="10">
        <v>63</v>
      </c>
      <c r="Q314" s="10">
        <v>63</v>
      </c>
      <c r="R314" s="10">
        <v>61</v>
      </c>
    </row>
    <row r="315" spans="1:18" ht="17" customHeight="1" x14ac:dyDescent="0.15">
      <c r="A315" s="11" t="s">
        <v>1674</v>
      </c>
      <c r="B315" s="1" t="s">
        <v>1675</v>
      </c>
      <c r="C315" s="11" t="s">
        <v>1676</v>
      </c>
      <c r="D315" s="11" t="s">
        <v>1676</v>
      </c>
      <c r="E315" s="11" t="s">
        <v>1677</v>
      </c>
      <c r="F315" s="11" t="s">
        <v>1550</v>
      </c>
      <c r="G315" s="11" t="s">
        <v>1543</v>
      </c>
      <c r="H315" s="11" t="s">
        <v>1544</v>
      </c>
      <c r="I315" s="11" t="str">
        <f>HYPERLINK("http://www.moodnet.it/","www.moodnet.it")</f>
        <v>www.moodnet.it</v>
      </c>
      <c r="J315" s="12">
        <v>48702.014000000003</v>
      </c>
      <c r="K315" s="12">
        <v>48702.014000000003</v>
      </c>
      <c r="L315" s="13">
        <v>23669.17</v>
      </c>
      <c r="M315" s="12">
        <v>9464.7720000000008</v>
      </c>
      <c r="N315" s="12">
        <v>9464.7720000000008</v>
      </c>
      <c r="O315" s="12">
        <v>4950.951</v>
      </c>
      <c r="P315" s="12">
        <v>62</v>
      </c>
      <c r="Q315" s="12">
        <v>62</v>
      </c>
      <c r="R315" s="12">
        <v>59</v>
      </c>
    </row>
    <row r="316" spans="1:18" ht="17" customHeight="1" x14ac:dyDescent="0.15">
      <c r="A316" s="8" t="s">
        <v>1678</v>
      </c>
      <c r="B316" s="9" t="s">
        <v>1679</v>
      </c>
      <c r="C316" s="8" t="s">
        <v>1680</v>
      </c>
      <c r="D316" s="8" t="s">
        <v>1680</v>
      </c>
      <c r="E316" s="8" t="s">
        <v>1681</v>
      </c>
      <c r="F316" s="8" t="s">
        <v>1542</v>
      </c>
      <c r="G316" s="8" t="s">
        <v>1543</v>
      </c>
      <c r="H316" s="8" t="s">
        <v>1544</v>
      </c>
      <c r="I316" s="8" t="str">
        <f>HYPERLINK("http://www.calzaturificioarkte.com/","www.calzaturificioarkte.com")</f>
        <v>www.calzaturificioarkte.com</v>
      </c>
      <c r="J316" s="10">
        <v>15894.001</v>
      </c>
      <c r="K316" s="10">
        <v>15894.001</v>
      </c>
      <c r="L316" s="10">
        <v>23576.880000000001</v>
      </c>
      <c r="M316" s="10">
        <v>174.23599999999999</v>
      </c>
      <c r="N316" s="10">
        <v>174.23599999999999</v>
      </c>
      <c r="O316" s="10">
        <v>844.90700000000004</v>
      </c>
      <c r="P316" s="10">
        <v>84</v>
      </c>
      <c r="Q316" s="10">
        <v>84</v>
      </c>
      <c r="R316" s="10">
        <v>81</v>
      </c>
    </row>
    <row r="317" spans="1:18" ht="29.5" customHeight="1" x14ac:dyDescent="0.15">
      <c r="A317" s="11" t="s">
        <v>1682</v>
      </c>
      <c r="B317" s="1" t="s">
        <v>1683</v>
      </c>
      <c r="C317" s="11" t="s">
        <v>1684</v>
      </c>
      <c r="D317" s="11" t="s">
        <v>1684</v>
      </c>
      <c r="E317" s="11" t="s">
        <v>1685</v>
      </c>
      <c r="F317" s="11" t="s">
        <v>1563</v>
      </c>
      <c r="G317" s="11" t="s">
        <v>1686</v>
      </c>
      <c r="H317" s="11" t="s">
        <v>1537</v>
      </c>
      <c r="I317" s="11" t="str">
        <f>HYPERLINK("http://www.nuovaimpala.com/","www.nuovaimpala.com")</f>
        <v>www.nuovaimpala.com</v>
      </c>
      <c r="J317" s="12">
        <v>21894.522000000001</v>
      </c>
      <c r="K317" s="12">
        <v>21894.522000000001</v>
      </c>
      <c r="L317" s="13">
        <v>23515.008999999998</v>
      </c>
      <c r="M317" s="12">
        <v>1235.7719999999999</v>
      </c>
      <c r="N317" s="12">
        <v>1235.7719999999999</v>
      </c>
      <c r="O317" s="12">
        <v>1047.655</v>
      </c>
      <c r="P317" s="12">
        <v>35</v>
      </c>
      <c r="Q317" s="12">
        <v>35</v>
      </c>
      <c r="R317" s="12">
        <v>33</v>
      </c>
    </row>
    <row r="318" spans="1:18" ht="17" customHeight="1" x14ac:dyDescent="0.15">
      <c r="A318" s="8" t="s">
        <v>1687</v>
      </c>
      <c r="B318" s="9" t="s">
        <v>1688</v>
      </c>
      <c r="C318" s="8" t="s">
        <v>1689</v>
      </c>
      <c r="D318" s="8" t="s">
        <v>1689</v>
      </c>
      <c r="E318" s="8" t="s">
        <v>1690</v>
      </c>
      <c r="F318" s="8" t="s">
        <v>1542</v>
      </c>
      <c r="G318" s="8" t="s">
        <v>1618</v>
      </c>
      <c r="H318" s="8" t="s">
        <v>1619</v>
      </c>
      <c r="I318" s="8" t="str">
        <f>HYPERLINK("http://www.perinspa.it/","www.perinspa.it")</f>
        <v>www.perinspa.it</v>
      </c>
      <c r="J318" s="10">
        <v>17250.111000000001</v>
      </c>
      <c r="K318" s="10">
        <v>17250.111000000001</v>
      </c>
      <c r="L318" s="10">
        <v>23502.931</v>
      </c>
      <c r="M318" s="10">
        <v>47.878</v>
      </c>
      <c r="N318" s="10">
        <v>47.878</v>
      </c>
      <c r="O318" s="10">
        <v>4.4989999999999997</v>
      </c>
      <c r="P318" s="10">
        <v>29</v>
      </c>
      <c r="Q318" s="10">
        <v>29</v>
      </c>
      <c r="R318" s="10">
        <v>21</v>
      </c>
    </row>
    <row r="319" spans="1:18" ht="17" customHeight="1" x14ac:dyDescent="0.15">
      <c r="A319" s="11" t="s">
        <v>1691</v>
      </c>
      <c r="B319" s="1" t="s">
        <v>1692</v>
      </c>
      <c r="C319" s="11" t="s">
        <v>1693</v>
      </c>
      <c r="D319" s="11" t="s">
        <v>1694</v>
      </c>
      <c r="E319" s="11" t="s">
        <v>1695</v>
      </c>
      <c r="F319" s="11" t="s">
        <v>1542</v>
      </c>
      <c r="G319" s="11" t="s">
        <v>1696</v>
      </c>
      <c r="H319" s="11" t="s">
        <v>1619</v>
      </c>
      <c r="I319" s="11" t="str">
        <f>HYPERLINK("http://www.mgmspa.eu/","www.mgmspa.eu")</f>
        <v>www.mgmspa.eu</v>
      </c>
      <c r="J319" s="12">
        <v>10164.537</v>
      </c>
      <c r="K319" s="12">
        <v>10164.537</v>
      </c>
      <c r="L319" s="13">
        <v>23499.79</v>
      </c>
      <c r="M319" s="12">
        <v>-708.68200000000002</v>
      </c>
      <c r="N319" s="12">
        <v>-708.68200000000002</v>
      </c>
      <c r="O319" s="12">
        <v>1261.4259999999999</v>
      </c>
      <c r="P319" s="12">
        <v>24</v>
      </c>
      <c r="Q319" s="12">
        <v>24</v>
      </c>
      <c r="R319" s="12">
        <v>25</v>
      </c>
    </row>
    <row r="320" spans="1:18" ht="17" customHeight="1" x14ac:dyDescent="0.15">
      <c r="A320" s="8" t="s">
        <v>1697</v>
      </c>
      <c r="B320" s="9" t="s">
        <v>1698</v>
      </c>
      <c r="C320" s="8" t="s">
        <v>1699</v>
      </c>
      <c r="D320" s="8" t="s">
        <v>1699</v>
      </c>
      <c r="E320" s="8" t="s">
        <v>1700</v>
      </c>
      <c r="F320" s="8" t="s">
        <v>1701</v>
      </c>
      <c r="G320" s="8" t="s">
        <v>1696</v>
      </c>
      <c r="H320" s="8" t="s">
        <v>1619</v>
      </c>
      <c r="I320" s="8" t="str">
        <f>HYPERLINK("http://www.asolo.com/","http://www.asolo.com")</f>
        <v>http://www.asolo.com</v>
      </c>
      <c r="J320" s="10">
        <v>21441.861000000001</v>
      </c>
      <c r="K320" s="10">
        <v>21441.861000000001</v>
      </c>
      <c r="L320" s="10">
        <v>23426.14</v>
      </c>
      <c r="M320" s="10">
        <v>833.15499999999997</v>
      </c>
      <c r="N320" s="10">
        <v>833.15499999999997</v>
      </c>
      <c r="O320" s="10">
        <v>984.01599999999996</v>
      </c>
      <c r="P320" s="10">
        <v>59</v>
      </c>
      <c r="Q320" s="10">
        <v>59</v>
      </c>
      <c r="R320" s="10">
        <v>62</v>
      </c>
    </row>
    <row r="321" spans="1:18" ht="29.5" customHeight="1" x14ac:dyDescent="0.15">
      <c r="A321" s="11" t="s">
        <v>1702</v>
      </c>
      <c r="B321" s="1" t="s">
        <v>1703</v>
      </c>
      <c r="C321" s="11" t="s">
        <v>1704</v>
      </c>
      <c r="D321" s="11" t="s">
        <v>1704</v>
      </c>
      <c r="E321" s="11" t="s">
        <v>1705</v>
      </c>
      <c r="F321" s="11" t="s">
        <v>1706</v>
      </c>
      <c r="G321" s="11" t="s">
        <v>1707</v>
      </c>
      <c r="H321" s="11" t="s">
        <v>1708</v>
      </c>
      <c r="I321" s="11" t="str">
        <f>HYPERLINK("http://www.rutafashion.com/","www.rutafashion.com")</f>
        <v>www.rutafashion.com</v>
      </c>
      <c r="J321" s="12">
        <v>23776.535</v>
      </c>
      <c r="K321" s="12">
        <v>23776.535</v>
      </c>
      <c r="L321" s="13">
        <v>23355.656999999999</v>
      </c>
      <c r="M321" s="12">
        <v>1598.6010000000001</v>
      </c>
      <c r="N321" s="12">
        <v>1598.6010000000001</v>
      </c>
      <c r="O321" s="12">
        <v>1532.2929999999999</v>
      </c>
      <c r="P321" s="12">
        <v>32</v>
      </c>
      <c r="Q321" s="12">
        <v>32</v>
      </c>
      <c r="R321" s="12">
        <v>31</v>
      </c>
    </row>
    <row r="322" spans="1:18" ht="17" customHeight="1" x14ac:dyDescent="0.15">
      <c r="A322" s="8" t="s">
        <v>1709</v>
      </c>
      <c r="B322" s="9" t="s">
        <v>1710</v>
      </c>
      <c r="C322" s="8" t="s">
        <v>1711</v>
      </c>
      <c r="D322" s="8" t="s">
        <v>1711</v>
      </c>
      <c r="E322" s="8" t="s">
        <v>1712</v>
      </c>
      <c r="F322" s="8" t="s">
        <v>1713</v>
      </c>
      <c r="G322" s="8" t="s">
        <v>1714</v>
      </c>
      <c r="H322" s="8" t="s">
        <v>1715</v>
      </c>
      <c r="I322" s="8" t="str">
        <f>HYPERLINK("http://www.derobert.com/","www.derobert.com")</f>
        <v>www.derobert.com</v>
      </c>
      <c r="J322" s="10">
        <v>20161</v>
      </c>
      <c r="K322" s="10">
        <v>20161</v>
      </c>
      <c r="L322" s="10">
        <v>23323.238000000001</v>
      </c>
      <c r="M322" s="10">
        <v>603.61199999999997</v>
      </c>
      <c r="N322" s="10">
        <v>603.61199999999997</v>
      </c>
      <c r="O322" s="10">
        <v>719.61599999999999</v>
      </c>
      <c r="P322" s="10">
        <v>89</v>
      </c>
      <c r="Q322" s="10">
        <v>89</v>
      </c>
      <c r="R322" s="10">
        <v>88</v>
      </c>
    </row>
    <row r="323" spans="1:18" ht="29.5" customHeight="1" x14ac:dyDescent="0.15">
      <c r="A323" s="11" t="s">
        <v>1716</v>
      </c>
      <c r="B323" s="1" t="s">
        <v>1717</v>
      </c>
      <c r="C323" s="11" t="s">
        <v>1718</v>
      </c>
      <c r="D323" s="11" t="s">
        <v>1718</v>
      </c>
      <c r="E323" s="11" t="s">
        <v>1719</v>
      </c>
      <c r="F323" s="11" t="s">
        <v>1720</v>
      </c>
      <c r="G323" s="11" t="s">
        <v>1721</v>
      </c>
      <c r="H323" s="11" t="s">
        <v>1722</v>
      </c>
      <c r="I323" s="11" t="str">
        <f>HYPERLINK("http://cclfashion.com/","cclfashion.com")</f>
        <v>cclfashion.com</v>
      </c>
      <c r="J323" s="12">
        <v>20280.365000000002</v>
      </c>
      <c r="K323" s="12">
        <v>20280.365000000002</v>
      </c>
      <c r="L323" s="13">
        <v>23314.235000000001</v>
      </c>
      <c r="M323" s="12">
        <v>240.04599999999999</v>
      </c>
      <c r="N323" s="12">
        <v>240.04599999999999</v>
      </c>
      <c r="O323" s="12">
        <v>1590.704</v>
      </c>
      <c r="P323" s="12">
        <v>66</v>
      </c>
      <c r="Q323" s="12">
        <v>66</v>
      </c>
      <c r="R323" s="12">
        <v>92</v>
      </c>
    </row>
    <row r="324" spans="1:18" ht="29.5" customHeight="1" x14ac:dyDescent="0.15">
      <c r="A324" s="8" t="s">
        <v>1723</v>
      </c>
      <c r="B324" s="9" t="s">
        <v>1724</v>
      </c>
      <c r="C324" s="8" t="s">
        <v>1725</v>
      </c>
      <c r="D324" s="8" t="s">
        <v>1726</v>
      </c>
      <c r="E324" s="8" t="s">
        <v>1727</v>
      </c>
      <c r="F324" s="8" t="s">
        <v>1728</v>
      </c>
      <c r="G324" s="8" t="s">
        <v>1729</v>
      </c>
      <c r="H324" s="8" t="s">
        <v>1730</v>
      </c>
      <c r="I324" s="8" t="str">
        <f>HYPERLINK("http://giemmebrandscorporate.com/","giemmebrandscorporate.com")</f>
        <v>giemmebrandscorporate.com</v>
      </c>
      <c r="J324" s="10">
        <v>23021.735000000001</v>
      </c>
      <c r="K324" s="10">
        <v>23021.735000000001</v>
      </c>
      <c r="L324" s="10">
        <v>23276.106</v>
      </c>
      <c r="M324" s="10">
        <v>392.40699999999998</v>
      </c>
      <c r="N324" s="10">
        <v>392.40699999999998</v>
      </c>
      <c r="O324" s="10">
        <v>1030.549</v>
      </c>
      <c r="P324" s="10">
        <v>86</v>
      </c>
      <c r="Q324" s="10">
        <v>86</v>
      </c>
      <c r="R324" s="10">
        <v>106</v>
      </c>
    </row>
    <row r="325" spans="1:18" ht="17" customHeight="1" x14ac:dyDescent="0.15">
      <c r="A325" s="11" t="s">
        <v>1731</v>
      </c>
      <c r="B325" s="1" t="s">
        <v>1732</v>
      </c>
      <c r="C325" s="11" t="s">
        <v>1733</v>
      </c>
      <c r="D325" s="11" t="s">
        <v>1733</v>
      </c>
      <c r="E325" s="11" t="s">
        <v>1734</v>
      </c>
      <c r="F325" s="11" t="s">
        <v>1728</v>
      </c>
      <c r="G325" s="11" t="s">
        <v>1729</v>
      </c>
      <c r="H325" s="11" t="s">
        <v>1730</v>
      </c>
      <c r="I325" s="11" t="str">
        <f>HYPERLINK("http://www.chiaraboni.com/","www.chiaraboni.com")</f>
        <v>www.chiaraboni.com</v>
      </c>
      <c r="J325" s="12">
        <v>18221.853999999999</v>
      </c>
      <c r="K325" s="12">
        <v>18221.853999999999</v>
      </c>
      <c r="L325" s="13">
        <v>23216.942999999999</v>
      </c>
      <c r="M325" s="12">
        <v>2808.3739999999998</v>
      </c>
      <c r="N325" s="12">
        <v>2808.3739999999998</v>
      </c>
      <c r="O325" s="12">
        <v>5635.5190000000002</v>
      </c>
      <c r="P325" s="12">
        <v>26</v>
      </c>
      <c r="Q325" s="12">
        <v>26</v>
      </c>
      <c r="R325" s="12">
        <v>25</v>
      </c>
    </row>
    <row r="326" spans="1:18" ht="17" customHeight="1" x14ac:dyDescent="0.15">
      <c r="A326" s="8" t="s">
        <v>1735</v>
      </c>
      <c r="B326" s="9" t="s">
        <v>1736</v>
      </c>
      <c r="C326" s="8" t="s">
        <v>1737</v>
      </c>
      <c r="D326" s="8" t="s">
        <v>1737</v>
      </c>
      <c r="E326" s="8" t="s">
        <v>1738</v>
      </c>
      <c r="F326" s="8" t="s">
        <v>1713</v>
      </c>
      <c r="G326" s="8" t="s">
        <v>1739</v>
      </c>
      <c r="H326" s="8" t="s">
        <v>1715</v>
      </c>
      <c r="I326" s="8" t="str">
        <f>HYPERLINK("http://www.cromier.it/","www.cromier.it")</f>
        <v>www.cromier.it</v>
      </c>
      <c r="J326" s="10">
        <v>24332.062999999998</v>
      </c>
      <c r="K326" s="10">
        <v>24332.062999999998</v>
      </c>
      <c r="L326" s="10">
        <v>23167.988000000001</v>
      </c>
      <c r="M326" s="10">
        <v>332.89499999999998</v>
      </c>
      <c r="N326" s="10">
        <v>332.89499999999998</v>
      </c>
      <c r="O326" s="10">
        <v>113.664</v>
      </c>
      <c r="P326" s="10">
        <v>142</v>
      </c>
      <c r="Q326" s="10">
        <v>142</v>
      </c>
      <c r="R326" s="10">
        <v>145</v>
      </c>
    </row>
    <row r="327" spans="1:18" ht="17" customHeight="1" x14ac:dyDescent="0.15">
      <c r="A327" s="11" t="s">
        <v>1740</v>
      </c>
      <c r="B327" s="1" t="s">
        <v>1741</v>
      </c>
      <c r="C327" s="11" t="s">
        <v>1742</v>
      </c>
      <c r="D327" s="11" t="s">
        <v>1742</v>
      </c>
      <c r="E327" s="11" t="s">
        <v>1743</v>
      </c>
      <c r="F327" s="11" t="s">
        <v>1744</v>
      </c>
      <c r="G327" s="11" t="s">
        <v>1745</v>
      </c>
      <c r="H327" s="11" t="s">
        <v>1715</v>
      </c>
      <c r="I327" s="11" t="str">
        <f>HYPERLINK("http://www.xacus.com/","www.xacus.com")</f>
        <v>www.xacus.com</v>
      </c>
      <c r="J327" s="12">
        <v>26395.429</v>
      </c>
      <c r="K327" s="12">
        <v>26395.429</v>
      </c>
      <c r="L327" s="13">
        <v>23117.374</v>
      </c>
      <c r="M327" s="12">
        <v>1677.26</v>
      </c>
      <c r="N327" s="12">
        <v>1677.26</v>
      </c>
      <c r="O327" s="12">
        <v>1196.616</v>
      </c>
      <c r="P327" s="12">
        <v>58</v>
      </c>
      <c r="Q327" s="12">
        <v>58</v>
      </c>
      <c r="R327" s="12">
        <v>54</v>
      </c>
    </row>
    <row r="328" spans="1:18" ht="17" customHeight="1" x14ac:dyDescent="0.15">
      <c r="A328" s="8" t="s">
        <v>1746</v>
      </c>
      <c r="B328" s="9" t="s">
        <v>1747</v>
      </c>
      <c r="C328" s="8" t="s">
        <v>1748</v>
      </c>
      <c r="D328" s="8" t="s">
        <v>1748</v>
      </c>
      <c r="E328" s="8" t="s">
        <v>1749</v>
      </c>
      <c r="F328" s="8" t="s">
        <v>1713</v>
      </c>
      <c r="G328" s="8" t="s">
        <v>1750</v>
      </c>
      <c r="H328" s="8" t="s">
        <v>1715</v>
      </c>
      <c r="I328" s="8" t="str">
        <f>HYPERLINK("http://uk.gaerne.com/","uk.gaerne.com")</f>
        <v>uk.gaerne.com</v>
      </c>
      <c r="J328" s="10">
        <v>17262.28</v>
      </c>
      <c r="K328" s="10">
        <v>17262.28</v>
      </c>
      <c r="L328" s="10">
        <v>23111.976999999999</v>
      </c>
      <c r="M328" s="10">
        <v>793.65300000000002</v>
      </c>
      <c r="N328" s="10">
        <v>793.65300000000002</v>
      </c>
      <c r="O328" s="10">
        <v>2416.076</v>
      </c>
      <c r="P328" s="10">
        <v>61</v>
      </c>
      <c r="Q328" s="10">
        <v>61</v>
      </c>
      <c r="R328" s="10">
        <v>63</v>
      </c>
    </row>
    <row r="329" spans="1:18" ht="17" customHeight="1" x14ac:dyDescent="0.15">
      <c r="A329" s="11" t="s">
        <v>1751</v>
      </c>
      <c r="B329" s="1" t="s">
        <v>1752</v>
      </c>
      <c r="C329" s="11" t="s">
        <v>1753</v>
      </c>
      <c r="D329" s="11" t="s">
        <v>1753</v>
      </c>
      <c r="E329" s="11" t="s">
        <v>1754</v>
      </c>
      <c r="F329" s="11" t="s">
        <v>1728</v>
      </c>
      <c r="G329" s="11" t="s">
        <v>1755</v>
      </c>
      <c r="H329" s="11" t="s">
        <v>1730</v>
      </c>
      <c r="I329" s="11" t="str">
        <f>HYPERLINK("http://rockexperience.it/","rockexperience.it")</f>
        <v>rockexperience.it</v>
      </c>
      <c r="J329" s="12">
        <v>22306.424999999999</v>
      </c>
      <c r="K329" s="12">
        <v>22306.424999999999</v>
      </c>
      <c r="L329" s="13">
        <v>23109.791000000001</v>
      </c>
      <c r="M329" s="12">
        <v>321.48899999999998</v>
      </c>
      <c r="N329" s="12">
        <v>321.48899999999998</v>
      </c>
      <c r="O329" s="12">
        <v>399.17700000000002</v>
      </c>
      <c r="P329" s="12">
        <v>86</v>
      </c>
      <c r="Q329" s="12">
        <v>86</v>
      </c>
      <c r="R329" s="12">
        <v>57</v>
      </c>
    </row>
    <row r="330" spans="1:18" ht="17" customHeight="1" x14ac:dyDescent="0.15">
      <c r="A330" s="8" t="s">
        <v>1756</v>
      </c>
      <c r="B330" s="9" t="s">
        <v>1757</v>
      </c>
      <c r="C330" s="8" t="s">
        <v>1758</v>
      </c>
      <c r="D330" s="8" t="s">
        <v>1758</v>
      </c>
      <c r="E330" s="8" t="s">
        <v>1759</v>
      </c>
      <c r="F330" s="8" t="s">
        <v>1720</v>
      </c>
      <c r="G330" s="8" t="s">
        <v>1760</v>
      </c>
      <c r="H330" s="8" t="s">
        <v>1761</v>
      </c>
      <c r="I330" s="8" t="str">
        <f>HYPERLINK("http://www.trendsrl.eu/","www.trendsrl.eu")</f>
        <v>www.trendsrl.eu</v>
      </c>
      <c r="J330" s="10">
        <v>12125.566999999999</v>
      </c>
      <c r="K330" s="10">
        <v>26021.921999999999</v>
      </c>
      <c r="L330" s="10">
        <v>23035.912</v>
      </c>
      <c r="M330" s="10">
        <v>-3546.7539999999999</v>
      </c>
      <c r="N330" s="10">
        <v>-618.4</v>
      </c>
      <c r="O330" s="10">
        <v>-1145.3520000000001</v>
      </c>
      <c r="P330" s="10">
        <v>122</v>
      </c>
      <c r="Q330" s="10">
        <v>151</v>
      </c>
      <c r="R330" s="10">
        <v>60</v>
      </c>
    </row>
    <row r="331" spans="1:18" ht="17" customHeight="1" x14ac:dyDescent="0.15">
      <c r="A331" s="11" t="s">
        <v>1762</v>
      </c>
      <c r="B331" s="1" t="s">
        <v>1763</v>
      </c>
      <c r="C331" s="11" t="s">
        <v>1764</v>
      </c>
      <c r="D331" s="11" t="s">
        <v>1764</v>
      </c>
      <c r="E331" s="11" t="s">
        <v>1765</v>
      </c>
      <c r="F331" s="11" t="s">
        <v>1713</v>
      </c>
      <c r="G331" s="11" t="s">
        <v>1766</v>
      </c>
      <c r="H331" s="11" t="s">
        <v>1715</v>
      </c>
      <c r="I331" s="11" t="str">
        <f>HYPERLINK("http://www.medusashoes.com/","www.medusashoes.com")</f>
        <v>www.medusashoes.com</v>
      </c>
      <c r="J331" s="12">
        <v>15087.793</v>
      </c>
      <c r="K331" s="12">
        <v>15087.793</v>
      </c>
      <c r="L331" s="13">
        <v>22875.758000000002</v>
      </c>
      <c r="M331" s="12">
        <v>359.35399999999998</v>
      </c>
      <c r="N331" s="12">
        <v>359.35399999999998</v>
      </c>
      <c r="O331" s="12">
        <v>624.07799999999997</v>
      </c>
      <c r="P331" s="12">
        <v>34</v>
      </c>
      <c r="Q331" s="12">
        <v>34</v>
      </c>
      <c r="R331" s="12">
        <v>36</v>
      </c>
    </row>
    <row r="332" spans="1:18" ht="29.5" customHeight="1" x14ac:dyDescent="0.15">
      <c r="A332" s="8" t="s">
        <v>1767</v>
      </c>
      <c r="B332" s="9" t="s">
        <v>1768</v>
      </c>
      <c r="C332" s="8" t="s">
        <v>1769</v>
      </c>
      <c r="D332" s="8" t="s">
        <v>1769</v>
      </c>
      <c r="E332" s="8" t="s">
        <v>1770</v>
      </c>
      <c r="F332" s="8" t="s">
        <v>1771</v>
      </c>
      <c r="G332" s="8" t="s">
        <v>1772</v>
      </c>
      <c r="H332" s="8" t="s">
        <v>1761</v>
      </c>
      <c r="I332" s="8" t="str">
        <f>HYPERLINK("http://gielleemme.it/","gielleemme.it")</f>
        <v>gielleemme.it</v>
      </c>
      <c r="J332" s="10">
        <v>17898.253000000001</v>
      </c>
      <c r="K332" s="10">
        <v>17898.253000000001</v>
      </c>
      <c r="L332" s="10">
        <v>22856.761999999999</v>
      </c>
      <c r="M332" s="10">
        <v>664.14099999999996</v>
      </c>
      <c r="N332" s="10">
        <v>664.14099999999996</v>
      </c>
      <c r="O332" s="10">
        <v>1205.6310000000001</v>
      </c>
      <c r="P332" s="10">
        <v>33</v>
      </c>
      <c r="Q332" s="10">
        <v>33</v>
      </c>
      <c r="R332" s="10">
        <v>33</v>
      </c>
    </row>
    <row r="333" spans="1:18" ht="29.5" customHeight="1" x14ac:dyDescent="0.15">
      <c r="A333" s="11" t="s">
        <v>1773</v>
      </c>
      <c r="B333" s="1" t="s">
        <v>1774</v>
      </c>
      <c r="C333" s="11" t="s">
        <v>1775</v>
      </c>
      <c r="D333" s="11" t="s">
        <v>1775</v>
      </c>
      <c r="E333" s="11" t="s">
        <v>1776</v>
      </c>
      <c r="F333" s="11" t="s">
        <v>1771</v>
      </c>
      <c r="G333" s="11" t="s">
        <v>1772</v>
      </c>
      <c r="H333" s="11" t="s">
        <v>1761</v>
      </c>
      <c r="I333" s="11" t="str">
        <f>HYPERLINK("http://evolo.eco/","evolo.eco")</f>
        <v>evolo.eco</v>
      </c>
      <c r="J333" s="12">
        <v>22420.276999999998</v>
      </c>
      <c r="K333" s="12">
        <v>22420.276999999998</v>
      </c>
      <c r="L333" s="13">
        <v>22772.561000000002</v>
      </c>
      <c r="M333" s="12">
        <v>2262.491</v>
      </c>
      <c r="N333" s="12">
        <v>2262.491</v>
      </c>
      <c r="O333" s="12">
        <v>2256.98</v>
      </c>
      <c r="P333" s="12">
        <v>42</v>
      </c>
      <c r="Q333" s="12">
        <v>42</v>
      </c>
      <c r="R333" s="12">
        <v>42</v>
      </c>
    </row>
    <row r="334" spans="1:18" ht="17" customHeight="1" x14ac:dyDescent="0.15">
      <c r="A334" s="8" t="s">
        <v>1777</v>
      </c>
      <c r="B334" s="9" t="s">
        <v>1778</v>
      </c>
      <c r="C334" s="8" t="s">
        <v>1779</v>
      </c>
      <c r="D334" s="8" t="s">
        <v>1779</v>
      </c>
      <c r="E334" s="8" t="s">
        <v>1780</v>
      </c>
      <c r="F334" s="8" t="s">
        <v>1720</v>
      </c>
      <c r="G334" s="8" t="s">
        <v>1760</v>
      </c>
      <c r="H334" s="8" t="s">
        <v>1761</v>
      </c>
      <c r="I334" s="8" t="str">
        <f>HYPERLINK("http://www.pelletteriegiancarlo.net/","www.pelletteriegiancarlo.net")</f>
        <v>www.pelletteriegiancarlo.net</v>
      </c>
      <c r="J334" s="10">
        <v>19819.705999999998</v>
      </c>
      <c r="K334" s="10">
        <v>19819.705999999998</v>
      </c>
      <c r="L334" s="10">
        <v>22656.435000000001</v>
      </c>
      <c r="M334" s="10">
        <v>1177.913</v>
      </c>
      <c r="N334" s="10">
        <v>1177.913</v>
      </c>
      <c r="O334" s="10">
        <v>1663.316</v>
      </c>
      <c r="P334" s="10">
        <v>153</v>
      </c>
      <c r="Q334" s="10">
        <v>153</v>
      </c>
      <c r="R334" s="10">
        <v>153</v>
      </c>
    </row>
    <row r="335" spans="1:18" ht="17" customHeight="1" x14ac:dyDescent="0.15">
      <c r="A335" s="11" t="s">
        <v>1781</v>
      </c>
      <c r="B335" s="1" t="s">
        <v>1782</v>
      </c>
      <c r="C335" s="11" t="s">
        <v>1783</v>
      </c>
      <c r="D335" s="11" t="s">
        <v>1783</v>
      </c>
      <c r="E335" s="11" t="s">
        <v>1784</v>
      </c>
      <c r="F335" s="11" t="s">
        <v>1713</v>
      </c>
      <c r="G335" s="11" t="s">
        <v>1750</v>
      </c>
      <c r="H335" s="11" t="s">
        <v>1715</v>
      </c>
      <c r="I335" s="11" t="str">
        <f>HYPERLINK("http://www.stonefly.it/","www.stonefly.it/")</f>
        <v>www.stonefly.it/</v>
      </c>
      <c r="J335" s="12">
        <v>24071.291000000001</v>
      </c>
      <c r="K335" s="12">
        <v>24071.291000000001</v>
      </c>
      <c r="L335" s="13">
        <v>22414.506000000001</v>
      </c>
      <c r="M335" s="12">
        <v>-653.90899999999999</v>
      </c>
      <c r="N335" s="12">
        <v>-653.90899999999999</v>
      </c>
      <c r="O335" s="12">
        <v>-1473.521</v>
      </c>
      <c r="P335" s="12">
        <v>29</v>
      </c>
      <c r="Q335" s="12">
        <v>29</v>
      </c>
      <c r="R335" s="12">
        <v>34</v>
      </c>
    </row>
    <row r="336" spans="1:18" ht="17" customHeight="1" x14ac:dyDescent="0.15">
      <c r="A336" s="8" t="s">
        <v>1785</v>
      </c>
      <c r="B336" s="9" t="s">
        <v>1786</v>
      </c>
      <c r="C336" s="8" t="s">
        <v>1787</v>
      </c>
      <c r="D336" s="8" t="s">
        <v>1788</v>
      </c>
      <c r="E336" s="8" t="s">
        <v>1789</v>
      </c>
      <c r="F336" s="8" t="s">
        <v>1713</v>
      </c>
      <c r="G336" s="8" t="s">
        <v>1790</v>
      </c>
      <c r="H336" s="8" t="s">
        <v>1730</v>
      </c>
      <c r="I336" s="8" t="str">
        <f>HYPERLINK("http://www.lineacshoes.com/","www.lineacshoes.com")</f>
        <v>www.lineacshoes.com</v>
      </c>
      <c r="J336" s="10">
        <v>23031.253000000001</v>
      </c>
      <c r="K336" s="10">
        <v>23031.253000000001</v>
      </c>
      <c r="L336" s="10">
        <v>22345.233</v>
      </c>
      <c r="M336" s="10">
        <v>31.303000000000001</v>
      </c>
      <c r="N336" s="10">
        <v>31.303000000000001</v>
      </c>
      <c r="O336" s="10">
        <v>492.44299999999998</v>
      </c>
      <c r="P336" s="10">
        <v>11</v>
      </c>
      <c r="Q336" s="10">
        <v>11</v>
      </c>
      <c r="R336" s="10">
        <v>12</v>
      </c>
    </row>
    <row r="337" spans="1:18" ht="17" customHeight="1" x14ac:dyDescent="0.15">
      <c r="A337" s="11" t="s">
        <v>1791</v>
      </c>
      <c r="B337" s="1" t="s">
        <v>1792</v>
      </c>
      <c r="C337" s="11" t="s">
        <v>1793</v>
      </c>
      <c r="D337" s="11" t="s">
        <v>1793</v>
      </c>
      <c r="E337" s="11" t="s">
        <v>1794</v>
      </c>
      <c r="F337" s="11" t="s">
        <v>1771</v>
      </c>
      <c r="G337" s="11" t="s">
        <v>1772</v>
      </c>
      <c r="H337" s="11" t="s">
        <v>1761</v>
      </c>
      <c r="I337" s="11" t="str">
        <f>HYPERLINK("http://www.vestacorp.it/","www.vestacorp.it")</f>
        <v>www.vestacorp.it</v>
      </c>
      <c r="J337" s="12">
        <v>26712.341</v>
      </c>
      <c r="K337" s="12">
        <v>26712.341</v>
      </c>
      <c r="L337" s="13">
        <v>22206.073</v>
      </c>
      <c r="M337" s="12">
        <v>2094.4699999999998</v>
      </c>
      <c r="N337" s="12">
        <v>2094.4699999999998</v>
      </c>
      <c r="O337" s="12">
        <v>1994.046</v>
      </c>
      <c r="P337" s="12">
        <v>39</v>
      </c>
      <c r="Q337" s="12">
        <v>39</v>
      </c>
      <c r="R337" s="12">
        <v>42</v>
      </c>
    </row>
    <row r="338" spans="1:18" ht="17" customHeight="1" x14ac:dyDescent="0.15">
      <c r="A338" s="8" t="s">
        <v>1795</v>
      </c>
      <c r="B338" s="9" t="s">
        <v>1796</v>
      </c>
      <c r="C338" s="8" t="s">
        <v>1797</v>
      </c>
      <c r="D338" s="8" t="s">
        <v>1797</v>
      </c>
      <c r="E338" s="8" t="s">
        <v>1798</v>
      </c>
      <c r="F338" s="8" t="s">
        <v>1713</v>
      </c>
      <c r="G338" s="8" t="s">
        <v>1714</v>
      </c>
      <c r="H338" s="8" t="s">
        <v>1715</v>
      </c>
      <c r="I338" s="8" t="str">
        <f>HYPERLINK("http://www.caravelleshoes.it/","www.caravelleshoes.it")</f>
        <v>www.caravelleshoes.it</v>
      </c>
      <c r="J338" s="10">
        <v>27198.488000000001</v>
      </c>
      <c r="K338" s="10">
        <v>27198.488000000001</v>
      </c>
      <c r="L338" s="10">
        <v>22156.572</v>
      </c>
      <c r="M338" s="10">
        <v>827.60199999999998</v>
      </c>
      <c r="N338" s="10">
        <v>827.60199999999998</v>
      </c>
      <c r="O338" s="10">
        <v>218.06299999999999</v>
      </c>
      <c r="P338" s="10">
        <v>77</v>
      </c>
      <c r="Q338" s="10">
        <v>77</v>
      </c>
      <c r="R338" s="10">
        <v>79</v>
      </c>
    </row>
    <row r="339" spans="1:18" ht="29.5" customHeight="1" x14ac:dyDescent="0.15">
      <c r="A339" s="11" t="s">
        <v>1799</v>
      </c>
      <c r="B339" s="1" t="s">
        <v>1800</v>
      </c>
      <c r="C339" s="11" t="s">
        <v>1801</v>
      </c>
      <c r="D339" s="11" t="s">
        <v>1801</v>
      </c>
      <c r="E339" s="11" t="s">
        <v>1802</v>
      </c>
      <c r="F339" s="11" t="s">
        <v>1803</v>
      </c>
      <c r="G339" s="11" t="s">
        <v>1721</v>
      </c>
      <c r="H339" s="11" t="s">
        <v>1722</v>
      </c>
      <c r="I339" s="11" t="str">
        <f>HYPERLINK("http://www.formificioromagnolo.com/","www.formificioromagnolo.com")</f>
        <v>www.formificioromagnolo.com</v>
      </c>
      <c r="J339" s="12">
        <v>21382.27</v>
      </c>
      <c r="K339" s="12">
        <v>21382.27</v>
      </c>
      <c r="L339" s="13">
        <v>22120.847000000002</v>
      </c>
      <c r="M339" s="12">
        <v>-413.38600000000002</v>
      </c>
      <c r="N339" s="12">
        <v>-413.38600000000002</v>
      </c>
      <c r="O339" s="12">
        <v>-95.013999999999996</v>
      </c>
      <c r="P339" s="12">
        <v>316</v>
      </c>
      <c r="Q339" s="12">
        <v>316</v>
      </c>
      <c r="R339" s="12">
        <v>291</v>
      </c>
    </row>
    <row r="340" spans="1:18" ht="17" customHeight="1" x14ac:dyDescent="0.15">
      <c r="A340" s="8" t="s">
        <v>1804</v>
      </c>
      <c r="B340" s="9" t="s">
        <v>1805</v>
      </c>
      <c r="C340" s="8" t="s">
        <v>1806</v>
      </c>
      <c r="D340" s="8" t="s">
        <v>1806</v>
      </c>
      <c r="E340" s="8" t="s">
        <v>1807</v>
      </c>
      <c r="F340" s="8" t="s">
        <v>1808</v>
      </c>
      <c r="G340" s="8" t="s">
        <v>1739</v>
      </c>
      <c r="H340" s="8" t="s">
        <v>1715</v>
      </c>
      <c r="I340" s="8" t="str">
        <f>HYPERLINK("http://mfuno.it/","mfuno.it")</f>
        <v>mfuno.it</v>
      </c>
      <c r="J340" s="10">
        <v>21521.046999999999</v>
      </c>
      <c r="K340" s="10">
        <v>21521.046999999999</v>
      </c>
      <c r="L340" s="10">
        <v>22058.53</v>
      </c>
      <c r="M340" s="10">
        <v>3212.9920000000002</v>
      </c>
      <c r="N340" s="10">
        <v>3212.9920000000002</v>
      </c>
      <c r="O340" s="10">
        <v>1965.259</v>
      </c>
      <c r="P340" s="10">
        <v>81</v>
      </c>
      <c r="Q340" s="10">
        <v>81</v>
      </c>
      <c r="R340" s="10">
        <v>77</v>
      </c>
    </row>
    <row r="341" spans="1:18" ht="17" customHeight="1" x14ac:dyDescent="0.15">
      <c r="A341" s="11" t="s">
        <v>1809</v>
      </c>
      <c r="B341" s="1" t="s">
        <v>1810</v>
      </c>
      <c r="C341" s="11" t="s">
        <v>1811</v>
      </c>
      <c r="D341" s="11" t="s">
        <v>1812</v>
      </c>
      <c r="E341" s="11" t="s">
        <v>1813</v>
      </c>
      <c r="F341" s="11" t="s">
        <v>1808</v>
      </c>
      <c r="G341" s="11" t="s">
        <v>1814</v>
      </c>
      <c r="H341" s="11" t="s">
        <v>1730</v>
      </c>
      <c r="I341" s="11" t="str">
        <f>HYPERLINK("http://www.fedelicashmere.com/","www.fedelicashmere.com")</f>
        <v>www.fedelicashmere.com</v>
      </c>
      <c r="J341" s="12">
        <v>27052.264999999999</v>
      </c>
      <c r="K341" s="12">
        <v>27052.264999999999</v>
      </c>
      <c r="L341" s="13">
        <v>21995.088</v>
      </c>
      <c r="M341" s="12">
        <v>1553.403</v>
      </c>
      <c r="N341" s="12">
        <v>1553.403</v>
      </c>
      <c r="O341" s="12">
        <v>1390.231</v>
      </c>
      <c r="P341" s="12">
        <v>87</v>
      </c>
      <c r="Q341" s="12">
        <v>87</v>
      </c>
      <c r="R341" s="12">
        <v>75</v>
      </c>
    </row>
    <row r="342" spans="1:18" ht="17" customHeight="1" x14ac:dyDescent="0.15">
      <c r="A342" s="8" t="s">
        <v>1815</v>
      </c>
      <c r="B342" s="9" t="s">
        <v>1816</v>
      </c>
      <c r="C342" s="8" t="s">
        <v>1817</v>
      </c>
      <c r="D342" s="8" t="s">
        <v>1817</v>
      </c>
      <c r="E342" s="8" t="s">
        <v>1818</v>
      </c>
      <c r="F342" s="8" t="s">
        <v>1713</v>
      </c>
      <c r="G342" s="8" t="s">
        <v>1745</v>
      </c>
      <c r="H342" s="8" t="s">
        <v>1715</v>
      </c>
      <c r="I342" s="8" t="str">
        <f>HYPERLINK("http://www.walles.it/","www.walles.it")</f>
        <v>www.walles.it</v>
      </c>
      <c r="J342" s="10">
        <v>30039.826000000001</v>
      </c>
      <c r="K342" s="10">
        <v>32432.678</v>
      </c>
      <c r="L342" s="10">
        <v>21678.027999999998</v>
      </c>
      <c r="M342" s="10">
        <v>1541.222</v>
      </c>
      <c r="N342" s="10">
        <v>2268.8890000000001</v>
      </c>
      <c r="O342" s="10">
        <v>329.57</v>
      </c>
      <c r="P342" s="10">
        <v>105</v>
      </c>
      <c r="Q342" s="10">
        <v>101</v>
      </c>
      <c r="R342" s="10">
        <v>91</v>
      </c>
    </row>
    <row r="343" spans="1:18" ht="17" customHeight="1" x14ac:dyDescent="0.15">
      <c r="A343" s="11" t="s">
        <v>1819</v>
      </c>
      <c r="B343" s="1" t="s">
        <v>1820</v>
      </c>
      <c r="C343" s="11" t="s">
        <v>1821</v>
      </c>
      <c r="D343" s="11" t="s">
        <v>1821</v>
      </c>
      <c r="E343" s="11" t="s">
        <v>1822</v>
      </c>
      <c r="F343" s="11" t="s">
        <v>1713</v>
      </c>
      <c r="G343" s="11" t="s">
        <v>1790</v>
      </c>
      <c r="H343" s="11" t="s">
        <v>1730</v>
      </c>
      <c r="I343" s="11" t="str">
        <f>HYPERLINK("http://www.inblu.com/","www.inblu.com")</f>
        <v>www.inblu.com</v>
      </c>
      <c r="J343" s="12">
        <v>19723.966</v>
      </c>
      <c r="K343" s="12">
        <v>19723.966</v>
      </c>
      <c r="L343" s="13">
        <v>21464.737000000001</v>
      </c>
      <c r="M343" s="12">
        <v>9210.4290000000001</v>
      </c>
      <c r="N343" s="12">
        <v>9210.4290000000001</v>
      </c>
      <c r="O343" s="12">
        <v>8335.4480000000003</v>
      </c>
      <c r="P343" s="12">
        <v>56</v>
      </c>
      <c r="Q343" s="12">
        <v>56</v>
      </c>
      <c r="R343" s="12">
        <v>50</v>
      </c>
    </row>
    <row r="344" spans="1:18" ht="29.5" customHeight="1" x14ac:dyDescent="0.15">
      <c r="A344" s="8" t="s">
        <v>1823</v>
      </c>
      <c r="B344" s="9" t="s">
        <v>1824</v>
      </c>
      <c r="C344" s="8" t="s">
        <v>1825</v>
      </c>
      <c r="D344" s="8" t="s">
        <v>1825</v>
      </c>
      <c r="E344" s="8" t="s">
        <v>1826</v>
      </c>
      <c r="F344" s="8" t="s">
        <v>1827</v>
      </c>
      <c r="G344" s="8" t="s">
        <v>1772</v>
      </c>
      <c r="H344" s="8" t="s">
        <v>1761</v>
      </c>
      <c r="I344" s="8" t="str">
        <f>HYPERLINK("http://www.sangiorgiosrl.com/","www.sangiorgiosrl.com")</f>
        <v>www.sangiorgiosrl.com</v>
      </c>
      <c r="J344" s="10">
        <v>18592.245999999999</v>
      </c>
      <c r="K344" s="10">
        <v>21507.394</v>
      </c>
      <c r="L344" s="10">
        <v>21383.023000000001</v>
      </c>
      <c r="M344" s="10">
        <v>4.0270000000000001</v>
      </c>
      <c r="N344" s="10">
        <v>-1254.941</v>
      </c>
      <c r="O344" s="10">
        <v>13.596</v>
      </c>
      <c r="P344" s="10">
        <v>32</v>
      </c>
      <c r="Q344" s="10">
        <v>35</v>
      </c>
      <c r="R344" s="10">
        <v>40</v>
      </c>
    </row>
    <row r="345" spans="1:18" ht="17" customHeight="1" x14ac:dyDescent="0.15">
      <c r="A345" s="11" t="s">
        <v>1828</v>
      </c>
      <c r="B345" s="1" t="s">
        <v>1829</v>
      </c>
      <c r="C345" s="11" t="s">
        <v>1830</v>
      </c>
      <c r="D345" s="11" t="s">
        <v>1830</v>
      </c>
      <c r="E345" s="11" t="s">
        <v>1831</v>
      </c>
      <c r="F345" s="11" t="s">
        <v>1706</v>
      </c>
      <c r="G345" s="11" t="s">
        <v>1750</v>
      </c>
      <c r="H345" s="11" t="s">
        <v>1715</v>
      </c>
      <c r="I345" s="11" t="str">
        <f>HYPERLINK("http://www.ilgufo.com/","www.ilgufo.com")</f>
        <v>www.ilgufo.com</v>
      </c>
      <c r="J345" s="12">
        <v>21329.26</v>
      </c>
      <c r="K345" s="12">
        <v>21329.26</v>
      </c>
      <c r="L345" s="13">
        <v>21356.316999999999</v>
      </c>
      <c r="M345" s="12">
        <v>-80.671999999999997</v>
      </c>
      <c r="N345" s="12">
        <v>-80.671999999999997</v>
      </c>
      <c r="O345" s="12">
        <v>-870.41399999999999</v>
      </c>
      <c r="P345" s="12">
        <v>83</v>
      </c>
      <c r="Q345" s="12">
        <v>83</v>
      </c>
      <c r="R345" s="12">
        <v>74</v>
      </c>
    </row>
    <row r="346" spans="1:18" ht="29.5" customHeight="1" x14ac:dyDescent="0.15">
      <c r="A346" s="8" t="s">
        <v>1832</v>
      </c>
      <c r="B346" s="9" t="s">
        <v>1833</v>
      </c>
      <c r="C346" s="8" t="s">
        <v>1834</v>
      </c>
      <c r="D346" s="8" t="s">
        <v>1834</v>
      </c>
      <c r="E346" s="8" t="s">
        <v>1835</v>
      </c>
      <c r="F346" s="8" t="s">
        <v>1771</v>
      </c>
      <c r="G346" s="8" t="s">
        <v>1772</v>
      </c>
      <c r="H346" s="8" t="s">
        <v>1761</v>
      </c>
      <c r="I346" s="8" t="str">
        <f>HYPERLINK("http://www.lamonti.it/","www.lamonti.it")</f>
        <v>www.lamonti.it</v>
      </c>
      <c r="J346" s="10">
        <v>21978.651999999998</v>
      </c>
      <c r="K346" s="10">
        <v>21978.651999999998</v>
      </c>
      <c r="L346" s="10">
        <v>21354.52</v>
      </c>
      <c r="M346" s="10">
        <v>3582.232</v>
      </c>
      <c r="N346" s="10">
        <v>3582.232</v>
      </c>
      <c r="O346" s="10">
        <v>3084.9090000000001</v>
      </c>
      <c r="P346" s="10">
        <v>39</v>
      </c>
      <c r="Q346" s="10">
        <v>39</v>
      </c>
      <c r="R346" s="10">
        <v>34</v>
      </c>
    </row>
    <row r="347" spans="1:18" ht="17" customHeight="1" x14ac:dyDescent="0.15">
      <c r="A347" s="11" t="s">
        <v>1836</v>
      </c>
      <c r="B347" s="1" t="s">
        <v>1837</v>
      </c>
      <c r="C347" s="11" t="s">
        <v>1838</v>
      </c>
      <c r="D347" s="11" t="s">
        <v>1838</v>
      </c>
      <c r="E347" s="11" t="s">
        <v>1839</v>
      </c>
      <c r="F347" s="11" t="s">
        <v>1840</v>
      </c>
      <c r="G347" s="11" t="s">
        <v>1841</v>
      </c>
      <c r="H347" s="11" t="s">
        <v>1708</v>
      </c>
      <c r="I347" s="11" t="str">
        <f>HYPERLINK("http://www.effek.it/","www.effek.it")</f>
        <v>www.effek.it</v>
      </c>
      <c r="J347" s="12">
        <v>19369.737000000001</v>
      </c>
      <c r="K347" s="12">
        <v>19369.737000000001</v>
      </c>
      <c r="L347" s="13">
        <v>21298.166000000001</v>
      </c>
      <c r="M347" s="12">
        <v>2993.596</v>
      </c>
      <c r="N347" s="12">
        <v>2993.596</v>
      </c>
      <c r="O347" s="12">
        <v>4471.192</v>
      </c>
      <c r="P347" s="12">
        <v>86</v>
      </c>
      <c r="Q347" s="12">
        <v>86</v>
      </c>
      <c r="R347" s="12">
        <v>78</v>
      </c>
    </row>
    <row r="348" spans="1:18" ht="17" customHeight="1" x14ac:dyDescent="0.15">
      <c r="A348" s="8" t="s">
        <v>1842</v>
      </c>
      <c r="B348" s="9" t="s">
        <v>1843</v>
      </c>
      <c r="C348" s="8" t="s">
        <v>1844</v>
      </c>
      <c r="D348" s="8" t="s">
        <v>1844</v>
      </c>
      <c r="E348" s="8" t="s">
        <v>1845</v>
      </c>
      <c r="F348" s="8" t="s">
        <v>1706</v>
      </c>
      <c r="G348" s="8" t="s">
        <v>1846</v>
      </c>
      <c r="H348" s="8" t="s">
        <v>1847</v>
      </c>
      <c r="I348" s="8" t="str">
        <f>HYPERLINK("http://chervo.blog/","chervo.blog")</f>
        <v>chervo.blog</v>
      </c>
      <c r="J348" s="10">
        <v>20782.937999999998</v>
      </c>
      <c r="K348" s="10">
        <v>20782.937999999998</v>
      </c>
      <c r="L348" s="10">
        <v>21259.681</v>
      </c>
      <c r="M348" s="10">
        <v>1093.268</v>
      </c>
      <c r="N348" s="10">
        <v>1093.268</v>
      </c>
      <c r="O348" s="10">
        <v>1733.5</v>
      </c>
      <c r="P348" s="10">
        <v>61</v>
      </c>
      <c r="Q348" s="10">
        <v>61</v>
      </c>
      <c r="R348" s="10">
        <v>59</v>
      </c>
    </row>
    <row r="349" spans="1:18" ht="17" customHeight="1" x14ac:dyDescent="0.15">
      <c r="A349" s="11" t="s">
        <v>1848</v>
      </c>
      <c r="B349" s="1" t="s">
        <v>1849</v>
      </c>
      <c r="C349" s="11" t="s">
        <v>1850</v>
      </c>
      <c r="D349" s="11" t="s">
        <v>1850</v>
      </c>
      <c r="E349" s="11" t="s">
        <v>1851</v>
      </c>
      <c r="F349" s="11" t="s">
        <v>1713</v>
      </c>
      <c r="G349" s="11" t="s">
        <v>1841</v>
      </c>
      <c r="H349" s="11" t="s">
        <v>1708</v>
      </c>
      <c r="I349" s="11" t="str">
        <f>HYPERLINK("http://www.bicap.it/","www.bicap.it")</f>
        <v>www.bicap.it</v>
      </c>
      <c r="J349" s="12">
        <v>17435.126</v>
      </c>
      <c r="K349" s="12">
        <v>17435.126</v>
      </c>
      <c r="L349" s="13">
        <v>21242.257000000001</v>
      </c>
      <c r="M349" s="12">
        <v>-202.73</v>
      </c>
      <c r="N349" s="12">
        <v>-202.73</v>
      </c>
      <c r="O349" s="12">
        <v>612.91600000000005</v>
      </c>
      <c r="P349" s="12">
        <v>101</v>
      </c>
      <c r="Q349" s="12">
        <v>101</v>
      </c>
      <c r="R349" s="12">
        <v>100</v>
      </c>
    </row>
    <row r="350" spans="1:18" ht="17" customHeight="1" x14ac:dyDescent="0.15">
      <c r="A350" s="8" t="s">
        <v>1852</v>
      </c>
      <c r="B350" s="9" t="s">
        <v>1853</v>
      </c>
      <c r="C350" s="8" t="s">
        <v>1854</v>
      </c>
      <c r="D350" s="8" t="s">
        <v>1854</v>
      </c>
      <c r="E350" s="8" t="s">
        <v>1855</v>
      </c>
      <c r="F350" s="8" t="s">
        <v>1771</v>
      </c>
      <c r="G350" s="8" t="s">
        <v>1745</v>
      </c>
      <c r="H350" s="8" t="s">
        <v>1715</v>
      </c>
      <c r="I350" s="8" t="str">
        <f>HYPERLINK("http://www.marioleviitalia.it/","www.marioleviitalia.it")</f>
        <v>www.marioleviitalia.it</v>
      </c>
      <c r="J350" s="10">
        <v>27087.841</v>
      </c>
      <c r="K350" s="10">
        <v>27087.841</v>
      </c>
      <c r="L350" s="10">
        <v>21224.669000000002</v>
      </c>
      <c r="M350" s="10">
        <v>139.077</v>
      </c>
      <c r="N350" s="10">
        <v>139.077</v>
      </c>
      <c r="O350" s="10">
        <v>106.07599999999999</v>
      </c>
      <c r="P350" s="10">
        <v>74</v>
      </c>
      <c r="Q350" s="10">
        <v>74</v>
      </c>
      <c r="R350" s="10">
        <v>63</v>
      </c>
    </row>
    <row r="351" spans="1:18" ht="17" customHeight="1" x14ac:dyDescent="0.15">
      <c r="A351" s="11" t="s">
        <v>1856</v>
      </c>
      <c r="B351" s="1" t="s">
        <v>1857</v>
      </c>
      <c r="C351" s="11" t="s">
        <v>1858</v>
      </c>
      <c r="D351" s="11" t="s">
        <v>1858</v>
      </c>
      <c r="E351" s="11" t="s">
        <v>1859</v>
      </c>
      <c r="F351" s="11" t="s">
        <v>1706</v>
      </c>
      <c r="G351" s="11" t="s">
        <v>1860</v>
      </c>
      <c r="H351" s="11" t="s">
        <v>1730</v>
      </c>
      <c r="I351" s="11" t="str">
        <f>HYPERLINK("http://www.newmarbas.com/","www.newmarbas.com")</f>
        <v>www.newmarbas.com</v>
      </c>
      <c r="J351" s="12">
        <v>21806.71</v>
      </c>
      <c r="K351" s="12">
        <v>21806.71</v>
      </c>
      <c r="L351" s="13">
        <v>21207.437999999998</v>
      </c>
      <c r="M351" s="12">
        <v>-1671.42</v>
      </c>
      <c r="N351" s="12">
        <v>-1671.42</v>
      </c>
      <c r="O351" s="12">
        <v>-1216.807</v>
      </c>
      <c r="P351" s="12">
        <v>32</v>
      </c>
      <c r="Q351" s="12">
        <v>32</v>
      </c>
      <c r="R351" s="12">
        <v>34</v>
      </c>
    </row>
    <row r="352" spans="1:18" ht="17" customHeight="1" x14ac:dyDescent="0.15">
      <c r="A352" s="8" t="s">
        <v>1861</v>
      </c>
      <c r="B352" s="9" t="s">
        <v>1862</v>
      </c>
      <c r="C352" s="8" t="s">
        <v>1863</v>
      </c>
      <c r="D352" s="8" t="s">
        <v>1863</v>
      </c>
      <c r="E352" s="8" t="s">
        <v>1864</v>
      </c>
      <c r="F352" s="8" t="s">
        <v>1706</v>
      </c>
      <c r="G352" s="8" t="s">
        <v>1865</v>
      </c>
      <c r="H352" s="8" t="s">
        <v>1866</v>
      </c>
      <c r="I352" s="8" t="str">
        <f>HYPERLINK("http://www.paul.it/","www.paul.it")</f>
        <v>www.paul.it</v>
      </c>
      <c r="J352" s="10">
        <v>17462.127</v>
      </c>
      <c r="K352" s="10">
        <v>17462.127</v>
      </c>
      <c r="L352" s="10">
        <v>21130.758000000002</v>
      </c>
      <c r="M352" s="10">
        <v>1133.6410000000001</v>
      </c>
      <c r="N352" s="10">
        <v>1133.6410000000001</v>
      </c>
      <c r="O352" s="10">
        <v>1678.04</v>
      </c>
      <c r="P352" s="10">
        <v>55</v>
      </c>
      <c r="Q352" s="10">
        <v>55</v>
      </c>
      <c r="R352" s="10">
        <v>58</v>
      </c>
    </row>
    <row r="353" spans="1:18" ht="17" customHeight="1" x14ac:dyDescent="0.15">
      <c r="A353" s="11" t="s">
        <v>1867</v>
      </c>
      <c r="B353" s="1" t="s">
        <v>1868</v>
      </c>
      <c r="C353" s="11" t="s">
        <v>1869</v>
      </c>
      <c r="D353" s="11" t="s">
        <v>1869</v>
      </c>
      <c r="E353" s="11" t="s">
        <v>1870</v>
      </c>
      <c r="F353" s="11" t="s">
        <v>1871</v>
      </c>
      <c r="G353" s="11" t="s">
        <v>1872</v>
      </c>
      <c r="H353" s="11" t="s">
        <v>1873</v>
      </c>
      <c r="I353" s="11" t="str">
        <f>HYPERLINK("http://www.transit.it/","www.transit.it")</f>
        <v>www.transit.it</v>
      </c>
      <c r="J353" s="12">
        <v>23083.462</v>
      </c>
      <c r="K353" s="12">
        <v>23083.462</v>
      </c>
      <c r="L353" s="13">
        <v>21122.04</v>
      </c>
      <c r="M353" s="12">
        <v>3426.8249999999998</v>
      </c>
      <c r="N353" s="12">
        <v>3426.8249999999998</v>
      </c>
      <c r="O353" s="12">
        <v>2818.94</v>
      </c>
      <c r="P353" s="12">
        <v>89</v>
      </c>
      <c r="Q353" s="12">
        <v>89</v>
      </c>
      <c r="R353" s="12">
        <v>82</v>
      </c>
    </row>
    <row r="354" spans="1:18" ht="17" customHeight="1" x14ac:dyDescent="0.15">
      <c r="A354" s="8" t="s">
        <v>1874</v>
      </c>
      <c r="B354" s="9" t="s">
        <v>1875</v>
      </c>
      <c r="C354" s="8" t="s">
        <v>1876</v>
      </c>
      <c r="D354" s="8" t="s">
        <v>1876</v>
      </c>
      <c r="E354" s="8" t="s">
        <v>1877</v>
      </c>
      <c r="F354" s="8" t="s">
        <v>1878</v>
      </c>
      <c r="G354" s="8" t="s">
        <v>1879</v>
      </c>
      <c r="H354" s="8" t="s">
        <v>1873</v>
      </c>
      <c r="I354" s="8" t="str">
        <f>HYPERLINK("http://www.ellepionline.it/","www.ellepionline.it")</f>
        <v>www.ellepionline.it</v>
      </c>
      <c r="J354" s="10">
        <v>18545.345000000001</v>
      </c>
      <c r="K354" s="10">
        <v>18545.345000000001</v>
      </c>
      <c r="L354" s="10">
        <v>20882.343000000001</v>
      </c>
      <c r="M354" s="10">
        <v>-2797.538</v>
      </c>
      <c r="N354" s="10">
        <v>-2797.538</v>
      </c>
      <c r="O354" s="10">
        <v>-1272.9010000000001</v>
      </c>
      <c r="P354" s="10">
        <v>49</v>
      </c>
      <c r="Q354" s="10">
        <v>49</v>
      </c>
      <c r="R354" s="10">
        <v>48</v>
      </c>
    </row>
    <row r="355" spans="1:18" ht="17" customHeight="1" x14ac:dyDescent="0.15">
      <c r="A355" s="11" t="s">
        <v>1880</v>
      </c>
      <c r="B355" s="1" t="s">
        <v>1881</v>
      </c>
      <c r="C355" s="11" t="s">
        <v>1882</v>
      </c>
      <c r="D355" s="11" t="s">
        <v>1882</v>
      </c>
      <c r="E355" s="11" t="s">
        <v>1883</v>
      </c>
      <c r="F355" s="11" t="s">
        <v>1884</v>
      </c>
      <c r="G355" s="11" t="s">
        <v>1872</v>
      </c>
      <c r="H355" s="11" t="s">
        <v>1873</v>
      </c>
      <c r="I355" s="11" t="str">
        <f>HYPERLINK("http://www.ferrarilasi.it/conceria","http://www.ferrarilasi.it/conceria")</f>
        <v>http://www.ferrarilasi.it/conceria</v>
      </c>
      <c r="J355" s="12">
        <v>20520.21</v>
      </c>
      <c r="K355" s="12">
        <v>20520.21</v>
      </c>
      <c r="L355" s="13">
        <v>20876.689999999999</v>
      </c>
      <c r="M355" s="12">
        <v>1149.7190000000001</v>
      </c>
      <c r="N355" s="12">
        <v>1149.7190000000001</v>
      </c>
      <c r="O355" s="12">
        <v>1606.5</v>
      </c>
      <c r="P355" s="12">
        <v>49</v>
      </c>
      <c r="Q355" s="12">
        <v>49</v>
      </c>
      <c r="R355" s="12">
        <v>47</v>
      </c>
    </row>
    <row r="356" spans="1:18" ht="17" customHeight="1" x14ac:dyDescent="0.15">
      <c r="A356" s="8" t="s">
        <v>1885</v>
      </c>
      <c r="B356" s="9" t="s">
        <v>1886</v>
      </c>
      <c r="C356" s="8" t="s">
        <v>1887</v>
      </c>
      <c r="D356" s="8" t="s">
        <v>1887</v>
      </c>
      <c r="E356" s="8" t="s">
        <v>1888</v>
      </c>
      <c r="F356" s="8" t="s">
        <v>1889</v>
      </c>
      <c r="G356" s="8" t="s">
        <v>1890</v>
      </c>
      <c r="H356" s="8" t="s">
        <v>1891</v>
      </c>
      <c r="I356" s="8" t="str">
        <f>HYPERLINK("http://blufin.it/","blufin.it")</f>
        <v>blufin.it</v>
      </c>
      <c r="J356" s="10">
        <v>22039.737000000001</v>
      </c>
      <c r="K356" s="10">
        <v>22039.737000000001</v>
      </c>
      <c r="L356" s="10">
        <v>20744.817999999999</v>
      </c>
      <c r="M356" s="10">
        <v>119.083</v>
      </c>
      <c r="N356" s="10">
        <v>119.083</v>
      </c>
      <c r="O356" s="10">
        <v>208.76599999999999</v>
      </c>
      <c r="P356" s="10">
        <v>80</v>
      </c>
      <c r="Q356" s="10">
        <v>80</v>
      </c>
      <c r="R356" s="10">
        <v>75</v>
      </c>
    </row>
    <row r="357" spans="1:18" ht="17" customHeight="1" x14ac:dyDescent="0.15">
      <c r="A357" s="11" t="s">
        <v>1892</v>
      </c>
      <c r="B357" s="1" t="s">
        <v>1893</v>
      </c>
      <c r="C357" s="11" t="s">
        <v>1894</v>
      </c>
      <c r="D357" s="11" t="s">
        <v>1894</v>
      </c>
      <c r="E357" s="11" t="s">
        <v>1895</v>
      </c>
      <c r="F357" s="11" t="s">
        <v>1884</v>
      </c>
      <c r="G357" s="11" t="s">
        <v>1872</v>
      </c>
      <c r="H357" s="11" t="s">
        <v>1873</v>
      </c>
      <c r="I357" s="11" t="str">
        <f>HYPERLINK("http://www.vicenzapelli.com/","http://www.vicenzapelli.com")</f>
        <v>http://www.vicenzapelli.com</v>
      </c>
      <c r="J357" s="12">
        <v>15381.366</v>
      </c>
      <c r="K357" s="12">
        <v>15381.366</v>
      </c>
      <c r="L357" s="13">
        <v>20668.724999999999</v>
      </c>
      <c r="M357" s="12">
        <v>1046.8679999999999</v>
      </c>
      <c r="N357" s="12">
        <v>1046.8679999999999</v>
      </c>
      <c r="O357" s="12">
        <v>923.58500000000004</v>
      </c>
      <c r="P357" s="12">
        <v>37</v>
      </c>
      <c r="Q357" s="12">
        <v>37</v>
      </c>
      <c r="R357" s="12">
        <v>34</v>
      </c>
    </row>
    <row r="358" spans="1:18" ht="17" customHeight="1" x14ac:dyDescent="0.15">
      <c r="A358" s="8" t="s">
        <v>1896</v>
      </c>
      <c r="B358" s="9" t="s">
        <v>1897</v>
      </c>
      <c r="C358" s="8" t="s">
        <v>1898</v>
      </c>
      <c r="D358" s="8" t="s">
        <v>1898</v>
      </c>
      <c r="E358" s="8" t="s">
        <v>1899</v>
      </c>
      <c r="F358" s="8" t="s">
        <v>1900</v>
      </c>
      <c r="G358" s="8" t="s">
        <v>1901</v>
      </c>
      <c r="H358" s="8" t="s">
        <v>1902</v>
      </c>
      <c r="I358" s="8" t="str">
        <f>HYPERLINK("http://www.gizetacalze.com/","www.gizetacalze.com")</f>
        <v>www.gizetacalze.com</v>
      </c>
      <c r="J358" s="10">
        <v>22227.792000000001</v>
      </c>
      <c r="K358" s="10">
        <v>22227.792000000001</v>
      </c>
      <c r="L358" s="10">
        <v>20482.174999999999</v>
      </c>
      <c r="M358" s="10">
        <v>-179.48</v>
      </c>
      <c r="N358" s="10">
        <v>-179.48</v>
      </c>
      <c r="O358" s="10">
        <v>179.88499999999999</v>
      </c>
      <c r="P358" s="10">
        <v>90</v>
      </c>
      <c r="Q358" s="10">
        <v>90</v>
      </c>
      <c r="R358" s="10">
        <v>89</v>
      </c>
    </row>
    <row r="359" spans="1:18" ht="17" customHeight="1" x14ac:dyDescent="0.15">
      <c r="A359" s="11" t="s">
        <v>1903</v>
      </c>
      <c r="B359" s="1" t="s">
        <v>1904</v>
      </c>
      <c r="C359" s="11" t="s">
        <v>1905</v>
      </c>
      <c r="D359" s="11" t="s">
        <v>1905</v>
      </c>
      <c r="E359" s="11" t="s">
        <v>1906</v>
      </c>
      <c r="F359" s="11" t="s">
        <v>1878</v>
      </c>
      <c r="G359" s="11" t="s">
        <v>1890</v>
      </c>
      <c r="H359" s="11" t="s">
        <v>1891</v>
      </c>
      <c r="I359" s="11" t="str">
        <f>HYPERLINK("http://www.lormar.it/","www.lormar.it")</f>
        <v>www.lormar.it</v>
      </c>
      <c r="J359" s="12">
        <v>19455.221000000001</v>
      </c>
      <c r="K359" s="12">
        <v>19455.221000000001</v>
      </c>
      <c r="L359" s="13">
        <v>20482.181</v>
      </c>
      <c r="M359" s="12">
        <v>1226.2380000000001</v>
      </c>
      <c r="N359" s="12">
        <v>1226.2380000000001</v>
      </c>
      <c r="O359" s="12">
        <v>399.35300000000001</v>
      </c>
      <c r="P359" s="12">
        <v>42</v>
      </c>
      <c r="Q359" s="12">
        <v>42</v>
      </c>
      <c r="R359" s="12">
        <v>44</v>
      </c>
    </row>
    <row r="360" spans="1:18" ht="17" customHeight="1" x14ac:dyDescent="0.15">
      <c r="A360" s="8" t="s">
        <v>1907</v>
      </c>
      <c r="B360" s="9" t="s">
        <v>1908</v>
      </c>
      <c r="C360" s="8" t="s">
        <v>1909</v>
      </c>
      <c r="D360" s="8" t="s">
        <v>1909</v>
      </c>
      <c r="E360" s="8" t="s">
        <v>1910</v>
      </c>
      <c r="F360" s="8" t="s">
        <v>1884</v>
      </c>
      <c r="G360" s="8" t="s">
        <v>1911</v>
      </c>
      <c r="H360" s="8" t="s">
        <v>1912</v>
      </c>
      <c r="I360" s="8" t="str">
        <f>HYPERLINK("http://www.albagroup.it/","www.albagroup.it")</f>
        <v>www.albagroup.it</v>
      </c>
      <c r="J360" s="10">
        <v>15191.681</v>
      </c>
      <c r="K360" s="10">
        <v>15191.681</v>
      </c>
      <c r="L360" s="10">
        <v>20453.68</v>
      </c>
      <c r="M360" s="10">
        <v>-2493.3470000000002</v>
      </c>
      <c r="N360" s="10">
        <v>-2493.3470000000002</v>
      </c>
      <c r="O360" s="10">
        <v>423.88099999999997</v>
      </c>
      <c r="P360" s="10">
        <v>37</v>
      </c>
      <c r="Q360" s="10">
        <v>37</v>
      </c>
      <c r="R360" s="10">
        <v>39</v>
      </c>
    </row>
    <row r="361" spans="1:18" ht="17" customHeight="1" x14ac:dyDescent="0.15">
      <c r="A361" s="11" t="s">
        <v>1913</v>
      </c>
      <c r="B361" s="1" t="s">
        <v>1914</v>
      </c>
      <c r="C361" s="11" t="s">
        <v>1915</v>
      </c>
      <c r="D361" s="11" t="s">
        <v>1915</v>
      </c>
      <c r="E361" s="11" t="s">
        <v>1916</v>
      </c>
      <c r="F361" s="11" t="s">
        <v>1917</v>
      </c>
      <c r="G361" s="11" t="s">
        <v>1918</v>
      </c>
      <c r="H361" s="11" t="s">
        <v>1902</v>
      </c>
      <c r="I361" s="11" t="str">
        <f>HYPERLINK("http://www.hermes.com/","www.hermes.com")</f>
        <v>www.hermes.com</v>
      </c>
      <c r="J361" s="12">
        <v>29475.146000000001</v>
      </c>
      <c r="K361" s="12">
        <v>29475.146000000001</v>
      </c>
      <c r="L361" s="13">
        <v>20420.388999999999</v>
      </c>
      <c r="M361" s="12">
        <v>649.96199999999999</v>
      </c>
      <c r="N361" s="12">
        <v>649.96199999999999</v>
      </c>
      <c r="O361" s="12">
        <v>-179.13200000000001</v>
      </c>
      <c r="P361" s="12">
        <v>123</v>
      </c>
      <c r="Q361" s="12">
        <v>123</v>
      </c>
      <c r="R361" s="12">
        <v>91</v>
      </c>
    </row>
    <row r="362" spans="1:18" ht="17" customHeight="1" x14ac:dyDescent="0.15">
      <c r="A362" s="8" t="s">
        <v>1919</v>
      </c>
      <c r="B362" s="9" t="s">
        <v>1920</v>
      </c>
      <c r="C362" s="8" t="s">
        <v>1921</v>
      </c>
      <c r="D362" s="8" t="s">
        <v>1921</v>
      </c>
      <c r="E362" s="8" t="s">
        <v>1922</v>
      </c>
      <c r="F362" s="8" t="s">
        <v>1884</v>
      </c>
      <c r="G362" s="8" t="s">
        <v>1872</v>
      </c>
      <c r="H362" s="8" t="s">
        <v>1873</v>
      </c>
      <c r="I362" s="8" t="str">
        <f>HYPERLINK("http://www.fonpelli.it/","www.fonpelli.it")</f>
        <v>www.fonpelli.it</v>
      </c>
      <c r="J362" s="10">
        <v>14752.618</v>
      </c>
      <c r="K362" s="10">
        <v>14752.618</v>
      </c>
      <c r="L362" s="10">
        <v>20316.383999999998</v>
      </c>
      <c r="M362" s="10">
        <v>-1670.3030000000001</v>
      </c>
      <c r="N362" s="10">
        <v>-1670.3030000000001</v>
      </c>
      <c r="O362" s="10">
        <v>-273.05700000000002</v>
      </c>
      <c r="P362" s="10">
        <v>38</v>
      </c>
      <c r="Q362" s="10">
        <v>38</v>
      </c>
      <c r="R362" s="10">
        <v>41</v>
      </c>
    </row>
    <row r="363" spans="1:18" ht="17" customHeight="1" x14ac:dyDescent="0.15">
      <c r="A363" s="11" t="s">
        <v>1923</v>
      </c>
      <c r="B363" s="1" t="s">
        <v>1924</v>
      </c>
      <c r="C363" s="11" t="s">
        <v>1925</v>
      </c>
      <c r="D363" s="11" t="s">
        <v>1926</v>
      </c>
      <c r="E363" s="11" t="s">
        <v>1927</v>
      </c>
      <c r="F363" s="11" t="s">
        <v>1917</v>
      </c>
      <c r="G363" s="11" t="s">
        <v>1928</v>
      </c>
      <c r="H363" s="11" t="s">
        <v>1929</v>
      </c>
      <c r="I363" s="11" t="str">
        <f>HYPERLINK("http://www.demacalzature.it/","www.demacalzature.it")</f>
        <v>www.demacalzature.it</v>
      </c>
      <c r="J363" s="12">
        <v>17729.041000000001</v>
      </c>
      <c r="K363" s="12">
        <v>17729.041000000001</v>
      </c>
      <c r="L363" s="13">
        <v>20246.484</v>
      </c>
      <c r="M363" s="12">
        <v>2599.5439999999999</v>
      </c>
      <c r="N363" s="12">
        <v>2599.5439999999999</v>
      </c>
      <c r="O363" s="12">
        <v>2494.7600000000002</v>
      </c>
      <c r="P363" s="12">
        <v>91</v>
      </c>
      <c r="Q363" s="12">
        <v>91</v>
      </c>
      <c r="R363" s="12">
        <v>92</v>
      </c>
    </row>
    <row r="364" spans="1:18" ht="17" customHeight="1" x14ac:dyDescent="0.15">
      <c r="A364" s="8" t="s">
        <v>1930</v>
      </c>
      <c r="B364" s="9" t="s">
        <v>1931</v>
      </c>
      <c r="C364" s="8" t="s">
        <v>1932</v>
      </c>
      <c r="D364" s="8" t="s">
        <v>1932</v>
      </c>
      <c r="E364" s="8" t="s">
        <v>1933</v>
      </c>
      <c r="F364" s="8" t="s">
        <v>1917</v>
      </c>
      <c r="G364" s="8" t="s">
        <v>1934</v>
      </c>
      <c r="H364" s="8" t="s">
        <v>1935</v>
      </c>
      <c r="I364" s="8" t="str">
        <f>HYPERLINK("http://www.calzaturificiolesfemmes.com/","www.calzaturificiolesfemmes.com")</f>
        <v>www.calzaturificiolesfemmes.com</v>
      </c>
      <c r="J364" s="10">
        <v>26206.757000000001</v>
      </c>
      <c r="K364" s="10">
        <v>26206.757000000001</v>
      </c>
      <c r="L364" s="10">
        <v>20096.275000000001</v>
      </c>
      <c r="M364" s="10">
        <v>806.673</v>
      </c>
      <c r="N364" s="10">
        <v>806.673</v>
      </c>
      <c r="O364" s="10">
        <v>695.22</v>
      </c>
      <c r="P364" s="10">
        <v>79</v>
      </c>
      <c r="Q364" s="10">
        <v>79</v>
      </c>
      <c r="R364" s="10">
        <v>73</v>
      </c>
    </row>
    <row r="365" spans="1:18" ht="29.5" customHeight="1" x14ac:dyDescent="0.15">
      <c r="A365" s="11" t="s">
        <v>1936</v>
      </c>
      <c r="B365" s="1" t="s">
        <v>1937</v>
      </c>
      <c r="C365" s="11" t="s">
        <v>1938</v>
      </c>
      <c r="D365" s="11" t="s">
        <v>1938</v>
      </c>
      <c r="E365" s="11" t="s">
        <v>1939</v>
      </c>
      <c r="F365" s="11" t="s">
        <v>1884</v>
      </c>
      <c r="G365" s="11" t="s">
        <v>1940</v>
      </c>
      <c r="H365" s="11" t="s">
        <v>1929</v>
      </c>
      <c r="I365" s="11" t="str">
        <f>HYPERLINK("http://www.conceriaderma.it/","http://www.conceriaderma.it")</f>
        <v>http://www.conceriaderma.it</v>
      </c>
      <c r="J365" s="12">
        <v>16227.6</v>
      </c>
      <c r="K365" s="12">
        <v>16227.6</v>
      </c>
      <c r="L365" s="13">
        <v>20048.097000000002</v>
      </c>
      <c r="M365" s="12">
        <v>104.72</v>
      </c>
      <c r="N365" s="12">
        <v>104.72</v>
      </c>
      <c r="O365" s="12">
        <v>-604.66600000000005</v>
      </c>
      <c r="P365" s="12">
        <v>63</v>
      </c>
      <c r="Q365" s="12">
        <v>63</v>
      </c>
      <c r="R365" s="12">
        <v>66</v>
      </c>
    </row>
    <row r="366" spans="1:18" ht="17" customHeight="1" x14ac:dyDescent="0.15">
      <c r="A366" s="8" t="s">
        <v>1941</v>
      </c>
      <c r="B366" s="9" t="s">
        <v>1942</v>
      </c>
      <c r="C366" s="8" t="s">
        <v>1943</v>
      </c>
      <c r="D366" s="8" t="s">
        <v>1943</v>
      </c>
      <c r="E366" s="8" t="s">
        <v>1944</v>
      </c>
      <c r="F366" s="8" t="s">
        <v>1884</v>
      </c>
      <c r="G366" s="8" t="s">
        <v>1872</v>
      </c>
      <c r="H366" s="8" t="s">
        <v>1873</v>
      </c>
      <c r="I366" s="8" t="str">
        <f>HYPERLINK("http://www.conceriazonta.com/","http://www.conceriazonta.com")</f>
        <v>http://www.conceriazonta.com</v>
      </c>
      <c r="J366" s="10">
        <v>18015.772000000001</v>
      </c>
      <c r="K366" s="10">
        <v>18015.772000000001</v>
      </c>
      <c r="L366" s="10">
        <v>20029.366999999998</v>
      </c>
      <c r="M366" s="10">
        <v>-909.91099999999994</v>
      </c>
      <c r="N366" s="10">
        <v>-909.91099999999994</v>
      </c>
      <c r="O366" s="10">
        <v>1177.6969999999999</v>
      </c>
      <c r="P366" s="10">
        <v>81</v>
      </c>
      <c r="Q366" s="10">
        <v>81</v>
      </c>
      <c r="R366" s="10">
        <v>72</v>
      </c>
    </row>
    <row r="367" spans="1:18" ht="17" customHeight="1" x14ac:dyDescent="0.15">
      <c r="A367" s="11" t="s">
        <v>1945</v>
      </c>
      <c r="B367" s="1" t="s">
        <v>1946</v>
      </c>
      <c r="C367" s="11" t="s">
        <v>1947</v>
      </c>
      <c r="D367" s="11" t="s">
        <v>1947</v>
      </c>
      <c r="E367" s="11" t="s">
        <v>1948</v>
      </c>
      <c r="F367" s="11" t="s">
        <v>1884</v>
      </c>
      <c r="G367" s="11" t="s">
        <v>1949</v>
      </c>
      <c r="H367" s="11" t="s">
        <v>1912</v>
      </c>
      <c r="I367" s="11" t="str">
        <f>HYPERLINK("http://www.conceriaopera.it/","www.conceriaopera.it")</f>
        <v>www.conceriaopera.it</v>
      </c>
      <c r="J367" s="12">
        <v>21157.855</v>
      </c>
      <c r="K367" s="12">
        <v>21157.855</v>
      </c>
      <c r="L367" s="13">
        <v>19992.762999999999</v>
      </c>
      <c r="M367" s="12">
        <v>1005.7140000000001</v>
      </c>
      <c r="N367" s="12">
        <v>1005.7140000000001</v>
      </c>
      <c r="O367" s="12">
        <v>77.63</v>
      </c>
      <c r="P367" s="12">
        <v>38</v>
      </c>
      <c r="Q367" s="12">
        <v>38</v>
      </c>
      <c r="R367" s="12">
        <v>35</v>
      </c>
    </row>
    <row r="368" spans="1:18" ht="17" customHeight="1" x14ac:dyDescent="0.15">
      <c r="A368" s="8" t="s">
        <v>1950</v>
      </c>
      <c r="B368" s="9" t="s">
        <v>1951</v>
      </c>
      <c r="C368" s="8" t="s">
        <v>1952</v>
      </c>
      <c r="D368" s="8" t="s">
        <v>1952</v>
      </c>
      <c r="E368" s="8" t="s">
        <v>1953</v>
      </c>
      <c r="F368" s="8" t="s">
        <v>1954</v>
      </c>
      <c r="G368" s="8" t="s">
        <v>1955</v>
      </c>
      <c r="H368" s="8" t="s">
        <v>1956</v>
      </c>
      <c r="I368" s="8" t="str">
        <f>HYPERLINK("http://www.circolo1901.it/","http://www.circolo1901.it/")</f>
        <v>http://www.circolo1901.it/</v>
      </c>
      <c r="J368" s="10">
        <v>24000.803</v>
      </c>
      <c r="K368" s="10">
        <v>24000.803</v>
      </c>
      <c r="L368" s="10">
        <v>19983.125</v>
      </c>
      <c r="M368" s="10">
        <v>1885.298</v>
      </c>
      <c r="N368" s="10">
        <v>1885.298</v>
      </c>
      <c r="O368" s="10">
        <v>1504.15</v>
      </c>
      <c r="P368" s="10">
        <v>26</v>
      </c>
      <c r="Q368" s="10">
        <v>26</v>
      </c>
      <c r="R368" s="10">
        <v>24</v>
      </c>
    </row>
    <row r="369" spans="1:18" ht="17" customHeight="1" x14ac:dyDescent="0.15">
      <c r="A369" s="11" t="s">
        <v>1957</v>
      </c>
      <c r="B369" s="1" t="s">
        <v>1958</v>
      </c>
      <c r="C369" s="11" t="s">
        <v>1959</v>
      </c>
      <c r="D369" s="11" t="s">
        <v>1959</v>
      </c>
      <c r="E369" s="11" t="s">
        <v>1960</v>
      </c>
      <c r="F369" s="11" t="s">
        <v>1884</v>
      </c>
      <c r="G369" s="11" t="s">
        <v>1918</v>
      </c>
      <c r="H369" s="11" t="s">
        <v>1902</v>
      </c>
      <c r="I369" s="11" t="str">
        <f>HYPERLINK("http://www.bbminternational.it/","www.bbminternational.it")</f>
        <v>www.bbminternational.it</v>
      </c>
      <c r="J369" s="12">
        <v>11091.852999999999</v>
      </c>
      <c r="K369" s="12">
        <v>11091.852999999999</v>
      </c>
      <c r="L369" s="13">
        <v>19947.580000000002</v>
      </c>
      <c r="M369" s="12">
        <v>825.70100000000002</v>
      </c>
      <c r="N369" s="12">
        <v>825.70100000000002</v>
      </c>
      <c r="O369" s="12">
        <v>1541.029</v>
      </c>
      <c r="P369" s="12">
        <v>6</v>
      </c>
      <c r="Q369" s="12">
        <v>6</v>
      </c>
      <c r="R369" s="12">
        <v>6</v>
      </c>
    </row>
    <row r="370" spans="1:18" ht="17" customHeight="1" x14ac:dyDescent="0.15">
      <c r="A370" s="8" t="s">
        <v>1961</v>
      </c>
      <c r="B370" s="9" t="s">
        <v>1962</v>
      </c>
      <c r="C370" s="8" t="s">
        <v>1963</v>
      </c>
      <c r="D370" s="8" t="s">
        <v>1963</v>
      </c>
      <c r="E370" s="8" t="s">
        <v>1964</v>
      </c>
      <c r="F370" s="8" t="s">
        <v>1889</v>
      </c>
      <c r="G370" s="8" t="s">
        <v>1918</v>
      </c>
      <c r="H370" s="8" t="s">
        <v>1902</v>
      </c>
      <c r="I370" s="8" t="str">
        <f>HYPERLINK("http://borgini.it/","borgini.it")</f>
        <v>borgini.it</v>
      </c>
      <c r="J370" s="10">
        <v>12533.402</v>
      </c>
      <c r="K370" s="10">
        <v>12533.402</v>
      </c>
      <c r="L370" s="10">
        <v>19923.142</v>
      </c>
      <c r="M370" s="10">
        <v>-58.945999999999998</v>
      </c>
      <c r="N370" s="10">
        <v>-58.945999999999998</v>
      </c>
      <c r="O370" s="10">
        <v>973.72199999999998</v>
      </c>
      <c r="P370" s="10">
        <v>55</v>
      </c>
      <c r="Q370" s="10">
        <v>55</v>
      </c>
      <c r="R370" s="10">
        <v>55</v>
      </c>
    </row>
    <row r="371" spans="1:18" ht="17" customHeight="1" x14ac:dyDescent="0.15">
      <c r="A371" s="11" t="s">
        <v>1965</v>
      </c>
      <c r="B371" s="1" t="s">
        <v>1966</v>
      </c>
      <c r="C371" s="11" t="s">
        <v>1967</v>
      </c>
      <c r="D371" s="11" t="s">
        <v>1967</v>
      </c>
      <c r="E371" s="11" t="s">
        <v>1968</v>
      </c>
      <c r="F371" s="11" t="s">
        <v>1969</v>
      </c>
      <c r="G371" s="11" t="s">
        <v>1970</v>
      </c>
      <c r="H371" s="11" t="s">
        <v>1902</v>
      </c>
      <c r="I371" s="11" t="str">
        <f>HYPERLINK("http://www.lemie.it/","www.lemie.it")</f>
        <v>www.lemie.it</v>
      </c>
      <c r="J371" s="12">
        <v>15186.668</v>
      </c>
      <c r="K371" s="12">
        <v>15186.668</v>
      </c>
      <c r="L371" s="13">
        <v>19897.412</v>
      </c>
      <c r="M371" s="12">
        <v>312.56799999999998</v>
      </c>
      <c r="N371" s="12">
        <v>312.56799999999998</v>
      </c>
      <c r="O371" s="12">
        <v>810.28700000000003</v>
      </c>
      <c r="P371" s="12">
        <v>97</v>
      </c>
      <c r="Q371" s="12">
        <v>97</v>
      </c>
      <c r="R371" s="12">
        <v>99</v>
      </c>
    </row>
    <row r="372" spans="1:18" ht="17" customHeight="1" x14ac:dyDescent="0.15">
      <c r="A372" s="8" t="s">
        <v>1971</v>
      </c>
      <c r="B372" s="9" t="s">
        <v>1972</v>
      </c>
      <c r="C372" s="8" t="s">
        <v>1973</v>
      </c>
      <c r="D372" s="8" t="s">
        <v>1973</v>
      </c>
      <c r="E372" s="8" t="s">
        <v>1974</v>
      </c>
      <c r="F372" s="8" t="s">
        <v>1871</v>
      </c>
      <c r="G372" s="8" t="s">
        <v>1955</v>
      </c>
      <c r="H372" s="8" t="s">
        <v>1956</v>
      </c>
      <c r="I372" s="8" t="str">
        <f>HYPERLINK("http://www.modaeffe.it/","http://www.modaeffe.it")</f>
        <v>http://www.modaeffe.it</v>
      </c>
      <c r="J372" s="10">
        <v>15268.892</v>
      </c>
      <c r="K372" s="10">
        <v>15268.892</v>
      </c>
      <c r="L372" s="10">
        <v>19879.949000000001</v>
      </c>
      <c r="M372" s="10">
        <v>1511.7819999999999</v>
      </c>
      <c r="N372" s="10">
        <v>1511.7819999999999</v>
      </c>
      <c r="O372" s="10">
        <v>2061.9520000000002</v>
      </c>
      <c r="P372" s="10">
        <v>42</v>
      </c>
      <c r="Q372" s="10">
        <v>42</v>
      </c>
      <c r="R372" s="10">
        <v>38</v>
      </c>
    </row>
    <row r="373" spans="1:18" ht="17" customHeight="1" x14ac:dyDescent="0.15">
      <c r="A373" s="11" t="s">
        <v>1975</v>
      </c>
      <c r="B373" s="1" t="s">
        <v>1976</v>
      </c>
      <c r="C373" s="11" t="s">
        <v>1977</v>
      </c>
      <c r="D373" s="11" t="s">
        <v>1977</v>
      </c>
      <c r="E373" s="11" t="s">
        <v>1978</v>
      </c>
      <c r="F373" s="11" t="s">
        <v>1979</v>
      </c>
      <c r="G373" s="11" t="s">
        <v>1980</v>
      </c>
      <c r="H373" s="11" t="s">
        <v>1981</v>
      </c>
      <c r="I373" s="11" t="str">
        <f>HYPERLINK("http://www.borsalino.com/","www.borsalino.com")</f>
        <v>www.borsalino.com</v>
      </c>
      <c r="J373" s="12">
        <v>23034.498</v>
      </c>
      <c r="K373" s="12">
        <v>23034.498</v>
      </c>
      <c r="L373" s="13">
        <v>19850.045999999998</v>
      </c>
      <c r="M373" s="12">
        <v>-1730.884</v>
      </c>
      <c r="N373" s="12">
        <v>-1730.884</v>
      </c>
      <c r="O373" s="12">
        <v>-709.14</v>
      </c>
      <c r="P373" s="12">
        <v>166</v>
      </c>
      <c r="Q373" s="12">
        <v>166</v>
      </c>
      <c r="R373" s="12">
        <v>152</v>
      </c>
    </row>
    <row r="374" spans="1:18" ht="17" customHeight="1" x14ac:dyDescent="0.15">
      <c r="A374" s="8" t="s">
        <v>1982</v>
      </c>
      <c r="B374" s="9" t="s">
        <v>1983</v>
      </c>
      <c r="C374" s="8" t="s">
        <v>1984</v>
      </c>
      <c r="D374" s="8" t="s">
        <v>1984</v>
      </c>
      <c r="E374" s="8" t="s">
        <v>1985</v>
      </c>
      <c r="F374" s="8" t="s">
        <v>1986</v>
      </c>
      <c r="G374" s="8" t="s">
        <v>1934</v>
      </c>
      <c r="H374" s="8" t="s">
        <v>1935</v>
      </c>
      <c r="I374" s="8" t="str">
        <f>HYPERLINK("http://dami.it/","dami.it")</f>
        <v>dami.it</v>
      </c>
      <c r="J374" s="10">
        <v>16932.600999999999</v>
      </c>
      <c r="K374" s="10">
        <v>16932.600999999999</v>
      </c>
      <c r="L374" s="10">
        <v>19833.834999999999</v>
      </c>
      <c r="M374" s="10">
        <v>458.71600000000001</v>
      </c>
      <c r="N374" s="10">
        <v>458.71600000000001</v>
      </c>
      <c r="O374" s="10">
        <v>380.79500000000002</v>
      </c>
      <c r="P374" s="10">
        <v>64</v>
      </c>
      <c r="Q374" s="10">
        <v>64</v>
      </c>
      <c r="R374" s="10">
        <v>62</v>
      </c>
    </row>
    <row r="375" spans="1:18" ht="17" customHeight="1" x14ac:dyDescent="0.15">
      <c r="A375" s="11" t="s">
        <v>1987</v>
      </c>
      <c r="B375" s="1" t="s">
        <v>1988</v>
      </c>
      <c r="C375" s="11" t="s">
        <v>1989</v>
      </c>
      <c r="D375" s="11" t="s">
        <v>1989</v>
      </c>
      <c r="E375" s="11" t="s">
        <v>1990</v>
      </c>
      <c r="F375" s="11" t="s">
        <v>1991</v>
      </c>
      <c r="G375" s="11" t="s">
        <v>1992</v>
      </c>
      <c r="H375" s="11" t="s">
        <v>1956</v>
      </c>
      <c r="I375" s="11" t="str">
        <f>HYPERLINK("http://www.pandasafety.com/","www.pandasafety.com")</f>
        <v>www.pandasafety.com</v>
      </c>
      <c r="J375" s="12">
        <v>19699.268</v>
      </c>
      <c r="K375" s="12">
        <v>19699.268</v>
      </c>
      <c r="L375" s="13">
        <v>19832.213</v>
      </c>
      <c r="M375" s="12">
        <v>1242.434</v>
      </c>
      <c r="N375" s="12">
        <v>1242.434</v>
      </c>
      <c r="O375" s="12">
        <v>433.31</v>
      </c>
      <c r="P375" s="12">
        <v>66</v>
      </c>
      <c r="Q375" s="12">
        <v>66</v>
      </c>
      <c r="R375" s="12">
        <v>64</v>
      </c>
    </row>
    <row r="376" spans="1:18" ht="17" customHeight="1" x14ac:dyDescent="0.15">
      <c r="A376" s="8" t="s">
        <v>1993</v>
      </c>
      <c r="B376" s="9" t="s">
        <v>1994</v>
      </c>
      <c r="C376" s="8" t="s">
        <v>1995</v>
      </c>
      <c r="D376" s="8" t="s">
        <v>1996</v>
      </c>
      <c r="E376" s="8" t="s">
        <v>1997</v>
      </c>
      <c r="F376" s="8" t="s">
        <v>1998</v>
      </c>
      <c r="G376" s="8" t="s">
        <v>1918</v>
      </c>
      <c r="H376" s="8" t="s">
        <v>1902</v>
      </c>
      <c r="I376" s="8" t="str">
        <f>HYPERLINK("http://www.indutexspa.com/","www.indutexspa.com")</f>
        <v>www.indutexspa.com</v>
      </c>
      <c r="J376" s="10">
        <v>19889.276000000002</v>
      </c>
      <c r="K376" s="10">
        <v>19889.276000000002</v>
      </c>
      <c r="L376" s="10">
        <v>19793.317999999999</v>
      </c>
      <c r="M376" s="10">
        <v>663.83500000000004</v>
      </c>
      <c r="N376" s="10">
        <v>663.83500000000004</v>
      </c>
      <c r="O376" s="10">
        <v>666.99300000000005</v>
      </c>
      <c r="P376" s="10">
        <v>31</v>
      </c>
      <c r="Q376" s="10">
        <v>31</v>
      </c>
      <c r="R376" s="10">
        <v>30</v>
      </c>
    </row>
    <row r="377" spans="1:18" ht="29.5" customHeight="1" x14ac:dyDescent="0.15">
      <c r="A377" s="11" t="s">
        <v>1999</v>
      </c>
      <c r="B377" s="1" t="s">
        <v>2000</v>
      </c>
      <c r="C377" s="11" t="s">
        <v>2001</v>
      </c>
      <c r="D377" s="11" t="s">
        <v>2002</v>
      </c>
      <c r="E377" s="11" t="s">
        <v>2003</v>
      </c>
      <c r="F377" s="11" t="s">
        <v>1917</v>
      </c>
      <c r="G377" s="11" t="s">
        <v>2004</v>
      </c>
      <c r="H377" s="11" t="s">
        <v>1902</v>
      </c>
      <c r="I377" s="11" t="str">
        <f>HYPERLINK("http://www.patriziashoes.com/","www.patriziashoes.com")</f>
        <v>www.patriziashoes.com</v>
      </c>
      <c r="J377" s="12">
        <v>16534.057000000001</v>
      </c>
      <c r="K377" s="12">
        <v>16534.057000000001</v>
      </c>
      <c r="L377" s="13">
        <v>19717.300999999999</v>
      </c>
      <c r="M377" s="12">
        <v>123.45699999999999</v>
      </c>
      <c r="N377" s="12">
        <v>123.45699999999999</v>
      </c>
      <c r="O377" s="12">
        <v>353.21100000000001</v>
      </c>
      <c r="P377" s="12">
        <v>54</v>
      </c>
      <c r="Q377" s="12">
        <v>54</v>
      </c>
      <c r="R377" s="12">
        <v>55</v>
      </c>
    </row>
    <row r="378" spans="1:18" ht="17" customHeight="1" x14ac:dyDescent="0.15">
      <c r="A378" s="8" t="s">
        <v>2005</v>
      </c>
      <c r="B378" s="9" t="s">
        <v>2006</v>
      </c>
      <c r="C378" s="8" t="s">
        <v>2007</v>
      </c>
      <c r="D378" s="8" t="s">
        <v>2007</v>
      </c>
      <c r="E378" s="8" t="s">
        <v>2008</v>
      </c>
      <c r="F378" s="8" t="s">
        <v>1871</v>
      </c>
      <c r="G378" s="8" t="s">
        <v>1890</v>
      </c>
      <c r="H378" s="8" t="s">
        <v>1891</v>
      </c>
      <c r="I378" s="8" t="str">
        <f>HYPERLINK("http://www.aniyeby.com/","www.aniyeby.com")</f>
        <v>www.aniyeby.com</v>
      </c>
      <c r="J378" s="10">
        <v>14892.62</v>
      </c>
      <c r="K378" s="10">
        <v>14892.62</v>
      </c>
      <c r="L378" s="10">
        <v>19657.685000000001</v>
      </c>
      <c r="M378" s="10">
        <v>-332.37200000000001</v>
      </c>
      <c r="N378" s="10">
        <v>-332.37200000000001</v>
      </c>
      <c r="O378" s="10">
        <v>1996.056</v>
      </c>
      <c r="P378" s="10">
        <v>53</v>
      </c>
      <c r="Q378" s="10">
        <v>53</v>
      </c>
      <c r="R378" s="10">
        <v>50</v>
      </c>
    </row>
    <row r="379" spans="1:18" ht="29.5" customHeight="1" x14ac:dyDescent="0.15">
      <c r="A379" s="11" t="s">
        <v>2009</v>
      </c>
      <c r="B379" s="1" t="s">
        <v>2010</v>
      </c>
      <c r="C379" s="11" t="s">
        <v>2011</v>
      </c>
      <c r="D379" s="11" t="s">
        <v>2011</v>
      </c>
      <c r="E379" s="11" t="s">
        <v>2012</v>
      </c>
      <c r="F379" s="11" t="s">
        <v>1917</v>
      </c>
      <c r="G379" s="11" t="s">
        <v>1872</v>
      </c>
      <c r="H379" s="11" t="s">
        <v>1873</v>
      </c>
      <c r="I379" s="11" t="str">
        <f>HYPERLINK("http://eu.zamberlan.com/","eu.zamberlan.com")</f>
        <v>eu.zamberlan.com</v>
      </c>
      <c r="J379" s="12">
        <v>13931.361999999999</v>
      </c>
      <c r="K379" s="12">
        <v>13931.361999999999</v>
      </c>
      <c r="L379" s="13">
        <v>19621.876</v>
      </c>
      <c r="M379" s="12">
        <v>-1242.7940000000001</v>
      </c>
      <c r="N379" s="12">
        <v>-1242.7940000000001</v>
      </c>
      <c r="O379" s="12">
        <v>560.71600000000001</v>
      </c>
      <c r="P379" s="12">
        <v>77</v>
      </c>
      <c r="Q379" s="12">
        <v>77</v>
      </c>
      <c r="R379" s="12">
        <v>83</v>
      </c>
    </row>
    <row r="380" spans="1:18" ht="17" customHeight="1" x14ac:dyDescent="0.15">
      <c r="A380" s="8" t="s">
        <v>2013</v>
      </c>
      <c r="B380" s="9" t="s">
        <v>2014</v>
      </c>
      <c r="C380" s="8" t="s">
        <v>2015</v>
      </c>
      <c r="D380" s="8" t="s">
        <v>2015</v>
      </c>
      <c r="E380" s="8" t="s">
        <v>2016</v>
      </c>
      <c r="F380" s="8" t="s">
        <v>1954</v>
      </c>
      <c r="G380" s="8" t="s">
        <v>1918</v>
      </c>
      <c r="H380" s="8" t="s">
        <v>1902</v>
      </c>
      <c r="I380" s="8" t="str">
        <f>HYPERLINK("http://cavalleriatoscana.com/","cavalleriatoscana.com")</f>
        <v>cavalleriatoscana.com</v>
      </c>
      <c r="J380" s="10">
        <v>17059.052</v>
      </c>
      <c r="K380" s="10">
        <v>17059.052</v>
      </c>
      <c r="L380" s="10">
        <v>19469.777999999998</v>
      </c>
      <c r="M380" s="10">
        <v>13.058999999999999</v>
      </c>
      <c r="N380" s="10">
        <v>13.058999999999999</v>
      </c>
      <c r="O380" s="10">
        <v>-87.257999999999996</v>
      </c>
      <c r="P380" s="15" t="s">
        <v>2017</v>
      </c>
      <c r="Q380" s="15" t="s">
        <v>2017</v>
      </c>
      <c r="R380" s="10">
        <v>40</v>
      </c>
    </row>
    <row r="381" spans="1:18" ht="29.5" customHeight="1" x14ac:dyDescent="0.15">
      <c r="A381" s="11" t="s">
        <v>2018</v>
      </c>
      <c r="B381" s="1" t="s">
        <v>2019</v>
      </c>
      <c r="C381" s="11" t="s">
        <v>2020</v>
      </c>
      <c r="D381" s="11" t="s">
        <v>2020</v>
      </c>
      <c r="E381" s="11" t="s">
        <v>2021</v>
      </c>
      <c r="F381" s="11" t="s">
        <v>1917</v>
      </c>
      <c r="G381" s="11" t="s">
        <v>2022</v>
      </c>
      <c r="H381" s="11" t="s">
        <v>1873</v>
      </c>
      <c r="I381" s="11" t="str">
        <f>HYPERLINK("http://callegaricalzature.it/","callegaricalzature.it")</f>
        <v>callegaricalzature.it</v>
      </c>
      <c r="J381" s="12">
        <v>17880.031999999999</v>
      </c>
      <c r="K381" s="12">
        <v>17880.031999999999</v>
      </c>
      <c r="L381" s="13">
        <v>19401.077000000001</v>
      </c>
      <c r="M381" s="12">
        <v>831.53899999999999</v>
      </c>
      <c r="N381" s="12">
        <v>831.53899999999999</v>
      </c>
      <c r="O381" s="12">
        <v>2083.4250000000002</v>
      </c>
      <c r="P381" s="12">
        <v>33</v>
      </c>
      <c r="Q381" s="12">
        <v>33</v>
      </c>
      <c r="R381" s="12">
        <v>30</v>
      </c>
    </row>
    <row r="382" spans="1:18" ht="17" customHeight="1" x14ac:dyDescent="0.15">
      <c r="A382" s="8" t="s">
        <v>2023</v>
      </c>
      <c r="B382" s="9" t="s">
        <v>2024</v>
      </c>
      <c r="C382" s="8" t="s">
        <v>2025</v>
      </c>
      <c r="D382" s="8" t="s">
        <v>2025</v>
      </c>
      <c r="E382" s="8" t="s">
        <v>2026</v>
      </c>
      <c r="F382" s="8" t="s">
        <v>1884</v>
      </c>
      <c r="G382" s="8" t="s">
        <v>1872</v>
      </c>
      <c r="H382" s="8" t="s">
        <v>1873</v>
      </c>
      <c r="I382" s="8" t="str">
        <f>HYPERLINK("http://www.concerialaveneta.com/","www.concerialaveneta.com")</f>
        <v>www.concerialaveneta.com</v>
      </c>
      <c r="J382" s="10">
        <v>15743.058999999999</v>
      </c>
      <c r="K382" s="10">
        <v>15743.058999999999</v>
      </c>
      <c r="L382" s="10">
        <v>19397.025000000001</v>
      </c>
      <c r="M382" s="10">
        <v>-1625.047</v>
      </c>
      <c r="N382" s="10">
        <v>-1625.047</v>
      </c>
      <c r="O382" s="10">
        <v>1154.902</v>
      </c>
      <c r="P382" s="10">
        <v>76</v>
      </c>
      <c r="Q382" s="10">
        <v>76</v>
      </c>
      <c r="R382" s="10">
        <v>84</v>
      </c>
    </row>
    <row r="383" spans="1:18" ht="17" customHeight="1" x14ac:dyDescent="0.15">
      <c r="A383" s="11" t="s">
        <v>2027</v>
      </c>
      <c r="B383" s="1" t="s">
        <v>2028</v>
      </c>
      <c r="C383" s="11" t="s">
        <v>2029</v>
      </c>
      <c r="D383" s="11" t="s">
        <v>2029</v>
      </c>
      <c r="E383" s="11" t="s">
        <v>2030</v>
      </c>
      <c r="F383" s="11" t="s">
        <v>1889</v>
      </c>
      <c r="G383" s="11" t="s">
        <v>1918</v>
      </c>
      <c r="H383" s="11" t="s">
        <v>1902</v>
      </c>
      <c r="I383" s="11" t="str">
        <f>HYPERLINK("http://www.maisonm.it/","www.maisonm.it")</f>
        <v>www.maisonm.it</v>
      </c>
      <c r="J383" s="12">
        <v>20724.826000000001</v>
      </c>
      <c r="K383" s="12">
        <v>20724.826000000001</v>
      </c>
      <c r="L383" s="13">
        <v>19309.901000000002</v>
      </c>
      <c r="M383" s="12">
        <v>802.28899999999999</v>
      </c>
      <c r="N383" s="12">
        <v>802.28899999999999</v>
      </c>
      <c r="O383" s="12">
        <v>2278.665</v>
      </c>
      <c r="P383" s="14" t="s">
        <v>2017</v>
      </c>
      <c r="Q383" s="14" t="s">
        <v>2017</v>
      </c>
      <c r="R383" s="12">
        <v>11</v>
      </c>
    </row>
    <row r="384" spans="1:18" ht="29.5" customHeight="1" x14ac:dyDescent="0.15">
      <c r="A384" s="8" t="s">
        <v>2031</v>
      </c>
      <c r="B384" s="9" t="s">
        <v>2032</v>
      </c>
      <c r="C384" s="8" t="s">
        <v>2033</v>
      </c>
      <c r="D384" s="8" t="s">
        <v>2033</v>
      </c>
      <c r="E384" s="8" t="s">
        <v>2034</v>
      </c>
      <c r="F384" s="8" t="s">
        <v>1884</v>
      </c>
      <c r="G384" s="8" t="s">
        <v>1949</v>
      </c>
      <c r="H384" s="8" t="s">
        <v>1912</v>
      </c>
      <c r="I384" s="8" t="str">
        <f>HYPERLINK("http://www.curtiba.it/","www.curtiba.it")</f>
        <v>www.curtiba.it</v>
      </c>
      <c r="J384" s="10">
        <v>11928.085999999999</v>
      </c>
      <c r="K384" s="10">
        <v>11928.085999999999</v>
      </c>
      <c r="L384" s="10">
        <v>19293.565999999999</v>
      </c>
      <c r="M384" s="10">
        <v>614.63400000000001</v>
      </c>
      <c r="N384" s="10">
        <v>614.63400000000001</v>
      </c>
      <c r="O384" s="10">
        <v>1202.5160000000001</v>
      </c>
      <c r="P384" s="10">
        <v>12</v>
      </c>
      <c r="Q384" s="10">
        <v>12</v>
      </c>
      <c r="R384" s="10">
        <v>13</v>
      </c>
    </row>
    <row r="385" spans="1:18" ht="17" customHeight="1" x14ac:dyDescent="0.15">
      <c r="A385" s="11" t="s">
        <v>2035</v>
      </c>
      <c r="B385" s="1" t="s">
        <v>2036</v>
      </c>
      <c r="C385" s="11" t="s">
        <v>2037</v>
      </c>
      <c r="D385" s="11" t="s">
        <v>2037</v>
      </c>
      <c r="E385" s="11" t="s">
        <v>2038</v>
      </c>
      <c r="F385" s="11" t="s">
        <v>2039</v>
      </c>
      <c r="G385" s="11" t="s">
        <v>2040</v>
      </c>
      <c r="H385" s="11" t="s">
        <v>2041</v>
      </c>
      <c r="I385" s="11" t="str">
        <f>HYPERLINK("http://www.carasco.eu/","www.carasco.eu")</f>
        <v>www.carasco.eu</v>
      </c>
      <c r="J385" s="12">
        <v>15732.837</v>
      </c>
      <c r="K385" s="12">
        <v>15732.837</v>
      </c>
      <c r="L385" s="13">
        <v>19288.190999999999</v>
      </c>
      <c r="M385" s="12">
        <v>-2315.85</v>
      </c>
      <c r="N385" s="12">
        <v>-2315.85</v>
      </c>
      <c r="O385" s="12">
        <v>702.64200000000005</v>
      </c>
      <c r="P385" s="12">
        <v>70</v>
      </c>
      <c r="Q385" s="12">
        <v>70</v>
      </c>
      <c r="R385" s="12">
        <v>71</v>
      </c>
    </row>
    <row r="386" spans="1:18" ht="17" customHeight="1" x14ac:dyDescent="0.15">
      <c r="A386" s="8" t="s">
        <v>2042</v>
      </c>
      <c r="B386" s="9" t="s">
        <v>2043</v>
      </c>
      <c r="C386" s="8" t="s">
        <v>2044</v>
      </c>
      <c r="D386" s="8" t="s">
        <v>2045</v>
      </c>
      <c r="E386" s="8" t="s">
        <v>2046</v>
      </c>
      <c r="F386" s="8" t="s">
        <v>2047</v>
      </c>
      <c r="G386" s="8" t="s">
        <v>2048</v>
      </c>
      <c r="H386" s="8" t="s">
        <v>2041</v>
      </c>
      <c r="I386" s="8" t="str">
        <f>HYPERLINK("http://maglificiofmf.it/","maglificiofmf.it")</f>
        <v>maglificiofmf.it</v>
      </c>
      <c r="J386" s="10">
        <v>14914.058999999999</v>
      </c>
      <c r="K386" s="10">
        <v>14914.058999999999</v>
      </c>
      <c r="L386" s="10">
        <v>19287.021000000001</v>
      </c>
      <c r="M386" s="10">
        <v>1597.171</v>
      </c>
      <c r="N386" s="10">
        <v>1597.171</v>
      </c>
      <c r="O386" s="10">
        <v>2097.1439999999998</v>
      </c>
      <c r="P386" s="10">
        <v>43</v>
      </c>
      <c r="Q386" s="10">
        <v>43</v>
      </c>
      <c r="R386" s="10">
        <v>42</v>
      </c>
    </row>
    <row r="387" spans="1:18" ht="17" customHeight="1" x14ac:dyDescent="0.15">
      <c r="A387" s="11" t="s">
        <v>2049</v>
      </c>
      <c r="B387" s="1" t="s">
        <v>2050</v>
      </c>
      <c r="C387" s="11" t="s">
        <v>2051</v>
      </c>
      <c r="D387" s="11" t="s">
        <v>2051</v>
      </c>
      <c r="E387" s="11" t="s">
        <v>2052</v>
      </c>
      <c r="F387" s="11" t="s">
        <v>2039</v>
      </c>
      <c r="G387" s="11" t="s">
        <v>2053</v>
      </c>
      <c r="H387" s="11" t="s">
        <v>2054</v>
      </c>
      <c r="I387" s="11" t="str">
        <f>HYPERLINK("http://www.esapel.com/","www.esapel.com")</f>
        <v>www.esapel.com</v>
      </c>
      <c r="J387" s="12">
        <v>15804.608</v>
      </c>
      <c r="K387" s="12">
        <v>15804.608</v>
      </c>
      <c r="L387" s="13">
        <v>19094.506000000001</v>
      </c>
      <c r="M387" s="12">
        <v>-564.87099999999998</v>
      </c>
      <c r="N387" s="12">
        <v>-564.87099999999998</v>
      </c>
      <c r="O387" s="12">
        <v>-924.47799999999995</v>
      </c>
      <c r="P387" s="12">
        <v>34</v>
      </c>
      <c r="Q387" s="12">
        <v>34</v>
      </c>
      <c r="R387" s="12">
        <v>42</v>
      </c>
    </row>
    <row r="388" spans="1:18" ht="17" customHeight="1" x14ac:dyDescent="0.15">
      <c r="A388" s="8" t="s">
        <v>2055</v>
      </c>
      <c r="B388" s="9" t="s">
        <v>2056</v>
      </c>
      <c r="C388" s="8" t="s">
        <v>2057</v>
      </c>
      <c r="D388" s="8" t="s">
        <v>2057</v>
      </c>
      <c r="E388" s="8" t="s">
        <v>2058</v>
      </c>
      <c r="F388" s="8" t="s">
        <v>2059</v>
      </c>
      <c r="G388" s="8" t="s">
        <v>2060</v>
      </c>
      <c r="H388" s="8" t="s">
        <v>2061</v>
      </c>
      <c r="I388" s="8" t="str">
        <f>HYPERLINK("http://mariocerutti.it/","mariocerutti.it")</f>
        <v>mariocerutti.it</v>
      </c>
      <c r="J388" s="10">
        <v>21123.915000000001</v>
      </c>
      <c r="K388" s="10">
        <v>21123.915000000001</v>
      </c>
      <c r="L388" s="10">
        <v>19069.557000000001</v>
      </c>
      <c r="M388" s="10">
        <v>1768.721</v>
      </c>
      <c r="N388" s="10">
        <v>1768.721</v>
      </c>
      <c r="O388" s="10">
        <v>2172.0659999999998</v>
      </c>
      <c r="P388" s="10">
        <v>52</v>
      </c>
      <c r="Q388" s="10">
        <v>52</v>
      </c>
      <c r="R388" s="10">
        <v>54</v>
      </c>
    </row>
    <row r="389" spans="1:18" ht="43" customHeight="1" x14ac:dyDescent="0.15">
      <c r="A389" s="11" t="s">
        <v>2062</v>
      </c>
      <c r="B389" s="1" t="s">
        <v>2063</v>
      </c>
      <c r="C389" s="11" t="s">
        <v>2064</v>
      </c>
      <c r="D389" s="11" t="s">
        <v>2064</v>
      </c>
      <c r="E389" s="11" t="s">
        <v>2065</v>
      </c>
      <c r="F389" s="11" t="s">
        <v>2066</v>
      </c>
      <c r="G389" s="11" t="s">
        <v>2067</v>
      </c>
      <c r="H389" s="11" t="s">
        <v>2068</v>
      </c>
      <c r="I389" s="11" t="str">
        <f>HYPERLINK("http://primalintimo.it/","primalintimo.it")</f>
        <v>primalintimo.it</v>
      </c>
      <c r="J389" s="12">
        <v>19008.003000000001</v>
      </c>
      <c r="K389" s="12">
        <v>19008.003000000001</v>
      </c>
      <c r="L389" s="13">
        <v>19064.63</v>
      </c>
      <c r="M389" s="12">
        <v>2586.623</v>
      </c>
      <c r="N389" s="12">
        <v>2586.623</v>
      </c>
      <c r="O389" s="12">
        <v>1075.078</v>
      </c>
      <c r="P389" s="12">
        <v>40</v>
      </c>
      <c r="Q389" s="12">
        <v>40</v>
      </c>
      <c r="R389" s="12">
        <v>35</v>
      </c>
    </row>
    <row r="390" spans="1:18" ht="17" customHeight="1" x14ac:dyDescent="0.15">
      <c r="A390" s="8" t="s">
        <v>2069</v>
      </c>
      <c r="B390" s="9" t="s">
        <v>2070</v>
      </c>
      <c r="C390" s="8" t="s">
        <v>2071</v>
      </c>
      <c r="D390" s="8" t="s">
        <v>2071</v>
      </c>
      <c r="E390" s="8" t="s">
        <v>2072</v>
      </c>
      <c r="F390" s="8" t="s">
        <v>2059</v>
      </c>
      <c r="G390" s="8" t="s">
        <v>2073</v>
      </c>
      <c r="H390" s="8" t="s">
        <v>2074</v>
      </c>
      <c r="I390" s="8" t="str">
        <f>HYPERLINK("http://www.doucals.com/","www.doucals.com")</f>
        <v>www.doucals.com</v>
      </c>
      <c r="J390" s="10">
        <v>26665.7</v>
      </c>
      <c r="K390" s="10">
        <v>26665.7</v>
      </c>
      <c r="L390" s="10">
        <v>19038.073</v>
      </c>
      <c r="M390" s="10">
        <v>2006.7329999999999</v>
      </c>
      <c r="N390" s="10">
        <v>2006.7329999999999</v>
      </c>
      <c r="O390" s="10">
        <v>1707.2159999999999</v>
      </c>
      <c r="P390" s="10">
        <v>100</v>
      </c>
      <c r="Q390" s="10">
        <v>100</v>
      </c>
      <c r="R390" s="10">
        <v>82</v>
      </c>
    </row>
    <row r="391" spans="1:18" ht="17" customHeight="1" x14ac:dyDescent="0.15">
      <c r="A391" s="11" t="s">
        <v>2075</v>
      </c>
      <c r="B391" s="1" t="s">
        <v>2076</v>
      </c>
      <c r="C391" s="11" t="s">
        <v>2077</v>
      </c>
      <c r="D391" s="11" t="s">
        <v>2077</v>
      </c>
      <c r="E391" s="11" t="s">
        <v>2078</v>
      </c>
      <c r="F391" s="11" t="s">
        <v>2059</v>
      </c>
      <c r="G391" s="11" t="s">
        <v>2079</v>
      </c>
      <c r="H391" s="11" t="s">
        <v>2080</v>
      </c>
      <c r="I391" s="11" t="str">
        <f>HYPERLINK("http://www.calzaturificiosirio.it/","www.calzaturificiosirio.it")</f>
        <v>www.calzaturificiosirio.it</v>
      </c>
      <c r="J391" s="12">
        <v>19375.330999999998</v>
      </c>
      <c r="K391" s="12">
        <v>19375.330999999998</v>
      </c>
      <c r="L391" s="13">
        <v>18945.302</v>
      </c>
      <c r="M391" s="12">
        <v>2428.808</v>
      </c>
      <c r="N391" s="12">
        <v>2428.808</v>
      </c>
      <c r="O391" s="12">
        <v>409.37200000000001</v>
      </c>
      <c r="P391" s="12">
        <v>136</v>
      </c>
      <c r="Q391" s="12">
        <v>136</v>
      </c>
      <c r="R391" s="12">
        <v>87</v>
      </c>
    </row>
    <row r="392" spans="1:18" ht="17" customHeight="1" x14ac:dyDescent="0.15">
      <c r="A392" s="8" t="s">
        <v>2081</v>
      </c>
      <c r="B392" s="9" t="s">
        <v>2082</v>
      </c>
      <c r="C392" s="8" t="s">
        <v>2083</v>
      </c>
      <c r="D392" s="8" t="s">
        <v>2083</v>
      </c>
      <c r="E392" s="8" t="s">
        <v>2084</v>
      </c>
      <c r="F392" s="8" t="s">
        <v>2085</v>
      </c>
      <c r="G392" s="8" t="s">
        <v>2086</v>
      </c>
      <c r="H392" s="8" t="s">
        <v>2054</v>
      </c>
      <c r="I392" s="8" t="str">
        <f>HYPERLINK("http://www.maglificiomica.it/","www.maglificiomica.it")</f>
        <v>www.maglificiomica.it</v>
      </c>
      <c r="J392" s="10">
        <v>20872.891</v>
      </c>
      <c r="K392" s="10">
        <v>20872.891</v>
      </c>
      <c r="L392" s="10">
        <v>18931.184000000001</v>
      </c>
      <c r="M392" s="10">
        <v>4042.8629999999998</v>
      </c>
      <c r="N392" s="10">
        <v>4042.8629999999998</v>
      </c>
      <c r="O392" s="10">
        <v>3806.991</v>
      </c>
      <c r="P392" s="10">
        <v>46</v>
      </c>
      <c r="Q392" s="10">
        <v>46</v>
      </c>
      <c r="R392" s="10">
        <v>43</v>
      </c>
    </row>
    <row r="393" spans="1:18" ht="17" customHeight="1" x14ac:dyDescent="0.15">
      <c r="A393" s="11" t="s">
        <v>2087</v>
      </c>
      <c r="B393" s="1" t="s">
        <v>2088</v>
      </c>
      <c r="C393" s="11" t="s">
        <v>2089</v>
      </c>
      <c r="D393" s="11" t="s">
        <v>2089</v>
      </c>
      <c r="E393" s="11" t="s">
        <v>2090</v>
      </c>
      <c r="F393" s="11" t="s">
        <v>2091</v>
      </c>
      <c r="G393" s="11" t="s">
        <v>2092</v>
      </c>
      <c r="H393" s="11" t="s">
        <v>2041</v>
      </c>
      <c r="I393" s="11" t="str">
        <f>HYPERLINK("http://www.ideepartners.it/","www.ideepartners.it")</f>
        <v>www.ideepartners.it</v>
      </c>
      <c r="J393" s="12">
        <v>29228.633999999998</v>
      </c>
      <c r="K393" s="12">
        <v>29228.633999999998</v>
      </c>
      <c r="L393" s="13">
        <v>18884.655999999999</v>
      </c>
      <c r="M393" s="12">
        <v>1221.645</v>
      </c>
      <c r="N393" s="12">
        <v>1221.645</v>
      </c>
      <c r="O393" s="12">
        <v>1534.0029999999999</v>
      </c>
      <c r="P393" s="12">
        <v>216</v>
      </c>
      <c r="Q393" s="12">
        <v>216</v>
      </c>
      <c r="R393" s="12">
        <v>88</v>
      </c>
    </row>
    <row r="394" spans="1:18" ht="17" customHeight="1" x14ac:dyDescent="0.15">
      <c r="A394" s="8" t="s">
        <v>2093</v>
      </c>
      <c r="B394" s="9" t="s">
        <v>2094</v>
      </c>
      <c r="C394" s="8" t="s">
        <v>2095</v>
      </c>
      <c r="D394" s="8" t="s">
        <v>2095</v>
      </c>
      <c r="E394" s="8" t="s">
        <v>2096</v>
      </c>
      <c r="F394" s="8" t="s">
        <v>2059</v>
      </c>
      <c r="G394" s="8" t="s">
        <v>2073</v>
      </c>
      <c r="H394" s="8" t="s">
        <v>2074</v>
      </c>
      <c r="I394" s="8" t="str">
        <f>HYPERLINK("http://www.zeisexcelsa.it/","www.zeisexcelsa.it")</f>
        <v>www.zeisexcelsa.it</v>
      </c>
      <c r="J394" s="10">
        <v>18776.361000000001</v>
      </c>
      <c r="K394" s="10">
        <v>18776.361000000001</v>
      </c>
      <c r="L394" s="10">
        <v>18835.983</v>
      </c>
      <c r="M394" s="10">
        <v>6.4950000000000001</v>
      </c>
      <c r="N394" s="10">
        <v>6.4950000000000001</v>
      </c>
      <c r="O394" s="10">
        <v>212.97</v>
      </c>
      <c r="P394" s="10">
        <v>31</v>
      </c>
      <c r="Q394" s="10">
        <v>31</v>
      </c>
      <c r="R394" s="10">
        <v>49</v>
      </c>
    </row>
    <row r="395" spans="1:18" ht="17" customHeight="1" x14ac:dyDescent="0.15">
      <c r="A395" s="11" t="s">
        <v>2097</v>
      </c>
      <c r="B395" s="1" t="s">
        <v>2098</v>
      </c>
      <c r="C395" s="11" t="s">
        <v>2099</v>
      </c>
      <c r="D395" s="11" t="s">
        <v>2099</v>
      </c>
      <c r="E395" s="11" t="s">
        <v>2100</v>
      </c>
      <c r="F395" s="11" t="s">
        <v>2101</v>
      </c>
      <c r="G395" s="11" t="s">
        <v>2102</v>
      </c>
      <c r="H395" s="11" t="s">
        <v>2061</v>
      </c>
      <c r="I395" s="11" t="str">
        <f>HYPERLINK("http://www.lovers-italy.it/","www.lovers-italy.it")</f>
        <v>www.lovers-italy.it</v>
      </c>
      <c r="J395" s="12">
        <v>28513.441999999999</v>
      </c>
      <c r="K395" s="12">
        <v>28513.441999999999</v>
      </c>
      <c r="L395" s="13">
        <v>18774.102999999999</v>
      </c>
      <c r="M395" s="12">
        <v>2052.3890000000001</v>
      </c>
      <c r="N395" s="12">
        <v>2052.3890000000001</v>
      </c>
      <c r="O395" s="12">
        <v>921.33</v>
      </c>
      <c r="P395" s="12">
        <v>17</v>
      </c>
      <c r="Q395" s="12">
        <v>17</v>
      </c>
      <c r="R395" s="12">
        <v>17</v>
      </c>
    </row>
    <row r="396" spans="1:18" ht="17" customHeight="1" x14ac:dyDescent="0.15">
      <c r="A396" s="8" t="s">
        <v>2103</v>
      </c>
      <c r="B396" s="9" t="s">
        <v>2104</v>
      </c>
      <c r="C396" s="8" t="s">
        <v>2105</v>
      </c>
      <c r="D396" s="8" t="s">
        <v>2105</v>
      </c>
      <c r="E396" s="8" t="s">
        <v>2106</v>
      </c>
      <c r="F396" s="8" t="s">
        <v>2085</v>
      </c>
      <c r="G396" s="8" t="s">
        <v>2107</v>
      </c>
      <c r="H396" s="8" t="s">
        <v>2074</v>
      </c>
      <c r="I396" s="8" t="str">
        <f>HYPERLINK("http://www.lagriffesrl.com/","www.lagriffesrl.com")</f>
        <v>www.lagriffesrl.com</v>
      </c>
      <c r="J396" s="10">
        <v>17818.472000000002</v>
      </c>
      <c r="K396" s="10">
        <v>17818.472000000002</v>
      </c>
      <c r="L396" s="10">
        <v>18756.465</v>
      </c>
      <c r="M396" s="10">
        <v>708.16499999999996</v>
      </c>
      <c r="N396" s="10">
        <v>708.16499999999996</v>
      </c>
      <c r="O396" s="10">
        <v>1344.38</v>
      </c>
      <c r="P396" s="10">
        <v>11</v>
      </c>
      <c r="Q396" s="10">
        <v>11</v>
      </c>
      <c r="R396" s="10">
        <v>13</v>
      </c>
    </row>
    <row r="397" spans="1:18" ht="29.5" customHeight="1" x14ac:dyDescent="0.15">
      <c r="A397" s="11" t="s">
        <v>2108</v>
      </c>
      <c r="B397" s="1" t="s">
        <v>2109</v>
      </c>
      <c r="C397" s="11" t="s">
        <v>2110</v>
      </c>
      <c r="D397" s="11" t="s">
        <v>2110</v>
      </c>
      <c r="E397" s="11" t="s">
        <v>2111</v>
      </c>
      <c r="F397" s="11" t="s">
        <v>2112</v>
      </c>
      <c r="G397" s="11" t="s">
        <v>2113</v>
      </c>
      <c r="H397" s="11" t="s">
        <v>2074</v>
      </c>
      <c r="I397" s="11" t="str">
        <f>HYPERLINK("http://www.manifatturedifilottrano.it/","www.manifatturedifilottrano.it")</f>
        <v>www.manifatturedifilottrano.it</v>
      </c>
      <c r="J397" s="12">
        <v>20939.602999999999</v>
      </c>
      <c r="K397" s="12">
        <v>20939.602999999999</v>
      </c>
      <c r="L397" s="13">
        <v>18732.689999999999</v>
      </c>
      <c r="M397" s="12">
        <v>2902.288</v>
      </c>
      <c r="N397" s="12">
        <v>2902.288</v>
      </c>
      <c r="O397" s="12">
        <v>2245.261</v>
      </c>
      <c r="P397" s="12">
        <v>146</v>
      </c>
      <c r="Q397" s="12">
        <v>146</v>
      </c>
      <c r="R397" s="12">
        <v>133</v>
      </c>
    </row>
    <row r="398" spans="1:18" ht="17" customHeight="1" x14ac:dyDescent="0.15">
      <c r="A398" s="8" t="s">
        <v>2114</v>
      </c>
      <c r="B398" s="9" t="s">
        <v>2115</v>
      </c>
      <c r="C398" s="8" t="s">
        <v>2116</v>
      </c>
      <c r="D398" s="8" t="s">
        <v>2116</v>
      </c>
      <c r="E398" s="8" t="s">
        <v>2117</v>
      </c>
      <c r="F398" s="8" t="s">
        <v>2112</v>
      </c>
      <c r="G398" s="8" t="s">
        <v>2118</v>
      </c>
      <c r="H398" s="8" t="s">
        <v>2061</v>
      </c>
      <c r="I398" s="8" t="str">
        <f>HYPERLINK("http://www.confezionifabert.it/","www.confezionifabert.it")</f>
        <v>www.confezionifabert.it</v>
      </c>
      <c r="J398" s="10">
        <v>23269.08</v>
      </c>
      <c r="K398" s="10">
        <v>23269.08</v>
      </c>
      <c r="L398" s="10">
        <v>18705.234</v>
      </c>
      <c r="M398" s="10">
        <v>1660.182</v>
      </c>
      <c r="N398" s="10">
        <v>1660.182</v>
      </c>
      <c r="O398" s="10">
        <v>994.85299999999995</v>
      </c>
      <c r="P398" s="10">
        <v>66</v>
      </c>
      <c r="Q398" s="10">
        <v>66</v>
      </c>
      <c r="R398" s="10">
        <v>59</v>
      </c>
    </row>
    <row r="399" spans="1:18" ht="17" customHeight="1" x14ac:dyDescent="0.15">
      <c r="A399" s="11" t="s">
        <v>2119</v>
      </c>
      <c r="B399" s="1" t="s">
        <v>2120</v>
      </c>
      <c r="C399" s="11" t="s">
        <v>2121</v>
      </c>
      <c r="D399" s="11" t="s">
        <v>2121</v>
      </c>
      <c r="E399" s="11" t="s">
        <v>2122</v>
      </c>
      <c r="F399" s="11" t="s">
        <v>2123</v>
      </c>
      <c r="G399" s="11" t="s">
        <v>2124</v>
      </c>
      <c r="H399" s="11" t="s">
        <v>2061</v>
      </c>
      <c r="I399" s="11" t="str">
        <f>HYPERLINK("http://www.isacco.it/","www.isacco.it")</f>
        <v>www.isacco.it</v>
      </c>
      <c r="J399" s="12">
        <v>18881.530999999999</v>
      </c>
      <c r="K399" s="12">
        <v>18881.530999999999</v>
      </c>
      <c r="L399" s="13">
        <v>18697.527999999998</v>
      </c>
      <c r="M399" s="12">
        <v>4427.3779999999997</v>
      </c>
      <c r="N399" s="12">
        <v>4427.3779999999997</v>
      </c>
      <c r="O399" s="12">
        <v>3664.7469999999998</v>
      </c>
      <c r="P399" s="12">
        <v>32</v>
      </c>
      <c r="Q399" s="12">
        <v>32</v>
      </c>
      <c r="R399" s="12">
        <v>31</v>
      </c>
    </row>
    <row r="400" spans="1:18" ht="17" customHeight="1" x14ac:dyDescent="0.15">
      <c r="A400" s="8" t="s">
        <v>2125</v>
      </c>
      <c r="B400" s="9" t="s">
        <v>2126</v>
      </c>
      <c r="C400" s="8" t="s">
        <v>2127</v>
      </c>
      <c r="D400" s="8" t="s">
        <v>2127</v>
      </c>
      <c r="E400" s="8" t="s">
        <v>2128</v>
      </c>
      <c r="F400" s="8" t="s">
        <v>2066</v>
      </c>
      <c r="G400" s="8" t="s">
        <v>2129</v>
      </c>
      <c r="H400" s="8" t="s">
        <v>2068</v>
      </c>
      <c r="I400" s="8" t="str">
        <f>HYPERLINK("http://www.newageintimo.it/","www.newageintimo.it")</f>
        <v>www.newageintimo.it</v>
      </c>
      <c r="J400" s="10">
        <v>14713.418</v>
      </c>
      <c r="K400" s="10">
        <v>14713.418</v>
      </c>
      <c r="L400" s="10">
        <v>18694.793000000001</v>
      </c>
      <c r="M400" s="10">
        <v>107.801</v>
      </c>
      <c r="N400" s="10">
        <v>107.801</v>
      </c>
      <c r="O400" s="10">
        <v>406.53</v>
      </c>
      <c r="P400" s="10">
        <v>29</v>
      </c>
      <c r="Q400" s="10">
        <v>29</v>
      </c>
      <c r="R400" s="10">
        <v>24</v>
      </c>
    </row>
    <row r="401" spans="1:18" ht="17" customHeight="1" x14ac:dyDescent="0.15">
      <c r="A401" s="11" t="s">
        <v>2130</v>
      </c>
      <c r="B401" s="1" t="s">
        <v>2131</v>
      </c>
      <c r="C401" s="11" t="s">
        <v>2132</v>
      </c>
      <c r="D401" s="11" t="s">
        <v>2132</v>
      </c>
      <c r="E401" s="11" t="s">
        <v>2133</v>
      </c>
      <c r="F401" s="11" t="s">
        <v>2112</v>
      </c>
      <c r="G401" s="11" t="s">
        <v>2124</v>
      </c>
      <c r="H401" s="11" t="s">
        <v>2061</v>
      </c>
      <c r="I401" s="11" t="str">
        <f>HYPERLINK("http://www.silusi.com/","www.silusi.com")</f>
        <v>www.silusi.com</v>
      </c>
      <c r="J401" s="12">
        <v>17843.004000000001</v>
      </c>
      <c r="K401" s="12">
        <v>17843.004000000001</v>
      </c>
      <c r="L401" s="13">
        <v>18634.345000000001</v>
      </c>
      <c r="M401" s="12">
        <v>193.26</v>
      </c>
      <c r="N401" s="12">
        <v>193.26</v>
      </c>
      <c r="O401" s="12">
        <v>496.61500000000001</v>
      </c>
      <c r="P401" s="12">
        <v>31</v>
      </c>
      <c r="Q401" s="12">
        <v>31</v>
      </c>
      <c r="R401" s="12">
        <v>30</v>
      </c>
    </row>
    <row r="402" spans="1:18" ht="17" customHeight="1" x14ac:dyDescent="0.15">
      <c r="A402" s="8" t="s">
        <v>2134</v>
      </c>
      <c r="B402" s="9" t="s">
        <v>2135</v>
      </c>
      <c r="C402" s="8" t="s">
        <v>2136</v>
      </c>
      <c r="D402" s="8" t="s">
        <v>2136</v>
      </c>
      <c r="E402" s="8" t="s">
        <v>2137</v>
      </c>
      <c r="F402" s="8" t="s">
        <v>2066</v>
      </c>
      <c r="G402" s="8" t="s">
        <v>2138</v>
      </c>
      <c r="H402" s="8" t="s">
        <v>2054</v>
      </c>
      <c r="I402" s="8" t="str">
        <f>HYPERLINK("http://www.masquenada.com/","www.masquenada.com")</f>
        <v>www.masquenada.com</v>
      </c>
      <c r="J402" s="10">
        <v>19710.445</v>
      </c>
      <c r="K402" s="10">
        <v>19710.445</v>
      </c>
      <c r="L402" s="10">
        <v>18452.13</v>
      </c>
      <c r="M402" s="10">
        <v>925.18799999999999</v>
      </c>
      <c r="N402" s="10">
        <v>925.18799999999999</v>
      </c>
      <c r="O402" s="10">
        <v>1040.046</v>
      </c>
      <c r="P402" s="10">
        <v>37</v>
      </c>
      <c r="Q402" s="10">
        <v>37</v>
      </c>
      <c r="R402" s="10">
        <v>39</v>
      </c>
    </row>
    <row r="403" spans="1:18" ht="17" customHeight="1" x14ac:dyDescent="0.15">
      <c r="A403" s="11" t="s">
        <v>2139</v>
      </c>
      <c r="B403" s="1" t="s">
        <v>2140</v>
      </c>
      <c r="C403" s="11" t="s">
        <v>2141</v>
      </c>
      <c r="D403" s="11" t="s">
        <v>2141</v>
      </c>
      <c r="E403" s="11" t="s">
        <v>2142</v>
      </c>
      <c r="F403" s="11" t="s">
        <v>2039</v>
      </c>
      <c r="G403" s="11" t="s">
        <v>2053</v>
      </c>
      <c r="H403" s="11" t="s">
        <v>2054</v>
      </c>
      <c r="I403" s="11" t="str">
        <f>HYPERLINK("http://conceriatolio.com/","conceriatolio.com")</f>
        <v>conceriatolio.com</v>
      </c>
      <c r="J403" s="12">
        <v>16201.421</v>
      </c>
      <c r="K403" s="12">
        <v>16201.421</v>
      </c>
      <c r="L403" s="13">
        <v>18386.453000000001</v>
      </c>
      <c r="M403" s="12">
        <v>91.704999999999998</v>
      </c>
      <c r="N403" s="12">
        <v>91.704999999999998</v>
      </c>
      <c r="O403" s="12">
        <v>295.59500000000003</v>
      </c>
      <c r="P403" s="12">
        <v>50</v>
      </c>
      <c r="Q403" s="12">
        <v>50</v>
      </c>
      <c r="R403" s="12">
        <v>49</v>
      </c>
    </row>
    <row r="404" spans="1:18" ht="17" customHeight="1" x14ac:dyDescent="0.15">
      <c r="A404" s="8" t="s">
        <v>2143</v>
      </c>
      <c r="B404" s="9" t="s">
        <v>2144</v>
      </c>
      <c r="C404" s="8" t="s">
        <v>2145</v>
      </c>
      <c r="D404" s="8" t="s">
        <v>2145</v>
      </c>
      <c r="E404" s="8" t="s">
        <v>2146</v>
      </c>
      <c r="F404" s="8" t="s">
        <v>2039</v>
      </c>
      <c r="G404" s="8" t="s">
        <v>2053</v>
      </c>
      <c r="H404" s="8" t="s">
        <v>2054</v>
      </c>
      <c r="I404" s="8" t="str">
        <f>HYPERLINK("http://www.nuovaosba.it/","www.nuovaosba.it")</f>
        <v>www.nuovaosba.it</v>
      </c>
      <c r="J404" s="10">
        <v>13827.25</v>
      </c>
      <c r="K404" s="10">
        <v>19207.241999999998</v>
      </c>
      <c r="L404" s="10">
        <v>18302.307000000001</v>
      </c>
      <c r="M404" s="10">
        <v>-716.41399999999999</v>
      </c>
      <c r="N404" s="10">
        <v>1234.876</v>
      </c>
      <c r="O404" s="10">
        <v>1434.0730000000001</v>
      </c>
      <c r="P404" s="15" t="s">
        <v>2147</v>
      </c>
      <c r="Q404" s="15" t="s">
        <v>2147</v>
      </c>
      <c r="R404" s="10">
        <v>28</v>
      </c>
    </row>
    <row r="405" spans="1:18" ht="17" customHeight="1" x14ac:dyDescent="0.15">
      <c r="A405" s="11" t="s">
        <v>2148</v>
      </c>
      <c r="B405" s="1" t="s">
        <v>2149</v>
      </c>
      <c r="C405" s="11" t="s">
        <v>2150</v>
      </c>
      <c r="D405" s="11" t="s">
        <v>2150</v>
      </c>
      <c r="E405" s="11" t="s">
        <v>2151</v>
      </c>
      <c r="F405" s="11" t="s">
        <v>2039</v>
      </c>
      <c r="G405" s="11" t="s">
        <v>2152</v>
      </c>
      <c r="H405" s="11" t="s">
        <v>2080</v>
      </c>
      <c r="I405" s="11" t="str">
        <f>HYPERLINK("http://www.vignolanobile.com/","http://www.vignolanobile.com")</f>
        <v>http://www.vignolanobile.com</v>
      </c>
      <c r="J405" s="12">
        <v>15198.413</v>
      </c>
      <c r="K405" s="12">
        <v>15198.413</v>
      </c>
      <c r="L405" s="13">
        <v>18296.550999999999</v>
      </c>
      <c r="M405" s="12">
        <v>57.415999999999997</v>
      </c>
      <c r="N405" s="12">
        <v>57.415999999999997</v>
      </c>
      <c r="O405" s="12">
        <v>503.80900000000003</v>
      </c>
      <c r="P405" s="12">
        <v>49</v>
      </c>
      <c r="Q405" s="12">
        <v>49</v>
      </c>
      <c r="R405" s="12">
        <v>46</v>
      </c>
    </row>
    <row r="406" spans="1:18" ht="17" customHeight="1" x14ac:dyDescent="0.15">
      <c r="A406" s="8" t="s">
        <v>2153</v>
      </c>
      <c r="B406" s="9" t="s">
        <v>2154</v>
      </c>
      <c r="C406" s="8" t="s">
        <v>2155</v>
      </c>
      <c r="D406" s="8" t="s">
        <v>2155</v>
      </c>
      <c r="E406" s="8" t="s">
        <v>2156</v>
      </c>
      <c r="F406" s="8" t="s">
        <v>2059</v>
      </c>
      <c r="G406" s="8" t="s">
        <v>2157</v>
      </c>
      <c r="H406" s="8" t="s">
        <v>2054</v>
      </c>
      <c r="I406" s="8" t="str">
        <f>HYPERLINK("http://www.cavallin-stivali.it/","www.cavallin-stivali.it")</f>
        <v>www.cavallin-stivali.it</v>
      </c>
      <c r="J406" s="10">
        <v>16807.036</v>
      </c>
      <c r="K406" s="10">
        <v>16807.036</v>
      </c>
      <c r="L406" s="10">
        <v>18258.595000000001</v>
      </c>
      <c r="M406" s="10">
        <v>438.11700000000002</v>
      </c>
      <c r="N406" s="10">
        <v>438.11700000000002</v>
      </c>
      <c r="O406" s="10">
        <v>1145.857</v>
      </c>
      <c r="P406" s="10">
        <v>105</v>
      </c>
      <c r="Q406" s="10">
        <v>105</v>
      </c>
      <c r="R406" s="10">
        <v>85</v>
      </c>
    </row>
    <row r="407" spans="1:18" ht="17" customHeight="1" x14ac:dyDescent="0.15">
      <c r="A407" s="11" t="s">
        <v>2158</v>
      </c>
      <c r="B407" s="1" t="s">
        <v>2159</v>
      </c>
      <c r="C407" s="11" t="s">
        <v>2160</v>
      </c>
      <c r="D407" s="11" t="s">
        <v>2160</v>
      </c>
      <c r="E407" s="11" t="s">
        <v>2161</v>
      </c>
      <c r="F407" s="11" t="s">
        <v>2085</v>
      </c>
      <c r="G407" s="11" t="s">
        <v>2162</v>
      </c>
      <c r="H407" s="11" t="s">
        <v>2163</v>
      </c>
      <c r="I407" s="11" t="str">
        <f>HYPERLINK("http://www.lucamaglierie.it/","www.lucamaglierie.it")</f>
        <v>www.lucamaglierie.it</v>
      </c>
      <c r="J407" s="12">
        <v>16031.906000000001</v>
      </c>
      <c r="K407" s="12">
        <v>16031.906000000001</v>
      </c>
      <c r="L407" s="13">
        <v>18247.205000000002</v>
      </c>
      <c r="M407" s="12">
        <v>-998.35400000000004</v>
      </c>
      <c r="N407" s="12">
        <v>-998.35400000000004</v>
      </c>
      <c r="O407" s="12">
        <v>57.136000000000003</v>
      </c>
      <c r="P407" s="12">
        <v>38</v>
      </c>
      <c r="Q407" s="12">
        <v>38</v>
      </c>
      <c r="R407" s="12">
        <v>35</v>
      </c>
    </row>
    <row r="408" spans="1:18" ht="17" customHeight="1" x14ac:dyDescent="0.15">
      <c r="A408" s="8" t="s">
        <v>2164</v>
      </c>
      <c r="B408" s="9" t="s">
        <v>2165</v>
      </c>
      <c r="C408" s="8" t="s">
        <v>2166</v>
      </c>
      <c r="D408" s="8" t="s">
        <v>2166</v>
      </c>
      <c r="E408" s="8" t="s">
        <v>2167</v>
      </c>
      <c r="F408" s="8" t="s">
        <v>2039</v>
      </c>
      <c r="G408" s="8" t="s">
        <v>2040</v>
      </c>
      <c r="H408" s="8" t="s">
        <v>2041</v>
      </c>
      <c r="I408" s="8" t="str">
        <f>HYPERLINK("http://conceriavictoria.it/","conceriavictoria.it")</f>
        <v>conceriavictoria.it</v>
      </c>
      <c r="J408" s="10">
        <v>11828.084999999999</v>
      </c>
      <c r="K408" s="10">
        <v>11828.084999999999</v>
      </c>
      <c r="L408" s="10">
        <v>18246.386999999999</v>
      </c>
      <c r="M408" s="10">
        <v>506.19200000000001</v>
      </c>
      <c r="N408" s="10">
        <v>506.19200000000001</v>
      </c>
      <c r="O408" s="10">
        <v>1241.924</v>
      </c>
      <c r="P408" s="10">
        <v>28</v>
      </c>
      <c r="Q408" s="10">
        <v>28</v>
      </c>
      <c r="R408" s="10">
        <v>27</v>
      </c>
    </row>
    <row r="409" spans="1:18" ht="17" customHeight="1" x14ac:dyDescent="0.15">
      <c r="A409" s="11" t="s">
        <v>2168</v>
      </c>
      <c r="B409" s="1" t="s">
        <v>2169</v>
      </c>
      <c r="C409" s="11" t="s">
        <v>2170</v>
      </c>
      <c r="D409" s="11" t="s">
        <v>2170</v>
      </c>
      <c r="E409" s="11" t="s">
        <v>2171</v>
      </c>
      <c r="F409" s="11" t="s">
        <v>2112</v>
      </c>
      <c r="G409" s="11" t="s">
        <v>2086</v>
      </c>
      <c r="H409" s="11" t="s">
        <v>2054</v>
      </c>
      <c r="I409" s="11" t="str">
        <f>HYPERLINK("http://www.reginasrl.it/","www.reginasrl.it")</f>
        <v>www.reginasrl.it</v>
      </c>
      <c r="J409" s="12">
        <v>19737.912</v>
      </c>
      <c r="K409" s="12">
        <v>19737.912</v>
      </c>
      <c r="L409" s="13">
        <v>18220.002</v>
      </c>
      <c r="M409" s="12">
        <v>4029.8139999999999</v>
      </c>
      <c r="N409" s="12">
        <v>4029.8139999999999</v>
      </c>
      <c r="O409" s="12">
        <v>3066.22</v>
      </c>
      <c r="P409" s="12">
        <v>68</v>
      </c>
      <c r="Q409" s="12">
        <v>68</v>
      </c>
      <c r="R409" s="12">
        <v>44</v>
      </c>
    </row>
    <row r="410" spans="1:18" ht="29.5" customHeight="1" x14ac:dyDescent="0.15">
      <c r="A410" s="8" t="s">
        <v>2172</v>
      </c>
      <c r="B410" s="9" t="s">
        <v>2173</v>
      </c>
      <c r="C410" s="8" t="s">
        <v>2174</v>
      </c>
      <c r="D410" s="8" t="s">
        <v>2174</v>
      </c>
      <c r="E410" s="8" t="s">
        <v>2175</v>
      </c>
      <c r="F410" s="8" t="s">
        <v>2059</v>
      </c>
      <c r="G410" s="8" t="s">
        <v>2118</v>
      </c>
      <c r="H410" s="8" t="s">
        <v>2061</v>
      </c>
      <c r="I410" s="8" t="str">
        <f>HYPERLINK("http://www.cleobottier.com/","www.cleobottier.com")</f>
        <v>www.cleobottier.com</v>
      </c>
      <c r="J410" s="10">
        <v>19026.334999999999</v>
      </c>
      <c r="K410" s="10">
        <v>19026.334999999999</v>
      </c>
      <c r="L410" s="10">
        <v>18181.162</v>
      </c>
      <c r="M410" s="10">
        <v>2368.049</v>
      </c>
      <c r="N410" s="10">
        <v>2368.049</v>
      </c>
      <c r="O410" s="10">
        <v>629.28800000000001</v>
      </c>
      <c r="P410" s="15" t="s">
        <v>2147</v>
      </c>
      <c r="Q410" s="15" t="s">
        <v>2147</v>
      </c>
      <c r="R410" s="10">
        <v>82</v>
      </c>
    </row>
    <row r="411" spans="1:18" ht="17" customHeight="1" x14ac:dyDescent="0.15">
      <c r="A411" s="11" t="s">
        <v>2176</v>
      </c>
      <c r="B411" s="1" t="s">
        <v>2177</v>
      </c>
      <c r="C411" s="11" t="s">
        <v>2178</v>
      </c>
      <c r="D411" s="11" t="s">
        <v>2178</v>
      </c>
      <c r="E411" s="11" t="s">
        <v>2179</v>
      </c>
      <c r="F411" s="11" t="s">
        <v>2112</v>
      </c>
      <c r="G411" s="11" t="s">
        <v>2138</v>
      </c>
      <c r="H411" s="11" t="s">
        <v>2054</v>
      </c>
      <c r="I411" s="11" t="str">
        <f>HYPERLINK("http://www.madexsrl.com/","www.madexsrl.com")</f>
        <v>www.madexsrl.com</v>
      </c>
      <c r="J411" s="12">
        <v>14890.543</v>
      </c>
      <c r="K411" s="12">
        <v>14890.543</v>
      </c>
      <c r="L411" s="13">
        <v>18096.071</v>
      </c>
      <c r="M411" s="12">
        <v>185.51</v>
      </c>
      <c r="N411" s="12">
        <v>185.51</v>
      </c>
      <c r="O411" s="12">
        <v>762.29399999999998</v>
      </c>
      <c r="P411" s="12">
        <v>24</v>
      </c>
      <c r="Q411" s="12">
        <v>24</v>
      </c>
      <c r="R411" s="12">
        <v>19</v>
      </c>
    </row>
    <row r="412" spans="1:18" ht="17" customHeight="1" x14ac:dyDescent="0.15">
      <c r="A412" s="8" t="s">
        <v>2180</v>
      </c>
      <c r="B412" s="9" t="s">
        <v>2181</v>
      </c>
      <c r="C412" s="8" t="s">
        <v>2182</v>
      </c>
      <c r="D412" s="8" t="s">
        <v>2182</v>
      </c>
      <c r="E412" s="8" t="s">
        <v>2183</v>
      </c>
      <c r="F412" s="8" t="s">
        <v>2039</v>
      </c>
      <c r="G412" s="8" t="s">
        <v>2184</v>
      </c>
      <c r="H412" s="8" t="s">
        <v>2041</v>
      </c>
      <c r="I412" s="8" t="str">
        <f>HYPERLINK("http://www.thecutproduction.it/","www.thecutproduction.it")</f>
        <v>www.thecutproduction.it</v>
      </c>
      <c r="J412" s="10">
        <v>12896.184999999999</v>
      </c>
      <c r="K412" s="10">
        <v>12896.184999999999</v>
      </c>
      <c r="L412" s="10">
        <v>18085.735000000001</v>
      </c>
      <c r="M412" s="10">
        <v>-2740.2060000000001</v>
      </c>
      <c r="N412" s="10">
        <v>-2740.2060000000001</v>
      </c>
      <c r="O412" s="10">
        <v>-4669.3810000000003</v>
      </c>
      <c r="P412" s="10">
        <v>192</v>
      </c>
      <c r="Q412" s="10">
        <v>192</v>
      </c>
      <c r="R412" s="10">
        <v>241</v>
      </c>
    </row>
    <row r="413" spans="1:18" ht="17" customHeight="1" x14ac:dyDescent="0.15">
      <c r="A413" s="11" t="s">
        <v>2185</v>
      </c>
      <c r="B413" s="1" t="s">
        <v>2186</v>
      </c>
      <c r="C413" s="11" t="s">
        <v>2187</v>
      </c>
      <c r="D413" s="11" t="s">
        <v>2187</v>
      </c>
      <c r="E413" s="11" t="s">
        <v>2188</v>
      </c>
      <c r="F413" s="11" t="s">
        <v>2059</v>
      </c>
      <c r="G413" s="11" t="s">
        <v>2138</v>
      </c>
      <c r="H413" s="11" t="s">
        <v>2054</v>
      </c>
      <c r="I413" s="11" t="str">
        <f>HYPERLINK("http://panthersafety.it/","panthersafety.it")</f>
        <v>panthersafety.it</v>
      </c>
      <c r="J413" s="12">
        <v>16419.71</v>
      </c>
      <c r="K413" s="12">
        <v>16419.71</v>
      </c>
      <c r="L413" s="13">
        <v>18014.679</v>
      </c>
      <c r="M413" s="12">
        <v>48.143000000000001</v>
      </c>
      <c r="N413" s="12">
        <v>48.143000000000001</v>
      </c>
      <c r="O413" s="12">
        <v>175.71299999999999</v>
      </c>
      <c r="P413" s="12">
        <v>56</v>
      </c>
      <c r="Q413" s="12">
        <v>56</v>
      </c>
      <c r="R413" s="12">
        <v>53</v>
      </c>
    </row>
    <row r="414" spans="1:18" ht="17" customHeight="1" x14ac:dyDescent="0.15">
      <c r="A414" s="8" t="s">
        <v>2189</v>
      </c>
      <c r="B414" s="9" t="s">
        <v>2190</v>
      </c>
      <c r="C414" s="8" t="s">
        <v>2191</v>
      </c>
      <c r="D414" s="8" t="s">
        <v>2191</v>
      </c>
      <c r="E414" s="8" t="s">
        <v>2192</v>
      </c>
      <c r="F414" s="8" t="s">
        <v>2059</v>
      </c>
      <c r="G414" s="8" t="s">
        <v>2067</v>
      </c>
      <c r="H414" s="8" t="s">
        <v>2068</v>
      </c>
      <c r="I414" s="8" t="str">
        <f>HYPERLINK("http://www.albaen.it/","www.albaen.it")</f>
        <v>www.albaen.it</v>
      </c>
      <c r="J414" s="10">
        <v>15387.789000000001</v>
      </c>
      <c r="K414" s="10">
        <v>15387.789000000001</v>
      </c>
      <c r="L414" s="10">
        <v>18008.476999999999</v>
      </c>
      <c r="M414" s="10">
        <v>601.32600000000002</v>
      </c>
      <c r="N414" s="10">
        <v>601.32600000000002</v>
      </c>
      <c r="O414" s="10">
        <v>395.89</v>
      </c>
      <c r="P414" s="10">
        <v>21</v>
      </c>
      <c r="Q414" s="10">
        <v>21</v>
      </c>
      <c r="R414" s="10">
        <v>23</v>
      </c>
    </row>
    <row r="415" spans="1:18" ht="17" customHeight="1" x14ac:dyDescent="0.15">
      <c r="A415" s="11" t="s">
        <v>2193</v>
      </c>
      <c r="B415" s="1" t="s">
        <v>2194</v>
      </c>
      <c r="C415" s="11" t="s">
        <v>2195</v>
      </c>
      <c r="D415" s="11" t="s">
        <v>2195</v>
      </c>
      <c r="E415" s="11" t="s">
        <v>2196</v>
      </c>
      <c r="F415" s="11" t="s">
        <v>2059</v>
      </c>
      <c r="G415" s="11" t="s">
        <v>2086</v>
      </c>
      <c r="H415" s="11" t="s">
        <v>2054</v>
      </c>
      <c r="I415" s="11" t="str">
        <f>HYPERLINK("http://www.megfootwear.com/","www.megfootwear.com")</f>
        <v>www.megfootwear.com</v>
      </c>
      <c r="J415" s="12">
        <v>21177.073</v>
      </c>
      <c r="K415" s="12">
        <v>21177.073</v>
      </c>
      <c r="L415" s="13">
        <v>18008.343000000001</v>
      </c>
      <c r="M415" s="12">
        <v>156.77500000000001</v>
      </c>
      <c r="N415" s="12">
        <v>156.77500000000001</v>
      </c>
      <c r="O415" s="12">
        <v>198.827</v>
      </c>
      <c r="P415" s="12">
        <v>23</v>
      </c>
      <c r="Q415" s="12">
        <v>23</v>
      </c>
      <c r="R415" s="12">
        <v>26</v>
      </c>
    </row>
    <row r="416" spans="1:18" ht="29.5" customHeight="1" x14ac:dyDescent="0.15">
      <c r="A416" s="8" t="s">
        <v>2197</v>
      </c>
      <c r="B416" s="9" t="s">
        <v>2198</v>
      </c>
      <c r="C416" s="8" t="s">
        <v>2199</v>
      </c>
      <c r="D416" s="8" t="s">
        <v>2199</v>
      </c>
      <c r="E416" s="8" t="s">
        <v>2200</v>
      </c>
      <c r="F416" s="8" t="s">
        <v>2059</v>
      </c>
      <c r="G416" s="8" t="s">
        <v>2201</v>
      </c>
      <c r="H416" s="8" t="s">
        <v>2041</v>
      </c>
      <c r="I416" s="8" t="str">
        <f>HYPERLINK("http://calzaturificiosoldini.it/","calzaturificiosoldini.it")</f>
        <v>calzaturificiosoldini.it</v>
      </c>
      <c r="J416" s="10">
        <v>17078.120999999999</v>
      </c>
      <c r="K416" s="10">
        <v>17078.120999999999</v>
      </c>
      <c r="L416" s="10">
        <v>17849.696</v>
      </c>
      <c r="M416" s="10">
        <v>-250.75</v>
      </c>
      <c r="N416" s="10">
        <v>-250.75</v>
      </c>
      <c r="O416" s="10">
        <v>-25.056999999999999</v>
      </c>
      <c r="P416" s="10">
        <v>135</v>
      </c>
      <c r="Q416" s="10">
        <v>135</v>
      </c>
      <c r="R416" s="10">
        <v>139</v>
      </c>
    </row>
    <row r="417" spans="1:18" ht="17" customHeight="1" x14ac:dyDescent="0.15">
      <c r="A417" s="11" t="s">
        <v>2202</v>
      </c>
      <c r="B417" s="1" t="s">
        <v>2203</v>
      </c>
      <c r="C417" s="11" t="s">
        <v>2204</v>
      </c>
      <c r="D417" s="11" t="s">
        <v>2204</v>
      </c>
      <c r="E417" s="11" t="s">
        <v>2205</v>
      </c>
      <c r="F417" s="11" t="s">
        <v>2206</v>
      </c>
      <c r="G417" s="11" t="s">
        <v>2207</v>
      </c>
      <c r="H417" s="11" t="s">
        <v>2208</v>
      </c>
      <c r="I417" s="11" t="str">
        <f>HYPERLINK("http://igam.it/","igam.it")</f>
        <v>igam.it</v>
      </c>
      <c r="J417" s="12">
        <v>15106.154</v>
      </c>
      <c r="K417" s="12">
        <v>15106.154</v>
      </c>
      <c r="L417" s="13">
        <v>17839.294999999998</v>
      </c>
      <c r="M417" s="12">
        <v>13.803000000000001</v>
      </c>
      <c r="N417" s="12">
        <v>13.803000000000001</v>
      </c>
      <c r="O417" s="12">
        <v>49.777999999999999</v>
      </c>
      <c r="P417" s="12">
        <v>50</v>
      </c>
      <c r="Q417" s="12">
        <v>50</v>
      </c>
      <c r="R417" s="12">
        <v>50</v>
      </c>
    </row>
    <row r="418" spans="1:18" ht="29.5" customHeight="1" x14ac:dyDescent="0.15">
      <c r="A418" s="8" t="s">
        <v>2209</v>
      </c>
      <c r="B418" s="9" t="s">
        <v>2210</v>
      </c>
      <c r="C418" s="8" t="s">
        <v>2211</v>
      </c>
      <c r="D418" s="8" t="s">
        <v>2211</v>
      </c>
      <c r="E418" s="8" t="s">
        <v>2212</v>
      </c>
      <c r="F418" s="8" t="s">
        <v>2213</v>
      </c>
      <c r="G418" s="8" t="s">
        <v>2214</v>
      </c>
      <c r="H418" s="8" t="s">
        <v>2215</v>
      </c>
      <c r="I418" s="8" t="str">
        <f>HYPERLINK("http://www.calzaturificiomaritanspa.it/","www.calzaturificiomaritanspa.it")</f>
        <v>www.calzaturificiomaritanspa.it</v>
      </c>
      <c r="J418" s="10">
        <v>11550.097</v>
      </c>
      <c r="K418" s="10">
        <v>11550.097</v>
      </c>
      <c r="L418" s="10">
        <v>17780.298999999999</v>
      </c>
      <c r="M418" s="10">
        <v>-2047.2360000000001</v>
      </c>
      <c r="N418" s="10">
        <v>-2047.2360000000001</v>
      </c>
      <c r="O418" s="10">
        <v>-139.12100000000001</v>
      </c>
      <c r="P418" s="10">
        <v>39</v>
      </c>
      <c r="Q418" s="10">
        <v>39</v>
      </c>
      <c r="R418" s="10">
        <v>48</v>
      </c>
    </row>
    <row r="419" spans="1:18" ht="17" customHeight="1" x14ac:dyDescent="0.15">
      <c r="A419" s="11" t="s">
        <v>2216</v>
      </c>
      <c r="B419" s="1" t="s">
        <v>2217</v>
      </c>
      <c r="C419" s="11" t="s">
        <v>2218</v>
      </c>
      <c r="D419" s="11" t="s">
        <v>2218</v>
      </c>
      <c r="E419" s="11" t="s">
        <v>2219</v>
      </c>
      <c r="F419" s="11" t="s">
        <v>2220</v>
      </c>
      <c r="G419" s="11" t="s">
        <v>2221</v>
      </c>
      <c r="H419" s="11" t="s">
        <v>2215</v>
      </c>
      <c r="I419" s="11" t="str">
        <f>HYPERLINK("http://www.bszitaly.com/","www.bszitaly.com")</f>
        <v>www.bszitaly.com</v>
      </c>
      <c r="J419" s="12">
        <v>17453.817999999999</v>
      </c>
      <c r="K419" s="12">
        <v>17453.817999999999</v>
      </c>
      <c r="L419" s="13">
        <v>17764.032999999999</v>
      </c>
      <c r="M419" s="12">
        <v>358.471</v>
      </c>
      <c r="N419" s="12">
        <v>358.471</v>
      </c>
      <c r="O419" s="12">
        <v>975.45399999999995</v>
      </c>
      <c r="P419" s="12">
        <v>19</v>
      </c>
      <c r="Q419" s="12">
        <v>19</v>
      </c>
      <c r="R419" s="12">
        <v>24</v>
      </c>
    </row>
    <row r="420" spans="1:18" ht="17" customHeight="1" x14ac:dyDescent="0.15">
      <c r="A420" s="8" t="s">
        <v>2222</v>
      </c>
      <c r="B420" s="9" t="s">
        <v>2223</v>
      </c>
      <c r="C420" s="8" t="s">
        <v>2224</v>
      </c>
      <c r="D420" s="8" t="s">
        <v>2224</v>
      </c>
      <c r="E420" s="8" t="s">
        <v>2225</v>
      </c>
      <c r="F420" s="8" t="s">
        <v>2226</v>
      </c>
      <c r="G420" s="8" t="s">
        <v>2227</v>
      </c>
      <c r="H420" s="8" t="s">
        <v>2228</v>
      </c>
      <c r="I420" s="8" t="str">
        <f>HYPERLINK("http://www.pantytex.com/","www.pantytex.com")</f>
        <v>www.pantytex.com</v>
      </c>
      <c r="J420" s="10">
        <v>18632.623</v>
      </c>
      <c r="K420" s="10">
        <v>18632.623</v>
      </c>
      <c r="L420" s="10">
        <v>17762.328000000001</v>
      </c>
      <c r="M420" s="10">
        <v>275.56200000000001</v>
      </c>
      <c r="N420" s="10">
        <v>275.56200000000001</v>
      </c>
      <c r="O420" s="10">
        <v>146.42099999999999</v>
      </c>
      <c r="P420" s="10">
        <v>62</v>
      </c>
      <c r="Q420" s="10">
        <v>62</v>
      </c>
      <c r="R420" s="10">
        <v>62</v>
      </c>
    </row>
    <row r="421" spans="1:18" ht="17" customHeight="1" x14ac:dyDescent="0.15">
      <c r="A421" s="11" t="s">
        <v>2229</v>
      </c>
      <c r="B421" s="1" t="s">
        <v>2230</v>
      </c>
      <c r="C421" s="11" t="s">
        <v>2231</v>
      </c>
      <c r="D421" s="11" t="s">
        <v>2231</v>
      </c>
      <c r="E421" s="11" t="s">
        <v>2232</v>
      </c>
      <c r="F421" s="11" t="s">
        <v>2220</v>
      </c>
      <c r="G421" s="11" t="s">
        <v>2227</v>
      </c>
      <c r="H421" s="11" t="s">
        <v>2228</v>
      </c>
      <c r="I421" s="11" t="str">
        <f>HYPERLINK("http://www.conceriaguerino.it/","www.conceriaguerino.it")</f>
        <v>www.conceriaguerino.it</v>
      </c>
      <c r="J421" s="12">
        <v>10633.859</v>
      </c>
      <c r="K421" s="12">
        <v>10633.859</v>
      </c>
      <c r="L421" s="13">
        <v>17742.983</v>
      </c>
      <c r="M421" s="12">
        <v>568.62099999999998</v>
      </c>
      <c r="N421" s="12">
        <v>568.62099999999998</v>
      </c>
      <c r="O421" s="12">
        <v>1511.848</v>
      </c>
      <c r="P421" s="12">
        <v>12</v>
      </c>
      <c r="Q421" s="12">
        <v>12</v>
      </c>
      <c r="R421" s="12">
        <v>14</v>
      </c>
    </row>
    <row r="422" spans="1:18" ht="17" customHeight="1" x14ac:dyDescent="0.15">
      <c r="A422" s="8" t="s">
        <v>2233</v>
      </c>
      <c r="B422" s="9" t="s">
        <v>2234</v>
      </c>
      <c r="C422" s="8" t="s">
        <v>2235</v>
      </c>
      <c r="D422" s="8" t="s">
        <v>2235</v>
      </c>
      <c r="E422" s="8" t="s">
        <v>2236</v>
      </c>
      <c r="F422" s="8" t="s">
        <v>2237</v>
      </c>
      <c r="G422" s="8" t="s">
        <v>2238</v>
      </c>
      <c r="H422" s="8" t="s">
        <v>2215</v>
      </c>
      <c r="I422" s="8" t="str">
        <f>HYPERLINK("http://www.coriumlinepelletterie.com/","www.coriumlinepelletterie.com")</f>
        <v>www.coriumlinepelletterie.com</v>
      </c>
      <c r="J422" s="10">
        <v>15968.746999999999</v>
      </c>
      <c r="K422" s="10">
        <v>15968.746999999999</v>
      </c>
      <c r="L422" s="10">
        <v>17718.954000000002</v>
      </c>
      <c r="M422" s="10">
        <v>965.625</v>
      </c>
      <c r="N422" s="10">
        <v>965.625</v>
      </c>
      <c r="O422" s="10">
        <v>919.84299999999996</v>
      </c>
      <c r="P422" s="10">
        <v>41</v>
      </c>
      <c r="Q422" s="10">
        <v>41</v>
      </c>
      <c r="R422" s="10">
        <v>41</v>
      </c>
    </row>
    <row r="423" spans="1:18" ht="17" customHeight="1" x14ac:dyDescent="0.15">
      <c r="A423" s="11" t="s">
        <v>2239</v>
      </c>
      <c r="B423" s="1" t="s">
        <v>2240</v>
      </c>
      <c r="C423" s="11" t="s">
        <v>2241</v>
      </c>
      <c r="D423" s="11" t="s">
        <v>2241</v>
      </c>
      <c r="E423" s="11" t="s">
        <v>2242</v>
      </c>
      <c r="F423" s="11" t="s">
        <v>2243</v>
      </c>
      <c r="G423" s="11" t="s">
        <v>2244</v>
      </c>
      <c r="H423" s="11" t="s">
        <v>2245</v>
      </c>
      <c r="I423" s="11" t="str">
        <f>HYPERLINK("http://www.sinergy-group.it/","www.sinergy-group.it")</f>
        <v>www.sinergy-group.it</v>
      </c>
      <c r="J423" s="12">
        <v>18670.105</v>
      </c>
      <c r="K423" s="12">
        <v>18670.105</v>
      </c>
      <c r="L423" s="13">
        <v>17660.208999999999</v>
      </c>
      <c r="M423" s="12">
        <v>1195.308</v>
      </c>
      <c r="N423" s="12">
        <v>1195.308</v>
      </c>
      <c r="O423" s="12">
        <v>1455.3309999999999</v>
      </c>
      <c r="P423" s="12">
        <v>12</v>
      </c>
      <c r="Q423" s="12">
        <v>12</v>
      </c>
      <c r="R423" s="12">
        <v>13</v>
      </c>
    </row>
    <row r="424" spans="1:18" ht="17" customHeight="1" x14ac:dyDescent="0.15">
      <c r="A424" s="8" t="s">
        <v>2246</v>
      </c>
      <c r="B424" s="9" t="s">
        <v>2247</v>
      </c>
      <c r="C424" s="8" t="s">
        <v>2248</v>
      </c>
      <c r="D424" s="8" t="s">
        <v>2248</v>
      </c>
      <c r="E424" s="8" t="s">
        <v>2249</v>
      </c>
      <c r="F424" s="8" t="s">
        <v>2220</v>
      </c>
      <c r="G424" s="8" t="s">
        <v>2250</v>
      </c>
      <c r="H424" s="8" t="s">
        <v>2251</v>
      </c>
      <c r="I424" s="8" t="str">
        <f>HYPERLINK("http://www.sanlorenzospa.it/","www.sanlorenzospa.it")</f>
        <v>www.sanlorenzospa.it</v>
      </c>
      <c r="J424" s="10">
        <v>17202.585999999999</v>
      </c>
      <c r="K424" s="10">
        <v>17202.585999999999</v>
      </c>
      <c r="L424" s="10">
        <v>17524.857</v>
      </c>
      <c r="M424" s="10">
        <v>402.346</v>
      </c>
      <c r="N424" s="10">
        <v>402.346</v>
      </c>
      <c r="O424" s="10">
        <v>1967.0740000000001</v>
      </c>
      <c r="P424" s="10">
        <v>55</v>
      </c>
      <c r="Q424" s="10">
        <v>55</v>
      </c>
      <c r="R424" s="10">
        <v>55</v>
      </c>
    </row>
    <row r="425" spans="1:18" ht="17" customHeight="1" x14ac:dyDescent="0.15">
      <c r="A425" s="11" t="s">
        <v>2252</v>
      </c>
      <c r="B425" s="1" t="s">
        <v>2253</v>
      </c>
      <c r="C425" s="11" t="s">
        <v>2254</v>
      </c>
      <c r="D425" s="11" t="s">
        <v>2255</v>
      </c>
      <c r="E425" s="11" t="s">
        <v>2256</v>
      </c>
      <c r="F425" s="11" t="s">
        <v>2257</v>
      </c>
      <c r="G425" s="11" t="s">
        <v>2258</v>
      </c>
      <c r="H425" s="11" t="s">
        <v>2215</v>
      </c>
      <c r="I425" s="11" t="str">
        <f>HYPERLINK("http://handpicked.it/","handpicked.it")</f>
        <v>handpicked.it</v>
      </c>
      <c r="J425" s="12">
        <v>21715.873</v>
      </c>
      <c r="K425" s="12">
        <v>21715.873</v>
      </c>
      <c r="L425" s="13">
        <v>17478.305</v>
      </c>
      <c r="M425" s="12">
        <v>-2280.1379999999999</v>
      </c>
      <c r="N425" s="12">
        <v>-2280.1379999999999</v>
      </c>
      <c r="O425" s="12">
        <v>-160.51</v>
      </c>
      <c r="P425" s="12">
        <v>84</v>
      </c>
      <c r="Q425" s="12">
        <v>84</v>
      </c>
      <c r="R425" s="12">
        <v>95</v>
      </c>
    </row>
    <row r="426" spans="1:18" ht="17" customHeight="1" x14ac:dyDescent="0.15">
      <c r="A426" s="8" t="s">
        <v>2259</v>
      </c>
      <c r="B426" s="9" t="s">
        <v>2260</v>
      </c>
      <c r="C426" s="8" t="s">
        <v>2261</v>
      </c>
      <c r="D426" s="8" t="s">
        <v>2261</v>
      </c>
      <c r="E426" s="8" t="s">
        <v>2262</v>
      </c>
      <c r="F426" s="8" t="s">
        <v>2263</v>
      </c>
      <c r="G426" s="8" t="s">
        <v>2258</v>
      </c>
      <c r="H426" s="8" t="s">
        <v>2215</v>
      </c>
      <c r="I426" s="8" t="str">
        <f>HYPERLINK("http://www.rbs1979.it/","www.rbs1979.it")</f>
        <v>www.rbs1979.it</v>
      </c>
      <c r="J426" s="10">
        <v>13958.743</v>
      </c>
      <c r="K426" s="10">
        <v>13958.743</v>
      </c>
      <c r="L426" s="10">
        <v>17458.8</v>
      </c>
      <c r="M426" s="10">
        <v>1508.5630000000001</v>
      </c>
      <c r="N426" s="10">
        <v>1508.5630000000001</v>
      </c>
      <c r="O426" s="10">
        <v>2595.3820000000001</v>
      </c>
      <c r="P426" s="10">
        <v>46</v>
      </c>
      <c r="Q426" s="10">
        <v>46</v>
      </c>
      <c r="R426" s="10">
        <v>38</v>
      </c>
    </row>
    <row r="427" spans="1:18" ht="17" customHeight="1" x14ac:dyDescent="0.15">
      <c r="A427" s="11" t="s">
        <v>2264</v>
      </c>
      <c r="B427" s="1" t="s">
        <v>2265</v>
      </c>
      <c r="C427" s="11" t="s">
        <v>2266</v>
      </c>
      <c r="D427" s="11" t="s">
        <v>2266</v>
      </c>
      <c r="E427" s="11" t="s">
        <v>2267</v>
      </c>
      <c r="F427" s="11" t="s">
        <v>2268</v>
      </c>
      <c r="G427" s="11" t="s">
        <v>2269</v>
      </c>
      <c r="H427" s="11" t="s">
        <v>2215</v>
      </c>
      <c r="I427" s="11" t="str">
        <f>HYPERLINK("http://deha.tv/","deha.tv")</f>
        <v>deha.tv</v>
      </c>
      <c r="J427" s="12">
        <v>17151.731</v>
      </c>
      <c r="K427" s="12">
        <v>17151.731</v>
      </c>
      <c r="L427" s="13">
        <v>17442.289000000001</v>
      </c>
      <c r="M427" s="12">
        <v>-483.37599999999998</v>
      </c>
      <c r="N427" s="12">
        <v>-483.37599999999998</v>
      </c>
      <c r="O427" s="12">
        <v>145.791</v>
      </c>
      <c r="P427" s="12">
        <v>35</v>
      </c>
      <c r="Q427" s="12">
        <v>35</v>
      </c>
      <c r="R427" s="12">
        <v>32</v>
      </c>
    </row>
    <row r="428" spans="1:18" ht="29.5" customHeight="1" x14ac:dyDescent="0.15">
      <c r="A428" s="8" t="s">
        <v>2270</v>
      </c>
      <c r="B428" s="9" t="s">
        <v>2271</v>
      </c>
      <c r="C428" s="8" t="s">
        <v>2272</v>
      </c>
      <c r="D428" s="8" t="s">
        <v>2273</v>
      </c>
      <c r="E428" s="8" t="s">
        <v>2274</v>
      </c>
      <c r="F428" s="8" t="s">
        <v>2220</v>
      </c>
      <c r="G428" s="8" t="s">
        <v>2275</v>
      </c>
      <c r="H428" s="8" t="s">
        <v>2276</v>
      </c>
      <c r="I428" s="8" t="str">
        <f>HYPERLINK("http://www.onlyfrank.it/","www.onlyfrank.it")</f>
        <v>www.onlyfrank.it</v>
      </c>
      <c r="J428" s="10">
        <v>14522.118</v>
      </c>
      <c r="K428" s="10">
        <v>14522.118</v>
      </c>
      <c r="L428" s="10">
        <v>17399.151999999998</v>
      </c>
      <c r="M428" s="10">
        <v>1233.039</v>
      </c>
      <c r="N428" s="10">
        <v>1233.039</v>
      </c>
      <c r="O428" s="10">
        <v>1952.702</v>
      </c>
      <c r="P428" s="10">
        <v>11</v>
      </c>
      <c r="Q428" s="10">
        <v>11</v>
      </c>
      <c r="R428" s="10">
        <v>11</v>
      </c>
    </row>
    <row r="429" spans="1:18" ht="17" customHeight="1" x14ac:dyDescent="0.15">
      <c r="A429" s="11" t="s">
        <v>2277</v>
      </c>
      <c r="B429" s="1" t="s">
        <v>2278</v>
      </c>
      <c r="C429" s="11" t="s">
        <v>2279</v>
      </c>
      <c r="D429" s="11" t="s">
        <v>2279</v>
      </c>
      <c r="E429" s="11" t="s">
        <v>2280</v>
      </c>
      <c r="F429" s="11" t="s">
        <v>2220</v>
      </c>
      <c r="G429" s="11" t="s">
        <v>2221</v>
      </c>
      <c r="H429" s="11" t="s">
        <v>2215</v>
      </c>
      <c r="I429" s="11" t="str">
        <f>HYPERLINK("http://www.dallabenetta.com/","www.dallabenetta.com")</f>
        <v>www.dallabenetta.com</v>
      </c>
      <c r="J429" s="12">
        <v>14507.085999999999</v>
      </c>
      <c r="K429" s="12">
        <v>14507.085999999999</v>
      </c>
      <c r="L429" s="13">
        <v>17308.54</v>
      </c>
      <c r="M429" s="12">
        <v>37.994</v>
      </c>
      <c r="N429" s="12">
        <v>37.994</v>
      </c>
      <c r="O429" s="12">
        <v>180.364</v>
      </c>
      <c r="P429" s="12">
        <v>39</v>
      </c>
      <c r="Q429" s="12">
        <v>39</v>
      </c>
      <c r="R429" s="12">
        <v>40</v>
      </c>
    </row>
    <row r="430" spans="1:18" ht="17" customHeight="1" x14ac:dyDescent="0.15">
      <c r="A430" s="8" t="s">
        <v>2281</v>
      </c>
      <c r="B430" s="9" t="s">
        <v>2282</v>
      </c>
      <c r="C430" s="8" t="s">
        <v>2283</v>
      </c>
      <c r="D430" s="8" t="s">
        <v>2283</v>
      </c>
      <c r="E430" s="8" t="s">
        <v>2284</v>
      </c>
      <c r="F430" s="8" t="s">
        <v>2285</v>
      </c>
      <c r="G430" s="8" t="s">
        <v>2221</v>
      </c>
      <c r="H430" s="8" t="s">
        <v>2215</v>
      </c>
      <c r="I430" s="8" t="str">
        <f>HYPERLINK("http://xpdboots.com/","xpdboots.com")</f>
        <v>xpdboots.com</v>
      </c>
      <c r="J430" s="10">
        <v>15423.182000000001</v>
      </c>
      <c r="K430" s="10">
        <v>17120.510999999999</v>
      </c>
      <c r="L430" s="10">
        <v>17303.733</v>
      </c>
      <c r="M430" s="10">
        <v>472.72199999999998</v>
      </c>
      <c r="N430" s="10">
        <v>707.85199999999998</v>
      </c>
      <c r="O430" s="10">
        <v>1010.462</v>
      </c>
      <c r="P430" s="10">
        <v>53</v>
      </c>
      <c r="Q430" s="10">
        <v>50</v>
      </c>
      <c r="R430" s="10">
        <v>47</v>
      </c>
    </row>
    <row r="431" spans="1:18" ht="29.5" customHeight="1" x14ac:dyDescent="0.15">
      <c r="A431" s="11" t="s">
        <v>2286</v>
      </c>
      <c r="B431" s="1" t="s">
        <v>2287</v>
      </c>
      <c r="C431" s="11" t="s">
        <v>2288</v>
      </c>
      <c r="D431" s="11" t="s">
        <v>2288</v>
      </c>
      <c r="E431" s="11" t="s">
        <v>2289</v>
      </c>
      <c r="F431" s="11" t="s">
        <v>2290</v>
      </c>
      <c r="G431" s="11" t="s">
        <v>2291</v>
      </c>
      <c r="H431" s="11" t="s">
        <v>2292</v>
      </c>
      <c r="I431" s="11" t="str">
        <f>HYPERLINK("http://matia.it/","matia.it")</f>
        <v>matia.it</v>
      </c>
      <c r="J431" s="12">
        <v>12663.807000000001</v>
      </c>
      <c r="K431" s="12">
        <v>12663.807000000001</v>
      </c>
      <c r="L431" s="13">
        <v>17257.009999999998</v>
      </c>
      <c r="M431" s="12">
        <v>-270.22899999999998</v>
      </c>
      <c r="N431" s="12">
        <v>-270.22899999999998</v>
      </c>
      <c r="O431" s="12">
        <v>-411.64</v>
      </c>
      <c r="P431" s="12">
        <v>106</v>
      </c>
      <c r="Q431" s="12">
        <v>106</v>
      </c>
      <c r="R431" s="12">
        <v>113</v>
      </c>
    </row>
    <row r="432" spans="1:18" ht="29.5" customHeight="1" x14ac:dyDescent="0.15">
      <c r="A432" s="8" t="s">
        <v>2293</v>
      </c>
      <c r="B432" s="9" t="s">
        <v>2294</v>
      </c>
      <c r="C432" s="8" t="s">
        <v>2295</v>
      </c>
      <c r="D432" s="8" t="s">
        <v>2295</v>
      </c>
      <c r="E432" s="8" t="s">
        <v>2296</v>
      </c>
      <c r="F432" s="8" t="s">
        <v>2220</v>
      </c>
      <c r="G432" s="8" t="s">
        <v>2297</v>
      </c>
      <c r="H432" s="8" t="s">
        <v>2251</v>
      </c>
      <c r="I432" s="8" t="str">
        <f>HYPERLINK("http://www.sirio-srl.it/","http://www.sirio-srl.it")</f>
        <v>http://www.sirio-srl.it</v>
      </c>
      <c r="J432" s="10">
        <v>11474.565000000001</v>
      </c>
      <c r="K432" s="10">
        <v>11474.565000000001</v>
      </c>
      <c r="L432" s="10">
        <v>17236.929</v>
      </c>
      <c r="M432" s="10">
        <v>790.61800000000005</v>
      </c>
      <c r="N432" s="10">
        <v>790.61800000000005</v>
      </c>
      <c r="O432" s="10">
        <v>976.43299999999999</v>
      </c>
      <c r="P432" s="10">
        <v>36</v>
      </c>
      <c r="Q432" s="10">
        <v>36</v>
      </c>
      <c r="R432" s="10">
        <v>40</v>
      </c>
    </row>
    <row r="433" spans="1:18" ht="17" customHeight="1" x14ac:dyDescent="0.15">
      <c r="A433" s="11" t="s">
        <v>2298</v>
      </c>
      <c r="B433" s="1" t="s">
        <v>2299</v>
      </c>
      <c r="C433" s="11" t="s">
        <v>2300</v>
      </c>
      <c r="D433" s="11" t="s">
        <v>2300</v>
      </c>
      <c r="E433" s="11" t="s">
        <v>2301</v>
      </c>
      <c r="F433" s="11" t="s">
        <v>2285</v>
      </c>
      <c r="G433" s="11" t="s">
        <v>2302</v>
      </c>
      <c r="H433" s="11" t="s">
        <v>2303</v>
      </c>
      <c r="I433" s="11" t="str">
        <f>HYPERLINK("http://santonisrl.com/","santonisrl.com")</f>
        <v>santonisrl.com</v>
      </c>
      <c r="J433" s="12">
        <v>16073.581</v>
      </c>
      <c r="K433" s="12">
        <v>16073.581</v>
      </c>
      <c r="L433" s="13">
        <v>17174.483</v>
      </c>
      <c r="M433" s="12">
        <v>861.72199999999998</v>
      </c>
      <c r="N433" s="12">
        <v>861.72199999999998</v>
      </c>
      <c r="O433" s="12">
        <v>1314.62</v>
      </c>
      <c r="P433" s="12">
        <v>72</v>
      </c>
      <c r="Q433" s="12">
        <v>72</v>
      </c>
      <c r="R433" s="12">
        <v>71</v>
      </c>
    </row>
    <row r="434" spans="1:18" ht="17" customHeight="1" x14ac:dyDescent="0.15">
      <c r="A434" s="8" t="s">
        <v>2304</v>
      </c>
      <c r="B434" s="9" t="s">
        <v>2305</v>
      </c>
      <c r="C434" s="8" t="s">
        <v>2306</v>
      </c>
      <c r="D434" s="8" t="s">
        <v>2306</v>
      </c>
      <c r="E434" s="8" t="s">
        <v>2307</v>
      </c>
      <c r="F434" s="8" t="s">
        <v>2243</v>
      </c>
      <c r="G434" s="8" t="s">
        <v>2221</v>
      </c>
      <c r="H434" s="8" t="s">
        <v>2215</v>
      </c>
      <c r="I434" s="8" t="str">
        <f>HYPERLINK("http://forint.it/","forint.it")</f>
        <v>forint.it</v>
      </c>
      <c r="J434" s="10">
        <v>23939.978999999999</v>
      </c>
      <c r="K434" s="10">
        <v>23939.978999999999</v>
      </c>
      <c r="L434" s="10">
        <v>17148.472000000002</v>
      </c>
      <c r="M434" s="10">
        <v>651.35</v>
      </c>
      <c r="N434" s="10">
        <v>651.35</v>
      </c>
      <c r="O434" s="10">
        <v>-692.846</v>
      </c>
      <c r="P434" s="10">
        <v>88</v>
      </c>
      <c r="Q434" s="10">
        <v>88</v>
      </c>
      <c r="R434" s="10">
        <v>88</v>
      </c>
    </row>
    <row r="435" spans="1:18" ht="17" customHeight="1" x14ac:dyDescent="0.15">
      <c r="A435" s="11" t="s">
        <v>2308</v>
      </c>
      <c r="B435" s="1" t="s">
        <v>2309</v>
      </c>
      <c r="C435" s="11" t="s">
        <v>2310</v>
      </c>
      <c r="D435" s="11" t="s">
        <v>2310</v>
      </c>
      <c r="E435" s="11" t="s">
        <v>2311</v>
      </c>
      <c r="F435" s="11" t="s">
        <v>2290</v>
      </c>
      <c r="G435" s="11" t="s">
        <v>2297</v>
      </c>
      <c r="H435" s="11" t="s">
        <v>2251</v>
      </c>
      <c r="I435" s="11" t="str">
        <f>HYPERLINK("http://www.florentiamed.com/","www.florentiamed.com")</f>
        <v>www.florentiamed.com</v>
      </c>
      <c r="J435" s="12">
        <v>12887.561</v>
      </c>
      <c r="K435" s="12">
        <v>12887.561</v>
      </c>
      <c r="L435" s="13">
        <v>17128.366999999998</v>
      </c>
      <c r="M435" s="12">
        <v>84.875</v>
      </c>
      <c r="N435" s="12">
        <v>84.875</v>
      </c>
      <c r="O435" s="12">
        <v>593.65899999999999</v>
      </c>
      <c r="P435" s="12">
        <v>32</v>
      </c>
      <c r="Q435" s="12">
        <v>32</v>
      </c>
      <c r="R435" s="12">
        <v>24</v>
      </c>
    </row>
    <row r="436" spans="1:18" ht="17" customHeight="1" x14ac:dyDescent="0.15">
      <c r="A436" s="8" t="s">
        <v>2312</v>
      </c>
      <c r="B436" s="9" t="s">
        <v>2313</v>
      </c>
      <c r="C436" s="8" t="s">
        <v>2314</v>
      </c>
      <c r="D436" s="8" t="s">
        <v>2314</v>
      </c>
      <c r="E436" s="8" t="s">
        <v>2315</v>
      </c>
      <c r="F436" s="8" t="s">
        <v>2220</v>
      </c>
      <c r="G436" s="8" t="s">
        <v>2221</v>
      </c>
      <c r="H436" s="8" t="s">
        <v>2215</v>
      </c>
      <c r="I436" s="8" t="str">
        <f>HYPERLINK("http://www.jera.eu/","www.jera.eu")</f>
        <v>www.jera.eu</v>
      </c>
      <c r="J436" s="10">
        <v>22996.63</v>
      </c>
      <c r="K436" s="10">
        <v>22996.63</v>
      </c>
      <c r="L436" s="10">
        <v>17074.446</v>
      </c>
      <c r="M436" s="10">
        <v>-7.2839999999999998</v>
      </c>
      <c r="N436" s="10">
        <v>-7.2839999999999998</v>
      </c>
      <c r="O436" s="10">
        <v>634.346</v>
      </c>
      <c r="P436" s="10">
        <v>18</v>
      </c>
      <c r="Q436" s="10">
        <v>18</v>
      </c>
      <c r="R436" s="10">
        <v>14</v>
      </c>
    </row>
    <row r="437" spans="1:18" ht="17" customHeight="1" x14ac:dyDescent="0.15">
      <c r="A437" s="11" t="s">
        <v>2316</v>
      </c>
      <c r="B437" s="1" t="s">
        <v>2317</v>
      </c>
      <c r="C437" s="11" t="s">
        <v>2318</v>
      </c>
      <c r="D437" s="11" t="s">
        <v>2318</v>
      </c>
      <c r="E437" s="11" t="s">
        <v>2319</v>
      </c>
      <c r="F437" s="11" t="s">
        <v>2220</v>
      </c>
      <c r="G437" s="11" t="s">
        <v>2221</v>
      </c>
      <c r="H437" s="11" t="s">
        <v>2215</v>
      </c>
      <c r="I437" s="11" t="str">
        <f>HYPERLINK("http://www.polettoleathers.com/","www.polettoleathers.com")</f>
        <v>www.polettoleathers.com</v>
      </c>
      <c r="J437" s="12">
        <v>15904.148999999999</v>
      </c>
      <c r="K437" s="12">
        <v>15904.148999999999</v>
      </c>
      <c r="L437" s="13">
        <v>17062.025000000001</v>
      </c>
      <c r="M437" s="12">
        <v>1547.211</v>
      </c>
      <c r="N437" s="12">
        <v>1547.211</v>
      </c>
      <c r="O437" s="12">
        <v>1849.779</v>
      </c>
      <c r="P437" s="12">
        <v>34</v>
      </c>
      <c r="Q437" s="12">
        <v>34</v>
      </c>
      <c r="R437" s="12">
        <v>33</v>
      </c>
    </row>
    <row r="438" spans="1:18" ht="17" customHeight="1" x14ac:dyDescent="0.15">
      <c r="A438" s="8" t="s">
        <v>2320</v>
      </c>
      <c r="B438" s="9" t="s">
        <v>2321</v>
      </c>
      <c r="C438" s="8" t="s">
        <v>2322</v>
      </c>
      <c r="D438" s="8" t="s">
        <v>2322</v>
      </c>
      <c r="E438" s="8" t="s">
        <v>2323</v>
      </c>
      <c r="F438" s="8" t="s">
        <v>2257</v>
      </c>
      <c r="G438" s="8" t="s">
        <v>2302</v>
      </c>
      <c r="H438" s="8" t="s">
        <v>2303</v>
      </c>
      <c r="I438" s="8" t="str">
        <f>HYPERLINK("http://www.malloni.it/","www.malloni.it")</f>
        <v>www.malloni.it</v>
      </c>
      <c r="J438" s="10">
        <v>12413.704</v>
      </c>
      <c r="K438" s="10">
        <v>12413.704</v>
      </c>
      <c r="L438" s="10">
        <v>17038.465</v>
      </c>
      <c r="M438" s="10">
        <v>-2698.7710000000002</v>
      </c>
      <c r="N438" s="10">
        <v>-2698.7710000000002</v>
      </c>
      <c r="O438" s="10">
        <v>69.099999999999994</v>
      </c>
      <c r="P438" s="10">
        <v>50</v>
      </c>
      <c r="Q438" s="10">
        <v>50</v>
      </c>
      <c r="R438" s="10">
        <v>107</v>
      </c>
    </row>
    <row r="439" spans="1:18" ht="43" customHeight="1" x14ac:dyDescent="0.15">
      <c r="A439" s="11" t="s">
        <v>2324</v>
      </c>
      <c r="B439" s="1" t="s">
        <v>2325</v>
      </c>
      <c r="C439" s="11" t="s">
        <v>2326</v>
      </c>
      <c r="D439" s="11" t="s">
        <v>2326</v>
      </c>
      <c r="E439" s="11" t="s">
        <v>2327</v>
      </c>
      <c r="F439" s="11" t="s">
        <v>2328</v>
      </c>
      <c r="G439" s="11" t="s">
        <v>2329</v>
      </c>
      <c r="H439" s="11" t="s">
        <v>2251</v>
      </c>
      <c r="I439" s="11" t="str">
        <f>HYPERLINK("http://www.lellikelly.it/","www.lellikelly.it")</f>
        <v>www.lellikelly.it</v>
      </c>
      <c r="J439" s="12">
        <v>15180.457</v>
      </c>
      <c r="K439" s="12">
        <v>15180.457</v>
      </c>
      <c r="L439" s="13">
        <v>16981.796999999999</v>
      </c>
      <c r="M439" s="12">
        <v>1417.586</v>
      </c>
      <c r="N439" s="12">
        <v>1417.586</v>
      </c>
      <c r="O439" s="12">
        <v>1405.8140000000001</v>
      </c>
      <c r="P439" s="12">
        <v>25</v>
      </c>
      <c r="Q439" s="12">
        <v>25</v>
      </c>
      <c r="R439" s="12">
        <v>24</v>
      </c>
    </row>
    <row r="440" spans="1:18" ht="17" customHeight="1" x14ac:dyDescent="0.15">
      <c r="A440" s="8" t="s">
        <v>2330</v>
      </c>
      <c r="B440" s="9" t="s">
        <v>2331</v>
      </c>
      <c r="C440" s="8" t="s">
        <v>2332</v>
      </c>
      <c r="D440" s="8" t="s">
        <v>2332</v>
      </c>
      <c r="E440" s="8" t="s">
        <v>2333</v>
      </c>
      <c r="F440" s="8" t="s">
        <v>2206</v>
      </c>
      <c r="G440" s="8" t="s">
        <v>2334</v>
      </c>
      <c r="H440" s="8" t="s">
        <v>2292</v>
      </c>
      <c r="I440" s="8" t="str">
        <f>HYPERLINK("http://www.linclalor.it/","www.linclalor.it")</f>
        <v>www.linclalor.it</v>
      </c>
      <c r="J440" s="10">
        <v>17095.625</v>
      </c>
      <c r="K440" s="10">
        <v>17095.625</v>
      </c>
      <c r="L440" s="10">
        <v>16953.313999999998</v>
      </c>
      <c r="M440" s="10">
        <v>-272.64299999999997</v>
      </c>
      <c r="N440" s="10">
        <v>-272.64299999999997</v>
      </c>
      <c r="O440" s="10">
        <v>108.91500000000001</v>
      </c>
      <c r="P440" s="10">
        <v>50</v>
      </c>
      <c r="Q440" s="10">
        <v>50</v>
      </c>
      <c r="R440" s="10">
        <v>47</v>
      </c>
    </row>
    <row r="441" spans="1:18" ht="17" customHeight="1" x14ac:dyDescent="0.15">
      <c r="A441" s="11" t="s">
        <v>2335</v>
      </c>
      <c r="B441" s="1" t="s">
        <v>2336</v>
      </c>
      <c r="C441" s="11" t="s">
        <v>2337</v>
      </c>
      <c r="D441" s="11" t="s">
        <v>2337</v>
      </c>
      <c r="E441" s="11" t="s">
        <v>2338</v>
      </c>
      <c r="F441" s="11" t="s">
        <v>2257</v>
      </c>
      <c r="G441" s="11" t="s">
        <v>2221</v>
      </c>
      <c r="H441" s="11" t="s">
        <v>2215</v>
      </c>
      <c r="I441" s="11" t="str">
        <f>HYPERLINK("http://www.lucysline.com/","www.lucysline.com")</f>
        <v>www.lucysline.com</v>
      </c>
      <c r="J441" s="12">
        <v>18877.637999999999</v>
      </c>
      <c r="K441" s="12">
        <v>18877.637999999999</v>
      </c>
      <c r="L441" s="13">
        <v>16897.261999999999</v>
      </c>
      <c r="M441" s="12">
        <v>26.742999999999999</v>
      </c>
      <c r="N441" s="12">
        <v>26.742999999999999</v>
      </c>
      <c r="O441" s="12">
        <v>81.528000000000006</v>
      </c>
      <c r="P441" s="12">
        <v>26</v>
      </c>
      <c r="Q441" s="12">
        <v>26</v>
      </c>
      <c r="R441" s="12">
        <v>30</v>
      </c>
    </row>
    <row r="442" spans="1:18" ht="17" customHeight="1" x14ac:dyDescent="0.15">
      <c r="A442" s="8" t="s">
        <v>2339</v>
      </c>
      <c r="B442" s="9" t="s">
        <v>2340</v>
      </c>
      <c r="C442" s="8" t="s">
        <v>2341</v>
      </c>
      <c r="D442" s="8" t="s">
        <v>2341</v>
      </c>
      <c r="E442" s="8" t="s">
        <v>2342</v>
      </c>
      <c r="F442" s="8" t="s">
        <v>2268</v>
      </c>
      <c r="G442" s="8" t="s">
        <v>2269</v>
      </c>
      <c r="H442" s="8" t="s">
        <v>2215</v>
      </c>
      <c r="I442" s="8" t="str">
        <f>HYPERLINK("http://www.elasticinterface.com/","http://www.elasticinterface.com")</f>
        <v>http://www.elasticinterface.com</v>
      </c>
      <c r="J442" s="10">
        <v>11421.558000000001</v>
      </c>
      <c r="K442" s="10">
        <v>11421.558000000001</v>
      </c>
      <c r="L442" s="10">
        <v>16884.895</v>
      </c>
      <c r="M442" s="10">
        <v>-853.05</v>
      </c>
      <c r="N442" s="10">
        <v>-853.05</v>
      </c>
      <c r="O442" s="10">
        <v>1642.317</v>
      </c>
      <c r="P442" s="10">
        <v>28</v>
      </c>
      <c r="Q442" s="10">
        <v>28</v>
      </c>
      <c r="R442" s="10">
        <v>22</v>
      </c>
    </row>
    <row r="443" spans="1:18" ht="29.5" customHeight="1" x14ac:dyDescent="0.15">
      <c r="A443" s="11" t="s">
        <v>2343</v>
      </c>
      <c r="B443" s="1" t="s">
        <v>2344</v>
      </c>
      <c r="C443" s="11" t="s">
        <v>2345</v>
      </c>
      <c r="D443" s="11" t="s">
        <v>2345</v>
      </c>
      <c r="E443" s="11" t="s">
        <v>2346</v>
      </c>
      <c r="F443" s="11" t="s">
        <v>2237</v>
      </c>
      <c r="G443" s="11" t="s">
        <v>2221</v>
      </c>
      <c r="H443" s="11" t="s">
        <v>2215</v>
      </c>
      <c r="I443" s="11" t="str">
        <f>HYPERLINK("http://www.selleriaequipe.it/","www.selleriaequipe.it")</f>
        <v>www.selleriaequipe.it</v>
      </c>
      <c r="J443" s="12">
        <v>12433.89</v>
      </c>
      <c r="K443" s="12">
        <v>12433.89</v>
      </c>
      <c r="L443" s="13">
        <v>16806.002</v>
      </c>
      <c r="M443" s="12">
        <v>906.88400000000001</v>
      </c>
      <c r="N443" s="12">
        <v>906.88400000000001</v>
      </c>
      <c r="O443" s="12">
        <v>2819.4180000000001</v>
      </c>
      <c r="P443" s="12">
        <v>89</v>
      </c>
      <c r="Q443" s="12">
        <v>89</v>
      </c>
      <c r="R443" s="12">
        <v>87</v>
      </c>
    </row>
    <row r="444" spans="1:18" ht="17" customHeight="1" x14ac:dyDescent="0.15">
      <c r="A444" s="8" t="s">
        <v>2347</v>
      </c>
      <c r="B444" s="9" t="s">
        <v>2348</v>
      </c>
      <c r="C444" s="8" t="s">
        <v>2349</v>
      </c>
      <c r="D444" s="8" t="s">
        <v>2349</v>
      </c>
      <c r="E444" s="8" t="s">
        <v>2350</v>
      </c>
      <c r="F444" s="8" t="s">
        <v>2328</v>
      </c>
      <c r="G444" s="8" t="s">
        <v>2269</v>
      </c>
      <c r="H444" s="8" t="s">
        <v>2215</v>
      </c>
      <c r="I444" s="8" t="str">
        <f>HYPERLINK("http://www.cunial.it/","www.cunial.it")</f>
        <v>www.cunial.it</v>
      </c>
      <c r="J444" s="10">
        <v>15159.706</v>
      </c>
      <c r="K444" s="10">
        <v>15159.706</v>
      </c>
      <c r="L444" s="10">
        <v>16799.740000000002</v>
      </c>
      <c r="M444" s="10">
        <v>256.74400000000003</v>
      </c>
      <c r="N444" s="10">
        <v>256.74400000000003</v>
      </c>
      <c r="O444" s="10">
        <v>263.77800000000002</v>
      </c>
      <c r="P444" s="10">
        <v>25</v>
      </c>
      <c r="Q444" s="10">
        <v>25</v>
      </c>
      <c r="R444" s="10">
        <v>26</v>
      </c>
    </row>
    <row r="445" spans="1:18" ht="17" customHeight="1" x14ac:dyDescent="0.15">
      <c r="A445" s="11" t="s">
        <v>2351</v>
      </c>
      <c r="B445" s="1" t="s">
        <v>2352</v>
      </c>
      <c r="C445" s="11" t="s">
        <v>2353</v>
      </c>
      <c r="D445" s="11" t="s">
        <v>2353</v>
      </c>
      <c r="E445" s="11" t="s">
        <v>2354</v>
      </c>
      <c r="F445" s="11" t="s">
        <v>2237</v>
      </c>
      <c r="G445" s="11" t="s">
        <v>2297</v>
      </c>
      <c r="H445" s="11" t="s">
        <v>2251</v>
      </c>
      <c r="I445" s="11" t="str">
        <f>HYPERLINK("http://abflorence.it/","abflorence.it")</f>
        <v>abflorence.it</v>
      </c>
      <c r="J445" s="12">
        <v>22020.346000000001</v>
      </c>
      <c r="K445" s="12">
        <v>22020.346000000001</v>
      </c>
      <c r="L445" s="13">
        <v>16796.527999999998</v>
      </c>
      <c r="M445" s="12">
        <v>2575.319</v>
      </c>
      <c r="N445" s="12">
        <v>2575.319</v>
      </c>
      <c r="O445" s="12">
        <v>777.72500000000002</v>
      </c>
      <c r="P445" s="12">
        <v>81</v>
      </c>
      <c r="Q445" s="12">
        <v>81</v>
      </c>
      <c r="R445" s="12">
        <v>79</v>
      </c>
    </row>
    <row r="446" spans="1:18" ht="17" customHeight="1" x14ac:dyDescent="0.15">
      <c r="A446" s="8" t="s">
        <v>2355</v>
      </c>
      <c r="B446" s="9" t="s">
        <v>2356</v>
      </c>
      <c r="C446" s="8" t="s">
        <v>2357</v>
      </c>
      <c r="D446" s="8" t="s">
        <v>2357</v>
      </c>
      <c r="E446" s="8" t="s">
        <v>2358</v>
      </c>
      <c r="F446" s="8" t="s">
        <v>2220</v>
      </c>
      <c r="G446" s="8" t="s">
        <v>2250</v>
      </c>
      <c r="H446" s="8" t="s">
        <v>2251</v>
      </c>
      <c r="I446" s="8" t="str">
        <f>HYPERLINK("http://www.cuoificiobisonte.it/","www.cuoificiobisonte.it")</f>
        <v>www.cuoificiobisonte.it</v>
      </c>
      <c r="J446" s="10">
        <v>15247.239</v>
      </c>
      <c r="K446" s="10">
        <v>15247.239</v>
      </c>
      <c r="L446" s="10">
        <v>16786.706999999999</v>
      </c>
      <c r="M446" s="10">
        <v>428.87900000000002</v>
      </c>
      <c r="N446" s="10">
        <v>428.87900000000002</v>
      </c>
      <c r="O446" s="10">
        <v>1384.2370000000001</v>
      </c>
      <c r="P446" s="10">
        <v>35</v>
      </c>
      <c r="Q446" s="10">
        <v>35</v>
      </c>
      <c r="R446" s="10">
        <v>36</v>
      </c>
    </row>
    <row r="447" spans="1:18" ht="17" customHeight="1" x14ac:dyDescent="0.15">
      <c r="A447" s="11" t="s">
        <v>2359</v>
      </c>
      <c r="B447" s="1" t="s">
        <v>2360</v>
      </c>
      <c r="C447" s="11" t="s">
        <v>2361</v>
      </c>
      <c r="D447" s="11" t="s">
        <v>2361</v>
      </c>
      <c r="E447" s="11" t="s">
        <v>2362</v>
      </c>
      <c r="F447" s="11" t="s">
        <v>2328</v>
      </c>
      <c r="G447" s="11" t="s">
        <v>2207</v>
      </c>
      <c r="H447" s="11" t="s">
        <v>2208</v>
      </c>
      <c r="I447" s="11" t="str">
        <f>HYPERLINK("http://uniwork.it/","uniwork.it")</f>
        <v>uniwork.it</v>
      </c>
      <c r="J447" s="12">
        <v>15686.133</v>
      </c>
      <c r="K447" s="12">
        <v>15686.133</v>
      </c>
      <c r="L447" s="13">
        <v>16712.654999999999</v>
      </c>
      <c r="M447" s="12">
        <v>62.521000000000001</v>
      </c>
      <c r="N447" s="12">
        <v>62.521000000000001</v>
      </c>
      <c r="O447" s="12">
        <v>93.283000000000001</v>
      </c>
      <c r="P447" s="12">
        <v>83</v>
      </c>
      <c r="Q447" s="12">
        <v>83</v>
      </c>
      <c r="R447" s="12">
        <v>79</v>
      </c>
    </row>
    <row r="448" spans="1:18" ht="17" customHeight="1" x14ac:dyDescent="0.15">
      <c r="A448" s="8" t="s">
        <v>2363</v>
      </c>
      <c r="B448" s="9" t="s">
        <v>2364</v>
      </c>
      <c r="C448" s="8" t="s">
        <v>2365</v>
      </c>
      <c r="D448" s="8" t="s">
        <v>2365</v>
      </c>
      <c r="E448" s="8" t="s">
        <v>2366</v>
      </c>
      <c r="F448" s="8" t="s">
        <v>2328</v>
      </c>
      <c r="G448" s="8" t="s">
        <v>2269</v>
      </c>
      <c r="H448" s="8" t="s">
        <v>2215</v>
      </c>
      <c r="I448" s="8" t="str">
        <f>HYPERLINK("http://www.meetitalia.it/","http://www.meetitalia.it")</f>
        <v>http://www.meetitalia.it</v>
      </c>
      <c r="J448" s="10">
        <v>12808.803</v>
      </c>
      <c r="K448" s="10">
        <v>12808.803</v>
      </c>
      <c r="L448" s="10">
        <v>16711.858</v>
      </c>
      <c r="M448" s="10">
        <v>-272.37799999999999</v>
      </c>
      <c r="N448" s="10">
        <v>-272.37799999999999</v>
      </c>
      <c r="O448" s="10">
        <v>366.40899999999999</v>
      </c>
      <c r="P448" s="10">
        <v>154</v>
      </c>
      <c r="Q448" s="10">
        <v>154</v>
      </c>
      <c r="R448" s="10">
        <v>146</v>
      </c>
    </row>
    <row r="449" spans="1:18" ht="17" customHeight="1" x14ac:dyDescent="0.15">
      <c r="A449" s="11" t="s">
        <v>2367</v>
      </c>
      <c r="B449" s="1" t="s">
        <v>2368</v>
      </c>
      <c r="C449" s="11" t="s">
        <v>2369</v>
      </c>
      <c r="D449" s="11" t="s">
        <v>2369</v>
      </c>
      <c r="E449" s="11" t="s">
        <v>2370</v>
      </c>
      <c r="F449" s="11" t="s">
        <v>2371</v>
      </c>
      <c r="G449" s="11" t="s">
        <v>2372</v>
      </c>
      <c r="H449" s="11" t="s">
        <v>2373</v>
      </c>
      <c r="I449" s="11" t="str">
        <f>HYPERLINK("http://www.loriblu.com/","www.loriblu.com")</f>
        <v>www.loriblu.com</v>
      </c>
      <c r="J449" s="12">
        <v>20433.356</v>
      </c>
      <c r="K449" s="12">
        <v>20433.356</v>
      </c>
      <c r="L449" s="13">
        <v>16563.174999999999</v>
      </c>
      <c r="M449" s="12">
        <v>279.05500000000001</v>
      </c>
      <c r="N449" s="12">
        <v>279.05500000000001</v>
      </c>
      <c r="O449" s="12">
        <v>-190.524</v>
      </c>
      <c r="P449" s="12">
        <v>77</v>
      </c>
      <c r="Q449" s="12">
        <v>77</v>
      </c>
      <c r="R449" s="12">
        <v>85</v>
      </c>
    </row>
    <row r="450" spans="1:18" ht="17" customHeight="1" x14ac:dyDescent="0.15">
      <c r="A450" s="8" t="s">
        <v>2374</v>
      </c>
      <c r="B450" s="9" t="s">
        <v>2375</v>
      </c>
      <c r="C450" s="8" t="s">
        <v>2376</v>
      </c>
      <c r="D450" s="8" t="s">
        <v>2376</v>
      </c>
      <c r="E450" s="8" t="s">
        <v>2377</v>
      </c>
      <c r="F450" s="8" t="s">
        <v>2371</v>
      </c>
      <c r="G450" s="8" t="s">
        <v>2378</v>
      </c>
      <c r="H450" s="8" t="s">
        <v>2379</v>
      </c>
      <c r="I450" s="8" t="str">
        <f>HYPERLINK("http://pos.eurasia.is.it/","pos.eurasia.is.it")</f>
        <v>pos.eurasia.is.it</v>
      </c>
      <c r="J450" s="10">
        <v>15935.688</v>
      </c>
      <c r="K450" s="10">
        <v>15935.688</v>
      </c>
      <c r="L450" s="10">
        <v>16555.007000000001</v>
      </c>
      <c r="M450" s="10">
        <v>-233.392</v>
      </c>
      <c r="N450" s="10">
        <v>-233.392</v>
      </c>
      <c r="O450" s="10">
        <v>1101.2670000000001</v>
      </c>
      <c r="P450" s="10">
        <v>68</v>
      </c>
      <c r="Q450" s="10">
        <v>68</v>
      </c>
      <c r="R450" s="10">
        <v>60</v>
      </c>
    </row>
    <row r="451" spans="1:18" ht="17" customHeight="1" x14ac:dyDescent="0.15">
      <c r="A451" s="11" t="s">
        <v>2380</v>
      </c>
      <c r="B451" s="1" t="s">
        <v>2381</v>
      </c>
      <c r="C451" s="11" t="s">
        <v>2382</v>
      </c>
      <c r="D451" s="11" t="s">
        <v>2382</v>
      </c>
      <c r="E451" s="11" t="s">
        <v>2383</v>
      </c>
      <c r="F451" s="11" t="s">
        <v>2371</v>
      </c>
      <c r="G451" s="11" t="s">
        <v>2384</v>
      </c>
      <c r="H451" s="11" t="s">
        <v>2379</v>
      </c>
      <c r="I451" s="11" t="str">
        <f>HYPERLINK("http://www.giasco.com/","www.giasco.com")</f>
        <v>www.giasco.com</v>
      </c>
      <c r="J451" s="12">
        <v>17830.924999999999</v>
      </c>
      <c r="K451" s="12">
        <v>17830.924999999999</v>
      </c>
      <c r="L451" s="13">
        <v>16525.866000000002</v>
      </c>
      <c r="M451" s="12">
        <v>883.03499999999997</v>
      </c>
      <c r="N451" s="12">
        <v>883.03499999999997</v>
      </c>
      <c r="O451" s="12">
        <v>713.44</v>
      </c>
      <c r="P451" s="12">
        <v>75</v>
      </c>
      <c r="Q451" s="12">
        <v>75</v>
      </c>
      <c r="R451" s="12">
        <v>75</v>
      </c>
    </row>
    <row r="452" spans="1:18" ht="29.5" customHeight="1" x14ac:dyDescent="0.15">
      <c r="A452" s="8" t="s">
        <v>2385</v>
      </c>
      <c r="B452" s="9" t="s">
        <v>2386</v>
      </c>
      <c r="C452" s="8" t="s">
        <v>2387</v>
      </c>
      <c r="D452" s="8" t="s">
        <v>2387</v>
      </c>
      <c r="E452" s="8" t="s">
        <v>2388</v>
      </c>
      <c r="F452" s="8" t="s">
        <v>2371</v>
      </c>
      <c r="G452" s="8" t="s">
        <v>2389</v>
      </c>
      <c r="H452" s="8" t="s">
        <v>2390</v>
      </c>
      <c r="I452" s="8" t="str">
        <f>HYPERLINK("http://www.deicolli.it/","www.deicolli.it")</f>
        <v>www.deicolli.it</v>
      </c>
      <c r="J452" s="10">
        <v>14898.745000000001</v>
      </c>
      <c r="K452" s="10">
        <v>14898.745000000001</v>
      </c>
      <c r="L452" s="10">
        <v>16522.686000000002</v>
      </c>
      <c r="M452" s="10">
        <v>0.5</v>
      </c>
      <c r="N452" s="10">
        <v>0.5</v>
      </c>
      <c r="O452" s="10">
        <v>133.86699999999999</v>
      </c>
      <c r="P452" s="10">
        <v>28</v>
      </c>
      <c r="Q452" s="10">
        <v>28</v>
      </c>
      <c r="R452" s="10">
        <v>29</v>
      </c>
    </row>
    <row r="453" spans="1:18" ht="17" customHeight="1" x14ac:dyDescent="0.15">
      <c r="A453" s="11" t="s">
        <v>2391</v>
      </c>
      <c r="B453" s="1" t="s">
        <v>2392</v>
      </c>
      <c r="C453" s="11" t="s">
        <v>2393</v>
      </c>
      <c r="D453" s="11" t="s">
        <v>2393</v>
      </c>
      <c r="E453" s="11" t="s">
        <v>2394</v>
      </c>
      <c r="F453" s="11" t="s">
        <v>2395</v>
      </c>
      <c r="G453" s="11" t="s">
        <v>2396</v>
      </c>
      <c r="H453" s="11" t="s">
        <v>2397</v>
      </c>
      <c r="I453" s="11" t="str">
        <f>HYPERLINK("http://www.pellican.it/","www.pellican.it")</f>
        <v>www.pellican.it</v>
      </c>
      <c r="J453" s="12">
        <v>15956.47</v>
      </c>
      <c r="K453" s="12">
        <v>15956.47</v>
      </c>
      <c r="L453" s="13">
        <v>16472.827000000001</v>
      </c>
      <c r="M453" s="12">
        <v>2359.4349999999999</v>
      </c>
      <c r="N453" s="12">
        <v>2359.4349999999999</v>
      </c>
      <c r="O453" s="12">
        <v>1859.135</v>
      </c>
      <c r="P453" s="12">
        <v>11</v>
      </c>
      <c r="Q453" s="12">
        <v>11</v>
      </c>
      <c r="R453" s="12">
        <v>8</v>
      </c>
    </row>
    <row r="454" spans="1:18" ht="17" customHeight="1" x14ac:dyDescent="0.15">
      <c r="A454" s="8" t="s">
        <v>2398</v>
      </c>
      <c r="B454" s="9" t="s">
        <v>2399</v>
      </c>
      <c r="C454" s="8" t="s">
        <v>2400</v>
      </c>
      <c r="D454" s="8" t="s">
        <v>2400</v>
      </c>
      <c r="E454" s="8" t="s">
        <v>2401</v>
      </c>
      <c r="F454" s="8" t="s">
        <v>2402</v>
      </c>
      <c r="G454" s="8" t="s">
        <v>2384</v>
      </c>
      <c r="H454" s="8" t="s">
        <v>2379</v>
      </c>
      <c r="I454" s="8" t="str">
        <f>HYPERLINK("http://www.one-company.it/","www.one-company.it")</f>
        <v>www.one-company.it</v>
      </c>
      <c r="J454" s="10">
        <v>9229.9150000000009</v>
      </c>
      <c r="K454" s="10">
        <v>9139.6830000000009</v>
      </c>
      <c r="L454" s="10">
        <v>16470.792000000001</v>
      </c>
      <c r="M454" s="10">
        <v>2386.8440000000001</v>
      </c>
      <c r="N454" s="10">
        <v>1623.7950000000001</v>
      </c>
      <c r="O454" s="10">
        <v>4043.819</v>
      </c>
      <c r="P454" s="10">
        <v>31</v>
      </c>
      <c r="Q454" s="10">
        <v>11</v>
      </c>
      <c r="R454" s="10">
        <v>13</v>
      </c>
    </row>
    <row r="455" spans="1:18" ht="17" customHeight="1" x14ac:dyDescent="0.15">
      <c r="A455" s="11" t="s">
        <v>2403</v>
      </c>
      <c r="B455" s="1" t="s">
        <v>2404</v>
      </c>
      <c r="C455" s="11" t="s">
        <v>2405</v>
      </c>
      <c r="D455" s="11" t="s">
        <v>2405</v>
      </c>
      <c r="E455" s="11" t="s">
        <v>2406</v>
      </c>
      <c r="F455" s="11" t="s">
        <v>2407</v>
      </c>
      <c r="G455" s="11" t="s">
        <v>2408</v>
      </c>
      <c r="H455" s="11" t="s">
        <v>2397</v>
      </c>
      <c r="I455" s="11" t="str">
        <f>HYPERLINK("http://alessandrogherardi.it/","alessandrogherardi.it")</f>
        <v>alessandrogherardi.it</v>
      </c>
      <c r="J455" s="12">
        <v>24445.118999999999</v>
      </c>
      <c r="K455" s="12">
        <v>24445.118999999999</v>
      </c>
      <c r="L455" s="13">
        <v>16445.147000000001</v>
      </c>
      <c r="M455" s="12">
        <v>630.70699999999999</v>
      </c>
      <c r="N455" s="12">
        <v>630.70699999999999</v>
      </c>
      <c r="O455" s="12">
        <v>406.70600000000002</v>
      </c>
      <c r="P455" s="12">
        <v>70</v>
      </c>
      <c r="Q455" s="12">
        <v>70</v>
      </c>
      <c r="R455" s="12">
        <v>63</v>
      </c>
    </row>
    <row r="456" spans="1:18" ht="17" customHeight="1" x14ac:dyDescent="0.15">
      <c r="A456" s="8" t="s">
        <v>2409</v>
      </c>
      <c r="B456" s="9" t="s">
        <v>2410</v>
      </c>
      <c r="C456" s="8" t="s">
        <v>2411</v>
      </c>
      <c r="D456" s="8" t="s">
        <v>2411</v>
      </c>
      <c r="E456" s="8" t="s">
        <v>2412</v>
      </c>
      <c r="F456" s="8" t="s">
        <v>2395</v>
      </c>
      <c r="G456" s="8" t="s">
        <v>2384</v>
      </c>
      <c r="H456" s="8" t="s">
        <v>2379</v>
      </c>
      <c r="I456" s="8" t="str">
        <f>HYPERLINK("http://www.conceriatris.it/","www.conceriatris.it")</f>
        <v>www.conceriatris.it</v>
      </c>
      <c r="J456" s="10">
        <v>14830.344999999999</v>
      </c>
      <c r="K456" s="10">
        <v>14830.344999999999</v>
      </c>
      <c r="L456" s="10">
        <v>16373.811</v>
      </c>
      <c r="M456" s="10">
        <v>1872.682</v>
      </c>
      <c r="N456" s="10">
        <v>1872.682</v>
      </c>
      <c r="O456" s="10">
        <v>-327.20400000000001</v>
      </c>
      <c r="P456" s="10">
        <v>58</v>
      </c>
      <c r="Q456" s="10">
        <v>58</v>
      </c>
      <c r="R456" s="10">
        <v>59</v>
      </c>
    </row>
    <row r="457" spans="1:18" ht="17" customHeight="1" x14ac:dyDescent="0.15">
      <c r="A457" s="11" t="s">
        <v>2413</v>
      </c>
      <c r="B457" s="1" t="s">
        <v>2414</v>
      </c>
      <c r="C457" s="11" t="s">
        <v>2415</v>
      </c>
      <c r="D457" s="11" t="s">
        <v>2415</v>
      </c>
      <c r="E457" s="11" t="s">
        <v>2416</v>
      </c>
      <c r="F457" s="11" t="s">
        <v>2417</v>
      </c>
      <c r="G457" s="11" t="s">
        <v>2418</v>
      </c>
      <c r="H457" s="11" t="s">
        <v>2379</v>
      </c>
      <c r="I457" s="11" t="str">
        <f>HYPERLINK("http://www.negroweb.it/","www.negroweb.it")</f>
        <v>www.negroweb.it</v>
      </c>
      <c r="J457" s="12">
        <v>11176.758</v>
      </c>
      <c r="K457" s="12">
        <v>11176.758</v>
      </c>
      <c r="L457" s="13">
        <v>16320.370999999999</v>
      </c>
      <c r="M457" s="12">
        <v>-47.877000000000002</v>
      </c>
      <c r="N457" s="12">
        <v>-47.877000000000002</v>
      </c>
      <c r="O457" s="12">
        <v>1003.792</v>
      </c>
      <c r="P457" s="12">
        <v>123</v>
      </c>
      <c r="Q457" s="12">
        <v>123</v>
      </c>
      <c r="R457" s="12">
        <v>111</v>
      </c>
    </row>
    <row r="458" spans="1:18" ht="17" customHeight="1" x14ac:dyDescent="0.15">
      <c r="A458" s="8" t="s">
        <v>2419</v>
      </c>
      <c r="B458" s="9" t="s">
        <v>2420</v>
      </c>
      <c r="C458" s="8" t="s">
        <v>2421</v>
      </c>
      <c r="D458" s="8" t="s">
        <v>2422</v>
      </c>
      <c r="E458" s="8" t="s">
        <v>2423</v>
      </c>
      <c r="F458" s="8" t="s">
        <v>2424</v>
      </c>
      <c r="G458" s="8" t="s">
        <v>2425</v>
      </c>
      <c r="H458" s="8" t="s">
        <v>2390</v>
      </c>
      <c r="I458" s="8" t="str">
        <f>HYPERLINK("http://ciocca.it/","ciocca.it")</f>
        <v>ciocca.it</v>
      </c>
      <c r="J458" s="10">
        <v>14213.269</v>
      </c>
      <c r="K458" s="10">
        <v>14213.269</v>
      </c>
      <c r="L458" s="10">
        <v>16316.441000000001</v>
      </c>
      <c r="M458" s="10">
        <v>50.445</v>
      </c>
      <c r="N458" s="10">
        <v>50.445</v>
      </c>
      <c r="O458" s="10">
        <v>24.951000000000001</v>
      </c>
      <c r="P458" s="10">
        <v>70</v>
      </c>
      <c r="Q458" s="10">
        <v>70</v>
      </c>
      <c r="R458" s="10">
        <v>74</v>
      </c>
    </row>
    <row r="459" spans="1:18" ht="17" customHeight="1" x14ac:dyDescent="0.15">
      <c r="A459" s="11" t="s">
        <v>2426</v>
      </c>
      <c r="B459" s="1" t="s">
        <v>2427</v>
      </c>
      <c r="C459" s="11" t="s">
        <v>2428</v>
      </c>
      <c r="D459" s="11" t="s">
        <v>2428</v>
      </c>
      <c r="E459" s="11" t="s">
        <v>2429</v>
      </c>
      <c r="F459" s="11" t="s">
        <v>2395</v>
      </c>
      <c r="G459" s="11" t="s">
        <v>2430</v>
      </c>
      <c r="H459" s="11" t="s">
        <v>2397</v>
      </c>
      <c r="I459" s="11" t="str">
        <f>HYPERLINK("http://www.primorpelli.it/","www.primorpelli.it")</f>
        <v>www.primorpelli.it</v>
      </c>
      <c r="J459" s="12">
        <v>23053.733</v>
      </c>
      <c r="K459" s="12">
        <v>23053.733</v>
      </c>
      <c r="L459" s="13">
        <v>16222.569</v>
      </c>
      <c r="M459" s="12">
        <v>1862.405</v>
      </c>
      <c r="N459" s="12">
        <v>1862.405</v>
      </c>
      <c r="O459" s="12">
        <v>1579.0160000000001</v>
      </c>
      <c r="P459" s="12">
        <v>13</v>
      </c>
      <c r="Q459" s="12">
        <v>13</v>
      </c>
      <c r="R459" s="12">
        <v>11</v>
      </c>
    </row>
    <row r="460" spans="1:18" ht="17" customHeight="1" x14ac:dyDescent="0.15">
      <c r="A460" s="8" t="s">
        <v>2431</v>
      </c>
      <c r="B460" s="9" t="s">
        <v>2432</v>
      </c>
      <c r="C460" s="8" t="s">
        <v>2433</v>
      </c>
      <c r="D460" s="8" t="s">
        <v>2433</v>
      </c>
      <c r="E460" s="8" t="s">
        <v>2434</v>
      </c>
      <c r="F460" s="8" t="s">
        <v>2371</v>
      </c>
      <c r="G460" s="8" t="s">
        <v>2372</v>
      </c>
      <c r="H460" s="8" t="s">
        <v>2373</v>
      </c>
      <c r="I460" s="8" t="str">
        <f>HYPERLINK("http://www.lesilla.com/","www.lesilla.com")</f>
        <v>www.lesilla.com</v>
      </c>
      <c r="J460" s="10">
        <v>18934.922999999999</v>
      </c>
      <c r="K460" s="10">
        <v>18934.922999999999</v>
      </c>
      <c r="L460" s="10">
        <v>16199.505999999999</v>
      </c>
      <c r="M460" s="10">
        <v>614.21100000000001</v>
      </c>
      <c r="N460" s="10">
        <v>614.21100000000001</v>
      </c>
      <c r="O460" s="10">
        <v>-671.99800000000005</v>
      </c>
      <c r="P460" s="10">
        <v>41</v>
      </c>
      <c r="Q460" s="10">
        <v>41</v>
      </c>
      <c r="R460" s="10">
        <v>37</v>
      </c>
    </row>
    <row r="461" spans="1:18" ht="29.5" customHeight="1" x14ac:dyDescent="0.15">
      <c r="A461" s="11" t="s">
        <v>2435</v>
      </c>
      <c r="B461" s="1" t="s">
        <v>2436</v>
      </c>
      <c r="C461" s="11" t="s">
        <v>2437</v>
      </c>
      <c r="D461" s="11" t="s">
        <v>2437</v>
      </c>
      <c r="E461" s="11" t="s">
        <v>2438</v>
      </c>
      <c r="F461" s="11" t="s">
        <v>2371</v>
      </c>
      <c r="G461" s="11" t="s">
        <v>2396</v>
      </c>
      <c r="H461" s="11" t="s">
        <v>2397</v>
      </c>
      <c r="I461" s="11" t="str">
        <f>HYPERLINK("http://www.boemos.it/","www.boemos.it")</f>
        <v>www.boemos.it</v>
      </c>
      <c r="J461" s="12">
        <v>16616.324000000001</v>
      </c>
      <c r="K461" s="12">
        <v>16616.324000000001</v>
      </c>
      <c r="L461" s="13">
        <v>16140.209000000001</v>
      </c>
      <c r="M461" s="12">
        <v>-37.533000000000001</v>
      </c>
      <c r="N461" s="12">
        <v>-37.533000000000001</v>
      </c>
      <c r="O461" s="12">
        <v>69.896000000000001</v>
      </c>
      <c r="P461" s="12">
        <v>74</v>
      </c>
      <c r="Q461" s="12">
        <v>74</v>
      </c>
      <c r="R461" s="12">
        <v>74</v>
      </c>
    </row>
    <row r="462" spans="1:18" ht="17" customHeight="1" x14ac:dyDescent="0.15">
      <c r="A462" s="8" t="s">
        <v>2439</v>
      </c>
      <c r="B462" s="9" t="s">
        <v>2440</v>
      </c>
      <c r="C462" s="8" t="s">
        <v>2441</v>
      </c>
      <c r="D462" s="8" t="s">
        <v>2441</v>
      </c>
      <c r="E462" s="8" t="s">
        <v>2442</v>
      </c>
      <c r="F462" s="8" t="s">
        <v>2395</v>
      </c>
      <c r="G462" s="8" t="s">
        <v>2443</v>
      </c>
      <c r="H462" s="8" t="s">
        <v>2444</v>
      </c>
      <c r="I462" s="8" t="str">
        <f>HYPERLINK("http://www.natuzzi.com/","www.natuzzi.com")</f>
        <v>www.natuzzi.com</v>
      </c>
      <c r="J462" s="10">
        <v>11461.514999999999</v>
      </c>
      <c r="K462" s="10">
        <v>11461.514999999999</v>
      </c>
      <c r="L462" s="10">
        <v>16132.199000000001</v>
      </c>
      <c r="M462" s="10">
        <v>297.35300000000001</v>
      </c>
      <c r="N462" s="10">
        <v>297.35300000000001</v>
      </c>
      <c r="O462" s="10">
        <v>211.809</v>
      </c>
      <c r="P462" s="10">
        <v>123</v>
      </c>
      <c r="Q462" s="10">
        <v>123</v>
      </c>
      <c r="R462" s="10">
        <v>136</v>
      </c>
    </row>
    <row r="463" spans="1:18" ht="29.5" customHeight="1" x14ac:dyDescent="0.15">
      <c r="A463" s="11" t="s">
        <v>2445</v>
      </c>
      <c r="B463" s="1" t="s">
        <v>2446</v>
      </c>
      <c r="C463" s="11" t="s">
        <v>2447</v>
      </c>
      <c r="D463" s="11" t="s">
        <v>2448</v>
      </c>
      <c r="E463" s="11" t="s">
        <v>2449</v>
      </c>
      <c r="F463" s="11" t="s">
        <v>2395</v>
      </c>
      <c r="G463" s="11" t="s">
        <v>2450</v>
      </c>
      <c r="H463" s="11" t="s">
        <v>2451</v>
      </c>
      <c r="I463" s="11" t="str">
        <f>HYPERLINK("http://www.deanspa.it/","www.deanspa.it/")</f>
        <v>www.deanspa.it/</v>
      </c>
      <c r="J463" s="12">
        <v>20810.151999999998</v>
      </c>
      <c r="K463" s="12">
        <v>20810.151999999998</v>
      </c>
      <c r="L463" s="13">
        <v>16112.555</v>
      </c>
      <c r="M463" s="12">
        <v>999.64499999999998</v>
      </c>
      <c r="N463" s="12">
        <v>999.64499999999998</v>
      </c>
      <c r="O463" s="12">
        <v>505.14800000000002</v>
      </c>
      <c r="P463" s="12">
        <v>42</v>
      </c>
      <c r="Q463" s="12">
        <v>42</v>
      </c>
      <c r="R463" s="12">
        <v>30</v>
      </c>
    </row>
    <row r="464" spans="1:18" ht="17" customHeight="1" x14ac:dyDescent="0.15">
      <c r="A464" s="8" t="s">
        <v>2452</v>
      </c>
      <c r="B464" s="9" t="s">
        <v>2453</v>
      </c>
      <c r="C464" s="8" t="s">
        <v>2454</v>
      </c>
      <c r="D464" s="8" t="s">
        <v>2454</v>
      </c>
      <c r="E464" s="8" t="s">
        <v>2455</v>
      </c>
      <c r="F464" s="8" t="s">
        <v>2456</v>
      </c>
      <c r="G464" s="8" t="s">
        <v>2457</v>
      </c>
      <c r="H464" s="8" t="s">
        <v>2458</v>
      </c>
      <c r="I464" s="8" t="str">
        <f>HYPERLINK("http://www.levaspa.com/","www.levaspa.com")</f>
        <v>www.levaspa.com</v>
      </c>
      <c r="J464" s="10">
        <v>18462.803</v>
      </c>
      <c r="K464" s="10">
        <v>18462.803</v>
      </c>
      <c r="L464" s="10">
        <v>16069.282999999999</v>
      </c>
      <c r="M464" s="10">
        <v>1144.1079999999999</v>
      </c>
      <c r="N464" s="10">
        <v>1144.1079999999999</v>
      </c>
      <c r="O464" s="10">
        <v>662.65200000000004</v>
      </c>
      <c r="P464" s="10">
        <v>75</v>
      </c>
      <c r="Q464" s="10">
        <v>75</v>
      </c>
      <c r="R464" s="10">
        <v>66</v>
      </c>
    </row>
    <row r="465" spans="1:18" ht="43" customHeight="1" x14ac:dyDescent="0.15">
      <c r="A465" s="11" t="s">
        <v>2459</v>
      </c>
      <c r="B465" s="1" t="s">
        <v>2460</v>
      </c>
      <c r="C465" s="11" t="s">
        <v>2461</v>
      </c>
      <c r="D465" s="11" t="s">
        <v>2461</v>
      </c>
      <c r="E465" s="11" t="s">
        <v>2462</v>
      </c>
      <c r="F465" s="11" t="s">
        <v>2407</v>
      </c>
      <c r="G465" s="11" t="s">
        <v>2463</v>
      </c>
      <c r="H465" s="11" t="s">
        <v>2373</v>
      </c>
      <c r="I465" s="11" t="str">
        <f>HYPERLINK("http://www.incom-confezioni.it/","www.incom-confezioni.it")</f>
        <v>www.incom-confezioni.it</v>
      </c>
      <c r="J465" s="12">
        <v>16361.103999999999</v>
      </c>
      <c r="K465" s="12">
        <v>16361.103999999999</v>
      </c>
      <c r="L465" s="13">
        <v>16037.011</v>
      </c>
      <c r="M465" s="12">
        <v>354.86099999999999</v>
      </c>
      <c r="N465" s="12">
        <v>354.86099999999999</v>
      </c>
      <c r="O465" s="12">
        <v>298.09699999999998</v>
      </c>
      <c r="P465" s="12">
        <v>64</v>
      </c>
      <c r="Q465" s="12">
        <v>64</v>
      </c>
      <c r="R465" s="12">
        <v>59</v>
      </c>
    </row>
    <row r="466" spans="1:18" ht="17" customHeight="1" x14ac:dyDescent="0.15">
      <c r="A466" s="8" t="s">
        <v>2464</v>
      </c>
      <c r="B466" s="9" t="s">
        <v>2465</v>
      </c>
      <c r="C466" s="8" t="s">
        <v>2466</v>
      </c>
      <c r="D466" s="8" t="s">
        <v>2466</v>
      </c>
      <c r="E466" s="8" t="s">
        <v>2467</v>
      </c>
      <c r="F466" s="8" t="s">
        <v>2395</v>
      </c>
      <c r="G466" s="8" t="s">
        <v>2430</v>
      </c>
      <c r="H466" s="8" t="s">
        <v>2397</v>
      </c>
      <c r="I466" s="8" t="str">
        <f>HYPERLINK("http://www.volpiconcerie.it/","www.volpiconcerie.it")</f>
        <v>www.volpiconcerie.it</v>
      </c>
      <c r="J466" s="10">
        <v>14473.655000000001</v>
      </c>
      <c r="K466" s="10">
        <v>14473.655000000001</v>
      </c>
      <c r="L466" s="10">
        <v>16013.29</v>
      </c>
      <c r="M466" s="10">
        <v>1412.3320000000001</v>
      </c>
      <c r="N466" s="10">
        <v>1412.3320000000001</v>
      </c>
      <c r="O466" s="10">
        <v>38.978000000000002</v>
      </c>
      <c r="P466" s="10">
        <v>29</v>
      </c>
      <c r="Q466" s="10">
        <v>29</v>
      </c>
      <c r="R466" s="10">
        <v>33</v>
      </c>
    </row>
    <row r="467" spans="1:18" ht="17" customHeight="1" x14ac:dyDescent="0.15">
      <c r="A467" s="11" t="s">
        <v>2468</v>
      </c>
      <c r="B467" s="1" t="s">
        <v>2469</v>
      </c>
      <c r="C467" s="11" t="s">
        <v>2470</v>
      </c>
      <c r="D467" s="11" t="s">
        <v>2470</v>
      </c>
      <c r="E467" s="11" t="s">
        <v>2471</v>
      </c>
      <c r="F467" s="11" t="s">
        <v>2472</v>
      </c>
      <c r="G467" s="11" t="s">
        <v>2473</v>
      </c>
      <c r="H467" s="11" t="s">
        <v>2397</v>
      </c>
      <c r="I467" s="11" t="str">
        <f>HYPERLINK("http://vanilla.it/","vanilla.it")</f>
        <v>vanilla.it</v>
      </c>
      <c r="J467" s="12">
        <v>16010.564</v>
      </c>
      <c r="K467" s="12">
        <v>16010.564</v>
      </c>
      <c r="L467" s="13">
        <v>15934.076999999999</v>
      </c>
      <c r="M467" s="12">
        <v>2.0150000000000001</v>
      </c>
      <c r="N467" s="12">
        <v>2.0150000000000001</v>
      </c>
      <c r="O467" s="12">
        <v>168.68600000000001</v>
      </c>
      <c r="P467" s="12">
        <v>15</v>
      </c>
      <c r="Q467" s="12">
        <v>15</v>
      </c>
      <c r="R467" s="12">
        <v>15</v>
      </c>
    </row>
    <row r="468" spans="1:18" ht="17" customHeight="1" x14ac:dyDescent="0.15">
      <c r="A468" s="8" t="s">
        <v>2474</v>
      </c>
      <c r="B468" s="9" t="s">
        <v>2475</v>
      </c>
      <c r="C468" s="8" t="s">
        <v>2476</v>
      </c>
      <c r="D468" s="8" t="s">
        <v>2476</v>
      </c>
      <c r="E468" s="8" t="s">
        <v>2477</v>
      </c>
      <c r="F468" s="8" t="s">
        <v>2395</v>
      </c>
      <c r="G468" s="8" t="s">
        <v>2430</v>
      </c>
      <c r="H468" s="8" t="s">
        <v>2397</v>
      </c>
      <c r="I468" s="8" t="str">
        <f>HYPERLINK("http://www.ecopell.it/","www.ecopell.it")</f>
        <v>www.ecopell.it</v>
      </c>
      <c r="J468" s="10">
        <v>16641.145</v>
      </c>
      <c r="K468" s="10">
        <v>16641.145</v>
      </c>
      <c r="L468" s="10">
        <v>15918.96</v>
      </c>
      <c r="M468" s="10">
        <v>118.809</v>
      </c>
      <c r="N468" s="10">
        <v>118.809</v>
      </c>
      <c r="O468" s="10">
        <v>179.78700000000001</v>
      </c>
      <c r="P468" s="10">
        <v>34</v>
      </c>
      <c r="Q468" s="10">
        <v>34</v>
      </c>
      <c r="R468" s="10">
        <v>32</v>
      </c>
    </row>
    <row r="469" spans="1:18" ht="17" customHeight="1" x14ac:dyDescent="0.15">
      <c r="A469" s="11" t="s">
        <v>2478</v>
      </c>
      <c r="B469" s="1" t="s">
        <v>2479</v>
      </c>
      <c r="C469" s="11" t="s">
        <v>2480</v>
      </c>
      <c r="D469" s="11" t="s">
        <v>2480</v>
      </c>
      <c r="E469" s="11" t="s">
        <v>2481</v>
      </c>
      <c r="F469" s="11" t="s">
        <v>2456</v>
      </c>
      <c r="G469" s="11" t="s">
        <v>2482</v>
      </c>
      <c r="H469" s="11" t="s">
        <v>2451</v>
      </c>
      <c r="I469" s="11" t="str">
        <f>HYPERLINK("http://www.lsmsrl.com/","http://www.lsmsrl.com")</f>
        <v>http://www.lsmsrl.com</v>
      </c>
      <c r="J469" s="12">
        <v>17845.330999999998</v>
      </c>
      <c r="K469" s="12">
        <v>17845.330999999998</v>
      </c>
      <c r="L469" s="13">
        <v>15906.054</v>
      </c>
      <c r="M469" s="12">
        <v>472.63799999999998</v>
      </c>
      <c r="N469" s="12">
        <v>472.63799999999998</v>
      </c>
      <c r="O469" s="12">
        <v>85.244</v>
      </c>
      <c r="P469" s="12">
        <v>30</v>
      </c>
      <c r="Q469" s="12">
        <v>30</v>
      </c>
      <c r="R469" s="12">
        <v>25</v>
      </c>
    </row>
    <row r="470" spans="1:18" ht="17" customHeight="1" x14ac:dyDescent="0.15">
      <c r="A470" s="8" t="s">
        <v>2483</v>
      </c>
      <c r="B470" s="9" t="s">
        <v>2484</v>
      </c>
      <c r="C470" s="8" t="s">
        <v>2485</v>
      </c>
      <c r="D470" s="8" t="s">
        <v>2485</v>
      </c>
      <c r="E470" s="8" t="s">
        <v>2486</v>
      </c>
      <c r="F470" s="8" t="s">
        <v>2395</v>
      </c>
      <c r="G470" s="8" t="s">
        <v>2384</v>
      </c>
      <c r="H470" s="8" t="s">
        <v>2379</v>
      </c>
      <c r="I470" s="8" t="str">
        <f>HYPERLINK("http://www.prealpinatannery.com/","www.prealpinatannery.com")</f>
        <v>www.prealpinatannery.com</v>
      </c>
      <c r="J470" s="10">
        <v>17266.496999999999</v>
      </c>
      <c r="K470" s="10">
        <v>17266.496999999999</v>
      </c>
      <c r="L470" s="10">
        <v>15895.585999999999</v>
      </c>
      <c r="M470" s="10">
        <v>839.07299999999998</v>
      </c>
      <c r="N470" s="10">
        <v>839.07299999999998</v>
      </c>
      <c r="O470" s="10">
        <v>941.72699999999998</v>
      </c>
      <c r="P470" s="10">
        <v>45</v>
      </c>
      <c r="Q470" s="10">
        <v>45</v>
      </c>
      <c r="R470" s="10">
        <v>41</v>
      </c>
    </row>
    <row r="471" spans="1:18" ht="17" customHeight="1" x14ac:dyDescent="0.15">
      <c r="A471" s="11" t="s">
        <v>2487</v>
      </c>
      <c r="B471" s="1" t="s">
        <v>2488</v>
      </c>
      <c r="C471" s="11" t="s">
        <v>2489</v>
      </c>
      <c r="D471" s="11" t="s">
        <v>2489</v>
      </c>
      <c r="E471" s="11" t="s">
        <v>2490</v>
      </c>
      <c r="F471" s="11" t="s">
        <v>2491</v>
      </c>
      <c r="G471" s="11" t="s">
        <v>2492</v>
      </c>
      <c r="H471" s="11" t="s">
        <v>2444</v>
      </c>
      <c r="I471" s="11" t="str">
        <f>HYPERLINK("http://jijil.it/","jijil.it")</f>
        <v>jijil.it</v>
      </c>
      <c r="J471" s="12">
        <v>12863.517</v>
      </c>
      <c r="K471" s="12">
        <v>12863.517</v>
      </c>
      <c r="L471" s="13">
        <v>15806.674999999999</v>
      </c>
      <c r="M471" s="12">
        <v>-2381.049</v>
      </c>
      <c r="N471" s="12">
        <v>-2381.049</v>
      </c>
      <c r="O471" s="12">
        <v>579.48</v>
      </c>
      <c r="P471" s="12">
        <v>49</v>
      </c>
      <c r="Q471" s="12">
        <v>49</v>
      </c>
      <c r="R471" s="12">
        <v>49</v>
      </c>
    </row>
    <row r="472" spans="1:18" ht="17" customHeight="1" x14ac:dyDescent="0.15">
      <c r="A472" s="8" t="s">
        <v>2493</v>
      </c>
      <c r="B472" s="9" t="s">
        <v>2494</v>
      </c>
      <c r="C472" s="8" t="s">
        <v>2495</v>
      </c>
      <c r="D472" s="8" t="s">
        <v>2495</v>
      </c>
      <c r="E472" s="8" t="s">
        <v>2496</v>
      </c>
      <c r="F472" s="8" t="s">
        <v>2491</v>
      </c>
      <c r="G472" s="8" t="s">
        <v>2497</v>
      </c>
      <c r="H472" s="8" t="s">
        <v>2373</v>
      </c>
      <c r="I472" s="8" t="str">
        <f>HYPERLINK("http://www.denim-inn.it/","www.denim-inn.it")</f>
        <v>www.denim-inn.it</v>
      </c>
      <c r="J472" s="10">
        <v>16526.684000000001</v>
      </c>
      <c r="K472" s="10">
        <v>16526.684000000001</v>
      </c>
      <c r="L472" s="10">
        <v>15669.013000000001</v>
      </c>
      <c r="M472" s="10">
        <v>836.197</v>
      </c>
      <c r="N472" s="10">
        <v>836.197</v>
      </c>
      <c r="O472" s="10">
        <v>662.83500000000004</v>
      </c>
      <c r="P472" s="15" t="s">
        <v>2498</v>
      </c>
      <c r="Q472" s="15" t="s">
        <v>2498</v>
      </c>
      <c r="R472" s="10">
        <v>29</v>
      </c>
    </row>
    <row r="473" spans="1:18" ht="17" customHeight="1" x14ac:dyDescent="0.15">
      <c r="A473" s="11" t="s">
        <v>2499</v>
      </c>
      <c r="B473" s="1" t="s">
        <v>2500</v>
      </c>
      <c r="C473" s="11" t="s">
        <v>2501</v>
      </c>
      <c r="D473" s="11" t="s">
        <v>2501</v>
      </c>
      <c r="E473" s="11" t="s">
        <v>2502</v>
      </c>
      <c r="F473" s="11" t="s">
        <v>2424</v>
      </c>
      <c r="G473" s="11" t="s">
        <v>2503</v>
      </c>
      <c r="H473" s="11" t="s">
        <v>2504</v>
      </c>
      <c r="I473" s="11" t="str">
        <f>HYPERLINK("http://www.uraniafashion.it/","www.uraniafashion.it")</f>
        <v>www.uraniafashion.it</v>
      </c>
      <c r="J473" s="12">
        <v>17208.782999999999</v>
      </c>
      <c r="K473" s="12">
        <v>17208.782999999999</v>
      </c>
      <c r="L473" s="13">
        <v>15603.107</v>
      </c>
      <c r="M473" s="12">
        <v>291.779</v>
      </c>
      <c r="N473" s="12">
        <v>291.779</v>
      </c>
      <c r="O473" s="12">
        <v>301.279</v>
      </c>
      <c r="P473" s="12">
        <v>14</v>
      </c>
      <c r="Q473" s="12">
        <v>14</v>
      </c>
      <c r="R473" s="12">
        <v>15</v>
      </c>
    </row>
    <row r="474" spans="1:18" ht="17" customHeight="1" x14ac:dyDescent="0.15">
      <c r="A474" s="8" t="s">
        <v>2505</v>
      </c>
      <c r="B474" s="9" t="s">
        <v>2506</v>
      </c>
      <c r="C474" s="8" t="s">
        <v>2507</v>
      </c>
      <c r="D474" s="8" t="s">
        <v>2507</v>
      </c>
      <c r="E474" s="8" t="s">
        <v>2508</v>
      </c>
      <c r="F474" s="8" t="s">
        <v>2371</v>
      </c>
      <c r="G474" s="8" t="s">
        <v>2509</v>
      </c>
      <c r="H474" s="8" t="s">
        <v>2373</v>
      </c>
      <c r="I474" s="8" t="str">
        <f>HYPERLINK("http://www.galiziotorresi.it/","www.galiziotorresi.it")</f>
        <v>www.galiziotorresi.it</v>
      </c>
      <c r="J474" s="10">
        <v>19247.938999999998</v>
      </c>
      <c r="K474" s="10">
        <v>19247.938999999998</v>
      </c>
      <c r="L474" s="10">
        <v>15483.073</v>
      </c>
      <c r="M474" s="10">
        <v>1425.287</v>
      </c>
      <c r="N474" s="10">
        <v>1425.287</v>
      </c>
      <c r="O474" s="10">
        <v>1799.17</v>
      </c>
      <c r="P474" s="10">
        <v>112</v>
      </c>
      <c r="Q474" s="10">
        <v>112</v>
      </c>
      <c r="R474" s="10">
        <v>100</v>
      </c>
    </row>
    <row r="475" spans="1:18" ht="17" customHeight="1" x14ac:dyDescent="0.15">
      <c r="A475" s="11" t="s">
        <v>2510</v>
      </c>
      <c r="B475" s="1" t="s">
        <v>2511</v>
      </c>
      <c r="C475" s="11" t="s">
        <v>2512</v>
      </c>
      <c r="D475" s="11" t="s">
        <v>2512</v>
      </c>
      <c r="E475" s="11" t="s">
        <v>2513</v>
      </c>
      <c r="F475" s="11" t="s">
        <v>2491</v>
      </c>
      <c r="G475" s="11" t="s">
        <v>2514</v>
      </c>
      <c r="H475" s="11" t="s">
        <v>2379</v>
      </c>
      <c r="I475" s="11" t="str">
        <f>HYPERLINK("http://stage.belvest.com/","stage.belvest.com")</f>
        <v>stage.belvest.com</v>
      </c>
      <c r="J475" s="12">
        <v>17969.893</v>
      </c>
      <c r="K475" s="12">
        <v>17969.893</v>
      </c>
      <c r="L475" s="13">
        <v>15471.384</v>
      </c>
      <c r="M475" s="12">
        <v>1083.154</v>
      </c>
      <c r="N475" s="12">
        <v>1083.154</v>
      </c>
      <c r="O475" s="12">
        <v>108.867</v>
      </c>
      <c r="P475" s="12">
        <v>260</v>
      </c>
      <c r="Q475" s="12">
        <v>260</v>
      </c>
      <c r="R475" s="12">
        <v>245</v>
      </c>
    </row>
    <row r="476" spans="1:18" ht="17" customHeight="1" x14ac:dyDescent="0.15">
      <c r="A476" s="8" t="s">
        <v>2515</v>
      </c>
      <c r="B476" s="9" t="s">
        <v>2516</v>
      </c>
      <c r="C476" s="8" t="s">
        <v>2517</v>
      </c>
      <c r="D476" s="8" t="s">
        <v>2517</v>
      </c>
      <c r="E476" s="8" t="s">
        <v>2518</v>
      </c>
      <c r="F476" s="8" t="s">
        <v>2371</v>
      </c>
      <c r="G476" s="8" t="s">
        <v>2509</v>
      </c>
      <c r="H476" s="8" t="s">
        <v>2373</v>
      </c>
      <c r="I476" s="8" t="str">
        <f>HYPERLINK("http://www.bamboletta.it/","www.bamboletta.it")</f>
        <v>www.bamboletta.it</v>
      </c>
      <c r="J476" s="10">
        <v>14476.066000000001</v>
      </c>
      <c r="K476" s="10">
        <v>14476.066000000001</v>
      </c>
      <c r="L476" s="10">
        <v>15435.694</v>
      </c>
      <c r="M476" s="10">
        <v>596.95500000000004</v>
      </c>
      <c r="N476" s="10">
        <v>596.95500000000004</v>
      </c>
      <c r="O476" s="10">
        <v>503.911</v>
      </c>
      <c r="P476" s="10">
        <v>77</v>
      </c>
      <c r="Q476" s="10">
        <v>77</v>
      </c>
      <c r="R476" s="10">
        <v>80</v>
      </c>
    </row>
    <row r="477" spans="1:18" ht="17" customHeight="1" x14ac:dyDescent="0.15">
      <c r="A477" s="11" t="s">
        <v>2519</v>
      </c>
      <c r="B477" s="1" t="s">
        <v>2520</v>
      </c>
      <c r="C477" s="11" t="s">
        <v>2521</v>
      </c>
      <c r="D477" s="11" t="s">
        <v>2521</v>
      </c>
      <c r="E477" s="11" t="s">
        <v>2522</v>
      </c>
      <c r="F477" s="11" t="s">
        <v>2523</v>
      </c>
      <c r="G477" s="11" t="s">
        <v>2524</v>
      </c>
      <c r="H477" s="11" t="s">
        <v>2390</v>
      </c>
      <c r="I477" s="11" t="str">
        <f>HYPERLINK("http://puntoazzurro.org/","puntoazzurro.org")</f>
        <v>puntoazzurro.org</v>
      </c>
      <c r="J477" s="12">
        <v>10543.795</v>
      </c>
      <c r="K477" s="12">
        <v>10543.795</v>
      </c>
      <c r="L477" s="13">
        <v>15314.094999999999</v>
      </c>
      <c r="M477" s="12">
        <v>978.99199999999996</v>
      </c>
      <c r="N477" s="12">
        <v>978.99199999999996</v>
      </c>
      <c r="O477" s="12">
        <v>979.25099999999998</v>
      </c>
      <c r="P477" s="12">
        <v>32</v>
      </c>
      <c r="Q477" s="12">
        <v>32</v>
      </c>
      <c r="R477" s="12">
        <v>32</v>
      </c>
    </row>
    <row r="478" spans="1:18" ht="17" customHeight="1" x14ac:dyDescent="0.15">
      <c r="A478" s="8" t="s">
        <v>2525</v>
      </c>
      <c r="B478" s="9" t="s">
        <v>2526</v>
      </c>
      <c r="C478" s="8" t="s">
        <v>2527</v>
      </c>
      <c r="D478" s="8" t="s">
        <v>2527</v>
      </c>
      <c r="E478" s="8" t="s">
        <v>2528</v>
      </c>
      <c r="F478" s="8" t="s">
        <v>2456</v>
      </c>
      <c r="G478" s="8" t="s">
        <v>2396</v>
      </c>
      <c r="H478" s="8" t="s">
        <v>2397</v>
      </c>
      <c r="I478" s="8" t="str">
        <f>HYPERLINK("http://www.zetati.it/","www.zetati.it")</f>
        <v>www.zetati.it</v>
      </c>
      <c r="J478" s="10">
        <v>13961.22</v>
      </c>
      <c r="K478" s="10">
        <v>13961.22</v>
      </c>
      <c r="L478" s="10">
        <v>15307.728999999999</v>
      </c>
      <c r="M478" s="10">
        <v>933.82299999999998</v>
      </c>
      <c r="N478" s="10">
        <v>933.82299999999998</v>
      </c>
      <c r="O478" s="10">
        <v>1255.5609999999999</v>
      </c>
      <c r="P478" s="10">
        <v>94</v>
      </c>
      <c r="Q478" s="10">
        <v>94</v>
      </c>
      <c r="R478" s="10">
        <v>91</v>
      </c>
    </row>
    <row r="479" spans="1:18" ht="17" customHeight="1" x14ac:dyDescent="0.15">
      <c r="A479" s="11" t="s">
        <v>2529</v>
      </c>
      <c r="B479" s="1" t="s">
        <v>2530</v>
      </c>
      <c r="C479" s="11" t="s">
        <v>2531</v>
      </c>
      <c r="D479" s="11" t="s">
        <v>2531</v>
      </c>
      <c r="E479" s="11" t="s">
        <v>2532</v>
      </c>
      <c r="F479" s="11" t="s">
        <v>2491</v>
      </c>
      <c r="G479" s="11" t="s">
        <v>2450</v>
      </c>
      <c r="H479" s="11" t="s">
        <v>2451</v>
      </c>
      <c r="I479" s="11" t="str">
        <f>HYPERLINK("http://fourtenindustry.com/","fourtenindustry.com")</f>
        <v>fourtenindustry.com</v>
      </c>
      <c r="J479" s="12">
        <v>17553.627</v>
      </c>
      <c r="K479" s="12">
        <v>17553.627</v>
      </c>
      <c r="L479" s="13">
        <v>15290.794</v>
      </c>
      <c r="M479" s="12">
        <v>541.38199999999995</v>
      </c>
      <c r="N479" s="12">
        <v>541.38199999999995</v>
      </c>
      <c r="O479" s="12">
        <v>449.91899999999998</v>
      </c>
      <c r="P479" s="14" t="s">
        <v>2498</v>
      </c>
      <c r="Q479" s="14" t="s">
        <v>2498</v>
      </c>
      <c r="R479" s="12">
        <v>29</v>
      </c>
    </row>
    <row r="480" spans="1:18" ht="29.5" customHeight="1" x14ac:dyDescent="0.15">
      <c r="A480" s="8" t="s">
        <v>2533</v>
      </c>
      <c r="B480" s="9" t="s">
        <v>2534</v>
      </c>
      <c r="C480" s="8" t="s">
        <v>2535</v>
      </c>
      <c r="D480" s="8" t="s">
        <v>2535</v>
      </c>
      <c r="E480" s="8" t="s">
        <v>2536</v>
      </c>
      <c r="F480" s="8" t="s">
        <v>2371</v>
      </c>
      <c r="G480" s="8" t="s">
        <v>2537</v>
      </c>
      <c r="H480" s="8" t="s">
        <v>2444</v>
      </c>
      <c r="I480" s="8" t="str">
        <f>HYPERLINK("http://www.maimai.it/","www.maimai.it")</f>
        <v>www.maimai.it</v>
      </c>
      <c r="J480" s="10">
        <v>16033.103999999999</v>
      </c>
      <c r="K480" s="10">
        <v>16033.103999999999</v>
      </c>
      <c r="L480" s="10">
        <v>15253.445</v>
      </c>
      <c r="M480" s="10">
        <v>349.36099999999999</v>
      </c>
      <c r="N480" s="10">
        <v>349.36099999999999</v>
      </c>
      <c r="O480" s="10">
        <v>183.166</v>
      </c>
      <c r="P480" s="10">
        <v>130</v>
      </c>
      <c r="Q480" s="10">
        <v>130</v>
      </c>
      <c r="R480" s="10">
        <v>117</v>
      </c>
    </row>
    <row r="481" spans="1:18" ht="17" customHeight="1" x14ac:dyDescent="0.15">
      <c r="A481" s="11" t="s">
        <v>2538</v>
      </c>
      <c r="B481" s="1" t="s">
        <v>2539</v>
      </c>
      <c r="C481" s="11" t="s">
        <v>2540</v>
      </c>
      <c r="D481" s="11" t="s">
        <v>2540</v>
      </c>
      <c r="E481" s="11" t="s">
        <v>2541</v>
      </c>
      <c r="F481" s="11" t="s">
        <v>2542</v>
      </c>
      <c r="G481" s="11" t="s">
        <v>2543</v>
      </c>
      <c r="H481" s="11" t="s">
        <v>2544</v>
      </c>
      <c r="I481" s="11" t="str">
        <f>HYPERLINK("http://conceriatrust.it/","conceriatrust.it")</f>
        <v>conceriatrust.it</v>
      </c>
      <c r="J481" s="12">
        <v>20438.702000000001</v>
      </c>
      <c r="K481" s="12">
        <v>20438.702000000001</v>
      </c>
      <c r="L481" s="13">
        <v>15208.23</v>
      </c>
      <c r="M481" s="12">
        <v>1779.0260000000001</v>
      </c>
      <c r="N481" s="12">
        <v>1779.0260000000001</v>
      </c>
      <c r="O481" s="12">
        <v>1518.9079999999999</v>
      </c>
      <c r="P481" s="12">
        <v>33</v>
      </c>
      <c r="Q481" s="12">
        <v>33</v>
      </c>
      <c r="R481" s="12">
        <v>35</v>
      </c>
    </row>
    <row r="482" spans="1:18" ht="17" customHeight="1" x14ac:dyDescent="0.15">
      <c r="A482" s="8" t="s">
        <v>2545</v>
      </c>
      <c r="B482" s="9" t="s">
        <v>2546</v>
      </c>
      <c r="C482" s="8" t="s">
        <v>2547</v>
      </c>
      <c r="D482" s="8" t="s">
        <v>2547</v>
      </c>
      <c r="E482" s="8" t="s">
        <v>2548</v>
      </c>
      <c r="F482" s="8" t="s">
        <v>2549</v>
      </c>
      <c r="G482" s="8" t="s">
        <v>2550</v>
      </c>
      <c r="H482" s="8" t="s">
        <v>2544</v>
      </c>
      <c r="I482" s="8" t="str">
        <f>HYPERLINK("http://www.salmasovenezia.it/","www.salmasovenezia.it")</f>
        <v>www.salmasovenezia.it</v>
      </c>
      <c r="J482" s="10">
        <v>14680.673000000001</v>
      </c>
      <c r="K482" s="10">
        <v>14680.673000000001</v>
      </c>
      <c r="L482" s="10">
        <v>15197.585999999999</v>
      </c>
      <c r="M482" s="10">
        <v>949.80200000000002</v>
      </c>
      <c r="N482" s="10">
        <v>949.80200000000002</v>
      </c>
      <c r="O482" s="10">
        <v>908.47699999999998</v>
      </c>
      <c r="P482" s="15" t="s">
        <v>2551</v>
      </c>
      <c r="Q482" s="15" t="s">
        <v>2551</v>
      </c>
      <c r="R482" s="10">
        <v>58</v>
      </c>
    </row>
    <row r="483" spans="1:18" ht="17" customHeight="1" x14ac:dyDescent="0.15">
      <c r="A483" s="11" t="s">
        <v>2552</v>
      </c>
      <c r="B483" s="1" t="s">
        <v>2553</v>
      </c>
      <c r="C483" s="11" t="s">
        <v>2554</v>
      </c>
      <c r="D483" s="11" t="s">
        <v>2554</v>
      </c>
      <c r="E483" s="11" t="s">
        <v>2555</v>
      </c>
      <c r="F483" s="11" t="s">
        <v>2556</v>
      </c>
      <c r="G483" s="11" t="s">
        <v>2557</v>
      </c>
      <c r="H483" s="11" t="s">
        <v>2558</v>
      </c>
      <c r="I483" s="11" t="str">
        <f>HYPERLINK("http://www.geminitalia.it/","www.geminitalia.it")</f>
        <v>www.geminitalia.it</v>
      </c>
      <c r="J483" s="12">
        <v>14734.705</v>
      </c>
      <c r="K483" s="12">
        <v>14734.705</v>
      </c>
      <c r="L483" s="13">
        <v>15195.673000000001</v>
      </c>
      <c r="M483" s="12">
        <v>123.084</v>
      </c>
      <c r="N483" s="12">
        <v>123.084</v>
      </c>
      <c r="O483" s="12">
        <v>141.28399999999999</v>
      </c>
      <c r="P483" s="12">
        <v>18</v>
      </c>
      <c r="Q483" s="12">
        <v>18</v>
      </c>
      <c r="R483" s="12">
        <v>17</v>
      </c>
    </row>
    <row r="484" spans="1:18" ht="17" customHeight="1" x14ac:dyDescent="0.15">
      <c r="A484" s="8" t="s">
        <v>2559</v>
      </c>
      <c r="B484" s="9" t="s">
        <v>2560</v>
      </c>
      <c r="C484" s="8" t="s">
        <v>2561</v>
      </c>
      <c r="D484" s="8" t="s">
        <v>2562</v>
      </c>
      <c r="E484" s="8" t="s">
        <v>2563</v>
      </c>
      <c r="F484" s="8" t="s">
        <v>2549</v>
      </c>
      <c r="G484" s="8" t="s">
        <v>2564</v>
      </c>
      <c r="H484" s="8" t="s">
        <v>2544</v>
      </c>
      <c r="I484" s="8" t="str">
        <f>HYPERLINK("http://www.tiessespa.it/","http://www.tiessespa.it")</f>
        <v>http://www.tiessespa.it</v>
      </c>
      <c r="J484" s="10">
        <v>16535.821</v>
      </c>
      <c r="K484" s="10">
        <v>16535.821</v>
      </c>
      <c r="L484" s="10">
        <v>15167.939</v>
      </c>
      <c r="M484" s="10">
        <v>52.612000000000002</v>
      </c>
      <c r="N484" s="10">
        <v>52.612000000000002</v>
      </c>
      <c r="O484" s="10">
        <v>182.619</v>
      </c>
      <c r="P484" s="10">
        <v>22</v>
      </c>
      <c r="Q484" s="10">
        <v>22</v>
      </c>
      <c r="R484" s="10">
        <v>27</v>
      </c>
    </row>
    <row r="485" spans="1:18" ht="43" customHeight="1" x14ac:dyDescent="0.15">
      <c r="A485" s="11" t="s">
        <v>2565</v>
      </c>
      <c r="B485" s="1" t="s">
        <v>2566</v>
      </c>
      <c r="C485" s="11" t="s">
        <v>2567</v>
      </c>
      <c r="D485" s="11" t="s">
        <v>2567</v>
      </c>
      <c r="E485" s="11" t="s">
        <v>2568</v>
      </c>
      <c r="F485" s="11" t="s">
        <v>2569</v>
      </c>
      <c r="G485" s="11" t="s">
        <v>2570</v>
      </c>
      <c r="H485" s="11" t="s">
        <v>2571</v>
      </c>
      <c r="I485" s="11" t="str">
        <f>HYPERLINK("http://manifatturabig.it/","manifatturabig.it")</f>
        <v>manifatturabig.it</v>
      </c>
      <c r="J485" s="12">
        <v>16329.539000000001</v>
      </c>
      <c r="K485" s="12">
        <v>16329.539000000001</v>
      </c>
      <c r="L485" s="13">
        <v>15161.002</v>
      </c>
      <c r="M485" s="12">
        <v>774.84</v>
      </c>
      <c r="N485" s="12">
        <v>774.84</v>
      </c>
      <c r="O485" s="12">
        <v>650.99199999999996</v>
      </c>
      <c r="P485" s="12">
        <v>22</v>
      </c>
      <c r="Q485" s="12">
        <v>22</v>
      </c>
      <c r="R485" s="12">
        <v>22</v>
      </c>
    </row>
    <row r="486" spans="1:18" ht="17" customHeight="1" x14ac:dyDescent="0.15">
      <c r="A486" s="8" t="s">
        <v>2572</v>
      </c>
      <c r="B486" s="9" t="s">
        <v>2573</v>
      </c>
      <c r="C486" s="8" t="s">
        <v>2574</v>
      </c>
      <c r="D486" s="8" t="s">
        <v>2575</v>
      </c>
      <c r="E486" s="8" t="s">
        <v>2576</v>
      </c>
      <c r="F486" s="8" t="s">
        <v>2577</v>
      </c>
      <c r="G486" s="8" t="s">
        <v>2578</v>
      </c>
      <c r="H486" s="8" t="s">
        <v>2579</v>
      </c>
      <c r="I486" s="8" t="str">
        <f>HYPERLINK("http://www.robertocollina.it/","www.robertocollina.it")</f>
        <v>www.robertocollina.it</v>
      </c>
      <c r="J486" s="10">
        <v>14576.447</v>
      </c>
      <c r="K486" s="10">
        <v>14576.447</v>
      </c>
      <c r="L486" s="10">
        <v>15144.355</v>
      </c>
      <c r="M486" s="10">
        <v>716.00900000000001</v>
      </c>
      <c r="N486" s="10">
        <v>716.00900000000001</v>
      </c>
      <c r="O486" s="10">
        <v>771.476</v>
      </c>
      <c r="P486" s="10">
        <v>59</v>
      </c>
      <c r="Q486" s="10">
        <v>59</v>
      </c>
      <c r="R486" s="10">
        <v>58</v>
      </c>
    </row>
    <row r="487" spans="1:18" ht="17" customHeight="1" x14ac:dyDescent="0.15">
      <c r="A487" s="11" t="s">
        <v>2580</v>
      </c>
      <c r="B487" s="1" t="s">
        <v>2581</v>
      </c>
      <c r="C487" s="11" t="s">
        <v>2582</v>
      </c>
      <c r="D487" s="11" t="s">
        <v>2582</v>
      </c>
      <c r="E487" s="11" t="s">
        <v>2583</v>
      </c>
      <c r="F487" s="11" t="s">
        <v>2584</v>
      </c>
      <c r="G487" s="11" t="s">
        <v>2585</v>
      </c>
      <c r="H487" s="11" t="s">
        <v>2571</v>
      </c>
      <c r="I487" s="11" t="str">
        <f>HYPERLINK("http://antonellifirenze.com/","antonellifirenze.com")</f>
        <v>antonellifirenze.com</v>
      </c>
      <c r="J487" s="12">
        <v>16930.674999999999</v>
      </c>
      <c r="K487" s="12">
        <v>16930.674999999999</v>
      </c>
      <c r="L487" s="13">
        <v>15110.255999999999</v>
      </c>
      <c r="M487" s="12">
        <v>1143.8720000000001</v>
      </c>
      <c r="N487" s="12">
        <v>1143.8720000000001</v>
      </c>
      <c r="O487" s="12">
        <v>1014.186</v>
      </c>
      <c r="P487" s="12">
        <v>44</v>
      </c>
      <c r="Q487" s="12">
        <v>44</v>
      </c>
      <c r="R487" s="12">
        <v>30</v>
      </c>
    </row>
    <row r="488" spans="1:18" ht="17" customHeight="1" x14ac:dyDescent="0.15">
      <c r="A488" s="8" t="s">
        <v>2586</v>
      </c>
      <c r="B488" s="9" t="s">
        <v>2587</v>
      </c>
      <c r="C488" s="8" t="s">
        <v>2588</v>
      </c>
      <c r="D488" s="8" t="s">
        <v>2588</v>
      </c>
      <c r="E488" s="8" t="s">
        <v>2589</v>
      </c>
      <c r="F488" s="8" t="s">
        <v>2542</v>
      </c>
      <c r="G488" s="8" t="s">
        <v>2543</v>
      </c>
      <c r="H488" s="8" t="s">
        <v>2544</v>
      </c>
      <c r="I488" s="8" t="str">
        <f>HYPERLINK("http://leonica.it/","leonica.it")</f>
        <v>leonica.it</v>
      </c>
      <c r="J488" s="10">
        <v>11386.42</v>
      </c>
      <c r="K488" s="10">
        <v>11386.42</v>
      </c>
      <c r="L488" s="10">
        <v>15086.573</v>
      </c>
      <c r="M488" s="10">
        <v>47.634999999999998</v>
      </c>
      <c r="N488" s="10">
        <v>47.634999999999998</v>
      </c>
      <c r="O488" s="10">
        <v>223.91499999999999</v>
      </c>
      <c r="P488" s="10">
        <v>45</v>
      </c>
      <c r="Q488" s="10">
        <v>45</v>
      </c>
      <c r="R488" s="10">
        <v>45</v>
      </c>
    </row>
    <row r="489" spans="1:18" ht="17" customHeight="1" x14ac:dyDescent="0.15">
      <c r="A489" s="11" t="s">
        <v>2590</v>
      </c>
      <c r="B489" s="1" t="s">
        <v>2591</v>
      </c>
      <c r="C489" s="11" t="s">
        <v>2592</v>
      </c>
      <c r="D489" s="11" t="s">
        <v>2592</v>
      </c>
      <c r="E489" s="11" t="s">
        <v>2593</v>
      </c>
      <c r="F489" s="11" t="s">
        <v>2549</v>
      </c>
      <c r="G489" s="11" t="s">
        <v>2585</v>
      </c>
      <c r="H489" s="11" t="s">
        <v>2571</v>
      </c>
      <c r="I489" s="11" t="str">
        <f>HYPERLINK("http://www.calzaturificiomustang.it/","www.calzaturificiomustang.it")</f>
        <v>www.calzaturificiomustang.it</v>
      </c>
      <c r="J489" s="12">
        <v>13569.84</v>
      </c>
      <c r="K489" s="12">
        <v>13569.84</v>
      </c>
      <c r="L489" s="13">
        <v>15078.557000000001</v>
      </c>
      <c r="M489" s="12">
        <v>793.57899999999995</v>
      </c>
      <c r="N489" s="12">
        <v>793.57899999999995</v>
      </c>
      <c r="O489" s="12">
        <v>1040.933</v>
      </c>
      <c r="P489" s="12">
        <v>41</v>
      </c>
      <c r="Q489" s="12">
        <v>41</v>
      </c>
      <c r="R489" s="12">
        <v>41</v>
      </c>
    </row>
    <row r="490" spans="1:18" ht="17" customHeight="1" x14ac:dyDescent="0.15">
      <c r="A490" s="8" t="s">
        <v>2594</v>
      </c>
      <c r="B490" s="9" t="s">
        <v>2595</v>
      </c>
      <c r="C490" s="8" t="s">
        <v>2596</v>
      </c>
      <c r="D490" s="8" t="s">
        <v>2596</v>
      </c>
      <c r="E490" s="8" t="s">
        <v>2597</v>
      </c>
      <c r="F490" s="8" t="s">
        <v>2549</v>
      </c>
      <c r="G490" s="8" t="s">
        <v>2598</v>
      </c>
      <c r="H490" s="8" t="s">
        <v>2599</v>
      </c>
      <c r="I490" s="8" t="str">
        <f>HYPERLINK("http://www.giano.eu/","www.giano.eu")</f>
        <v>www.giano.eu</v>
      </c>
      <c r="J490" s="10">
        <v>17206.228999999999</v>
      </c>
      <c r="K490" s="10">
        <v>17206.228999999999</v>
      </c>
      <c r="L490" s="10">
        <v>15028.217000000001</v>
      </c>
      <c r="M490" s="10">
        <v>933.62</v>
      </c>
      <c r="N490" s="10">
        <v>933.62</v>
      </c>
      <c r="O490" s="10">
        <v>674.35500000000002</v>
      </c>
      <c r="P490" s="10">
        <v>28</v>
      </c>
      <c r="Q490" s="10">
        <v>28</v>
      </c>
      <c r="R490" s="10">
        <v>27</v>
      </c>
    </row>
    <row r="491" spans="1:18" ht="17" customHeight="1" x14ac:dyDescent="0.15">
      <c r="A491" s="11" t="s">
        <v>2600</v>
      </c>
      <c r="B491" s="1" t="s">
        <v>2601</v>
      </c>
      <c r="C491" s="11" t="s">
        <v>2602</v>
      </c>
      <c r="D491" s="11" t="s">
        <v>2602</v>
      </c>
      <c r="E491" s="11" t="s">
        <v>2603</v>
      </c>
      <c r="F491" s="11" t="s">
        <v>2604</v>
      </c>
      <c r="G491" s="11" t="s">
        <v>2605</v>
      </c>
      <c r="H491" s="11" t="s">
        <v>2558</v>
      </c>
      <c r="I491" s="11" t="str">
        <f>HYPERLINK("http://www.mandelli-milano.it/","www.mandelli-milano.it")</f>
        <v>www.mandelli-milano.it</v>
      </c>
      <c r="J491" s="12">
        <v>20188.087</v>
      </c>
      <c r="K491" s="12">
        <v>20188.087</v>
      </c>
      <c r="L491" s="13">
        <v>14998.614</v>
      </c>
      <c r="M491" s="12">
        <v>2712.0650000000001</v>
      </c>
      <c r="N491" s="12">
        <v>2712.0650000000001</v>
      </c>
      <c r="O491" s="12">
        <v>1379.489</v>
      </c>
      <c r="P491" s="12">
        <v>44</v>
      </c>
      <c r="Q491" s="12">
        <v>44</v>
      </c>
      <c r="R491" s="12">
        <v>46</v>
      </c>
    </row>
    <row r="492" spans="1:18" ht="17" customHeight="1" x14ac:dyDescent="0.15">
      <c r="A492" s="8" t="s">
        <v>2606</v>
      </c>
      <c r="B492" s="9" t="s">
        <v>2607</v>
      </c>
      <c r="C492" s="8" t="s">
        <v>2608</v>
      </c>
      <c r="D492" s="8" t="s">
        <v>2608</v>
      </c>
      <c r="E492" s="8" t="s">
        <v>2609</v>
      </c>
      <c r="F492" s="8" t="s">
        <v>2610</v>
      </c>
      <c r="G492" s="8" t="s">
        <v>2611</v>
      </c>
      <c r="H492" s="8" t="s">
        <v>2579</v>
      </c>
      <c r="I492" s="8" t="str">
        <f>HYPERLINK("http://suoli.it/","suoli.it")</f>
        <v>suoli.it</v>
      </c>
      <c r="J492" s="10">
        <v>14558.25</v>
      </c>
      <c r="K492" s="10">
        <v>14558.25</v>
      </c>
      <c r="L492" s="10">
        <v>14926.689</v>
      </c>
      <c r="M492" s="10">
        <v>-5598.3720000000003</v>
      </c>
      <c r="N492" s="10">
        <v>-5598.3720000000003</v>
      </c>
      <c r="O492" s="10">
        <v>317.93</v>
      </c>
      <c r="P492" s="10">
        <v>42</v>
      </c>
      <c r="Q492" s="10">
        <v>42</v>
      </c>
      <c r="R492" s="10">
        <v>42</v>
      </c>
    </row>
    <row r="493" spans="1:18" ht="17" customHeight="1" x14ac:dyDescent="0.15">
      <c r="A493" s="11" t="s">
        <v>2612</v>
      </c>
      <c r="B493" s="1" t="s">
        <v>2613</v>
      </c>
      <c r="C493" s="11" t="s">
        <v>2614</v>
      </c>
      <c r="D493" s="11" t="s">
        <v>2614</v>
      </c>
      <c r="E493" s="11" t="s">
        <v>2615</v>
      </c>
      <c r="F493" s="11" t="s">
        <v>2569</v>
      </c>
      <c r="G493" s="11" t="s">
        <v>2616</v>
      </c>
      <c r="H493" s="11" t="s">
        <v>2544</v>
      </c>
      <c r="I493" s="11" t="str">
        <f>HYPERLINK("http://lcbcompany.com/","lcbcompany.com")</f>
        <v>lcbcompany.com</v>
      </c>
      <c r="J493" s="12">
        <v>13273.915000000001</v>
      </c>
      <c r="K493" s="12">
        <v>15520.304</v>
      </c>
      <c r="L493" s="13">
        <v>14872.112999999999</v>
      </c>
      <c r="M493" s="12">
        <v>223.09399999999999</v>
      </c>
      <c r="N493" s="12">
        <v>9.0020000000000007</v>
      </c>
      <c r="O493" s="12">
        <v>-55.356000000000002</v>
      </c>
      <c r="P493" s="12">
        <v>75</v>
      </c>
      <c r="Q493" s="12">
        <v>61</v>
      </c>
      <c r="R493" s="12">
        <v>53</v>
      </c>
    </row>
    <row r="494" spans="1:18" ht="17" customHeight="1" x14ac:dyDescent="0.15">
      <c r="A494" s="8" t="s">
        <v>2617</v>
      </c>
      <c r="B494" s="9" t="s">
        <v>2618</v>
      </c>
      <c r="C494" s="8" t="s">
        <v>2619</v>
      </c>
      <c r="D494" s="8" t="s">
        <v>2619</v>
      </c>
      <c r="E494" s="8" t="s">
        <v>2620</v>
      </c>
      <c r="F494" s="8" t="s">
        <v>2584</v>
      </c>
      <c r="G494" s="8" t="s">
        <v>2621</v>
      </c>
      <c r="H494" s="8" t="s">
        <v>2622</v>
      </c>
      <c r="I494" s="8" t="str">
        <f>HYPERLINK("http://zeroconstruction.it/","zeroconstruction.it")</f>
        <v>zeroconstruction.it</v>
      </c>
      <c r="J494" s="10">
        <v>15343.869000000001</v>
      </c>
      <c r="K494" s="10">
        <v>15343.869000000001</v>
      </c>
      <c r="L494" s="10">
        <v>14853.449000000001</v>
      </c>
      <c r="M494" s="10">
        <v>133.37</v>
      </c>
      <c r="N494" s="10">
        <v>133.37</v>
      </c>
      <c r="O494" s="10">
        <v>150.10499999999999</v>
      </c>
      <c r="P494" s="10">
        <v>66</v>
      </c>
      <c r="Q494" s="10">
        <v>66</v>
      </c>
      <c r="R494" s="10">
        <v>61</v>
      </c>
    </row>
    <row r="495" spans="1:18" ht="17" customHeight="1" x14ac:dyDescent="0.15">
      <c r="A495" s="11" t="s">
        <v>2623</v>
      </c>
      <c r="B495" s="1" t="s">
        <v>2624</v>
      </c>
      <c r="C495" s="11" t="s">
        <v>2625</v>
      </c>
      <c r="D495" s="11" t="s">
        <v>2626</v>
      </c>
      <c r="E495" s="11" t="s">
        <v>2627</v>
      </c>
      <c r="F495" s="11" t="s">
        <v>2610</v>
      </c>
      <c r="G495" s="11" t="s">
        <v>2557</v>
      </c>
      <c r="H495" s="11" t="s">
        <v>2558</v>
      </c>
      <c r="I495" s="11" t="str">
        <f>HYPERLINK("http://www.rodel.it/","www.rodel.it")</f>
        <v>www.rodel.it</v>
      </c>
      <c r="J495" s="12">
        <v>15783.306</v>
      </c>
      <c r="K495" s="12">
        <v>15783.306</v>
      </c>
      <c r="L495" s="13">
        <v>14830.617</v>
      </c>
      <c r="M495" s="12">
        <v>134.333</v>
      </c>
      <c r="N495" s="12">
        <v>134.333</v>
      </c>
      <c r="O495" s="12">
        <v>-182.92599999999999</v>
      </c>
      <c r="P495" s="12">
        <v>138</v>
      </c>
      <c r="Q495" s="12">
        <v>138</v>
      </c>
      <c r="R495" s="12">
        <v>146</v>
      </c>
    </row>
    <row r="496" spans="1:18" ht="29.5" customHeight="1" x14ac:dyDescent="0.15">
      <c r="A496" s="8" t="s">
        <v>2628</v>
      </c>
      <c r="B496" s="9" t="s">
        <v>2629</v>
      </c>
      <c r="C496" s="8" t="s">
        <v>2630</v>
      </c>
      <c r="D496" s="8" t="s">
        <v>2630</v>
      </c>
      <c r="E496" s="8" t="s">
        <v>2631</v>
      </c>
      <c r="F496" s="8" t="s">
        <v>2632</v>
      </c>
      <c r="G496" s="8" t="s">
        <v>2585</v>
      </c>
      <c r="H496" s="8" t="s">
        <v>2571</v>
      </c>
      <c r="I496" s="8" t="str">
        <f>HYPERLINK("http://www.bianchienardi.it/","www.bianchienardi.it")</f>
        <v>www.bianchienardi.it</v>
      </c>
      <c r="J496" s="10">
        <v>27508.487000000001</v>
      </c>
      <c r="K496" s="10">
        <v>27508.487000000001</v>
      </c>
      <c r="L496" s="10">
        <v>14806.297</v>
      </c>
      <c r="M496" s="10">
        <v>888.44399999999996</v>
      </c>
      <c r="N496" s="10">
        <v>888.44399999999996</v>
      </c>
      <c r="O496" s="10">
        <v>368.69299999999998</v>
      </c>
      <c r="P496" s="10">
        <v>88</v>
      </c>
      <c r="Q496" s="10">
        <v>88</v>
      </c>
      <c r="R496" s="10">
        <v>74</v>
      </c>
    </row>
    <row r="497" spans="1:18" ht="17" customHeight="1" x14ac:dyDescent="0.15">
      <c r="A497" s="11" t="s">
        <v>2633</v>
      </c>
      <c r="B497" s="1" t="s">
        <v>2634</v>
      </c>
      <c r="C497" s="11" t="s">
        <v>2635</v>
      </c>
      <c r="D497" s="11" t="s">
        <v>2635</v>
      </c>
      <c r="E497" s="11" t="s">
        <v>2636</v>
      </c>
      <c r="F497" s="11" t="s">
        <v>2542</v>
      </c>
      <c r="G497" s="11" t="s">
        <v>2543</v>
      </c>
      <c r="H497" s="11" t="s">
        <v>2544</v>
      </c>
      <c r="I497" s="11" t="str">
        <f>HYPERLINK("http://www.geodherma.com/","www.geodherma.com")</f>
        <v>www.geodherma.com</v>
      </c>
      <c r="J497" s="12">
        <v>11674.188</v>
      </c>
      <c r="K497" s="12">
        <v>11674.188</v>
      </c>
      <c r="L497" s="13">
        <v>14781.971</v>
      </c>
      <c r="M497" s="12">
        <v>466.20499999999998</v>
      </c>
      <c r="N497" s="12">
        <v>466.20499999999998</v>
      </c>
      <c r="O497" s="12">
        <v>995.3</v>
      </c>
      <c r="P497" s="12">
        <v>36</v>
      </c>
      <c r="Q497" s="12">
        <v>36</v>
      </c>
      <c r="R497" s="12">
        <v>31</v>
      </c>
    </row>
    <row r="498" spans="1:18" ht="17" customHeight="1" x14ac:dyDescent="0.15">
      <c r="A498" s="8" t="s">
        <v>2637</v>
      </c>
      <c r="B498" s="9" t="s">
        <v>2638</v>
      </c>
      <c r="C498" s="8" t="s">
        <v>2639</v>
      </c>
      <c r="D498" s="8" t="s">
        <v>2639</v>
      </c>
      <c r="E498" s="8" t="s">
        <v>2640</v>
      </c>
      <c r="F498" s="8" t="s">
        <v>2641</v>
      </c>
      <c r="G498" s="8" t="s">
        <v>2585</v>
      </c>
      <c r="H498" s="8" t="s">
        <v>2571</v>
      </c>
      <c r="I498" s="8" t="str">
        <f>HYPERLINK("http://www.suolificiomagonio.it/","www.suolificiomagonio.it")</f>
        <v>www.suolificiomagonio.it</v>
      </c>
      <c r="J498" s="10">
        <v>15735.641</v>
      </c>
      <c r="K498" s="10">
        <v>15735.641</v>
      </c>
      <c r="L498" s="10">
        <v>14755.562</v>
      </c>
      <c r="M498" s="10">
        <v>1360.5219999999999</v>
      </c>
      <c r="N498" s="10">
        <v>1360.5219999999999</v>
      </c>
      <c r="O498" s="10">
        <v>1970.261</v>
      </c>
      <c r="P498" s="10">
        <v>72</v>
      </c>
      <c r="Q498" s="10">
        <v>72</v>
      </c>
      <c r="R498" s="10">
        <v>80</v>
      </c>
    </row>
    <row r="499" spans="1:18" ht="17" customHeight="1" x14ac:dyDescent="0.15">
      <c r="A499" s="11" t="s">
        <v>2642</v>
      </c>
      <c r="B499" s="1" t="s">
        <v>2643</v>
      </c>
      <c r="C499" s="11" t="s">
        <v>2644</v>
      </c>
      <c r="D499" s="11" t="s">
        <v>2644</v>
      </c>
      <c r="E499" s="11" t="s">
        <v>2645</v>
      </c>
      <c r="F499" s="11" t="s">
        <v>2604</v>
      </c>
      <c r="G499" s="11" t="s">
        <v>2543</v>
      </c>
      <c r="H499" s="11" t="s">
        <v>2544</v>
      </c>
      <c r="I499" s="11" t="str">
        <f>HYPERLINK("http://www.stylab.com/","www.stylab.com")</f>
        <v>www.stylab.com</v>
      </c>
      <c r="J499" s="12">
        <v>19210.417000000001</v>
      </c>
      <c r="K499" s="12">
        <v>19210.417000000001</v>
      </c>
      <c r="L499" s="13">
        <v>14722.84</v>
      </c>
      <c r="M499" s="12">
        <v>1068.73</v>
      </c>
      <c r="N499" s="12">
        <v>1068.73</v>
      </c>
      <c r="O499" s="12">
        <v>205.57300000000001</v>
      </c>
      <c r="P499" s="12">
        <v>69</v>
      </c>
      <c r="Q499" s="12">
        <v>69</v>
      </c>
      <c r="R499" s="12">
        <v>68</v>
      </c>
    </row>
    <row r="500" spans="1:18" ht="17" customHeight="1" x14ac:dyDescent="0.15">
      <c r="A500" s="8" t="s">
        <v>2646</v>
      </c>
      <c r="B500" s="9" t="s">
        <v>2647</v>
      </c>
      <c r="C500" s="8" t="s">
        <v>2648</v>
      </c>
      <c r="D500" s="8" t="s">
        <v>2648</v>
      </c>
      <c r="E500" s="8" t="s">
        <v>2649</v>
      </c>
      <c r="F500" s="8" t="s">
        <v>2577</v>
      </c>
      <c r="G500" s="8" t="s">
        <v>2650</v>
      </c>
      <c r="H500" s="8" t="s">
        <v>2558</v>
      </c>
      <c r="I500" s="8" t="str">
        <f>HYPERLINK("http://www.alyxstudio.com/","www.alyxstudio.com")</f>
        <v>www.alyxstudio.com</v>
      </c>
      <c r="J500" s="10">
        <v>8153.5309999999999</v>
      </c>
      <c r="K500" s="10">
        <v>8153.5309999999999</v>
      </c>
      <c r="L500" s="10">
        <v>14651.763000000001</v>
      </c>
      <c r="M500" s="10">
        <v>-2976.471</v>
      </c>
      <c r="N500" s="10">
        <v>-2976.471</v>
      </c>
      <c r="O500" s="10">
        <v>-891.17899999999997</v>
      </c>
      <c r="P500" s="10">
        <v>18</v>
      </c>
      <c r="Q500" s="10">
        <v>18</v>
      </c>
      <c r="R500" s="10">
        <v>22</v>
      </c>
    </row>
    <row r="501" spans="1:18" ht="17" customHeight="1" x14ac:dyDescent="0.15">
      <c r="A501" s="11" t="s">
        <v>2651</v>
      </c>
      <c r="B501" s="1" t="s">
        <v>2652</v>
      </c>
      <c r="C501" s="11" t="s">
        <v>2653</v>
      </c>
      <c r="D501" s="11" t="s">
        <v>2653</v>
      </c>
      <c r="E501" s="11" t="s">
        <v>2654</v>
      </c>
      <c r="F501" s="11" t="s">
        <v>2542</v>
      </c>
      <c r="G501" s="11" t="s">
        <v>2650</v>
      </c>
      <c r="H501" s="11" t="s">
        <v>2558</v>
      </c>
      <c r="I501" s="11" t="str">
        <f>HYPERLINK("http://chiorinotechnology.it/","http://chiorinotechnology.it")</f>
        <v>http://chiorinotechnology.it</v>
      </c>
      <c r="J501" s="12">
        <v>10592.275</v>
      </c>
      <c r="K501" s="12">
        <v>10592.275</v>
      </c>
      <c r="L501" s="13">
        <v>14628.847</v>
      </c>
      <c r="M501" s="12">
        <v>-9534.5139999999992</v>
      </c>
      <c r="N501" s="12">
        <v>-9534.5139999999992</v>
      </c>
      <c r="O501" s="12">
        <v>-1640.3420000000001</v>
      </c>
      <c r="P501" s="12">
        <v>55</v>
      </c>
      <c r="Q501" s="12">
        <v>55</v>
      </c>
      <c r="R501" s="12">
        <v>59</v>
      </c>
    </row>
    <row r="502" spans="1:18" ht="17" customHeight="1" x14ac:dyDescent="0.15">
      <c r="A502" s="8" t="s">
        <v>2655</v>
      </c>
      <c r="B502" s="9" t="s">
        <v>2656</v>
      </c>
      <c r="C502" s="8" t="s">
        <v>2657</v>
      </c>
      <c r="D502" s="8" t="s">
        <v>2657</v>
      </c>
      <c r="E502" s="8" t="s">
        <v>2658</v>
      </c>
      <c r="F502" s="8" t="s">
        <v>2542</v>
      </c>
      <c r="G502" s="8" t="s">
        <v>2659</v>
      </c>
      <c r="H502" s="8" t="s">
        <v>2660</v>
      </c>
      <c r="I502" s="8" t="str">
        <f>HYPERLINK("http://www.conceriaferrero.com/","http://www.conceriaferrero.com")</f>
        <v>http://www.conceriaferrero.com</v>
      </c>
      <c r="J502" s="10">
        <v>10333.222</v>
      </c>
      <c r="K502" s="10">
        <v>10333.222</v>
      </c>
      <c r="L502" s="10">
        <v>14603.71</v>
      </c>
      <c r="M502" s="10">
        <v>-242.57599999999999</v>
      </c>
      <c r="N502" s="10">
        <v>-242.57599999999999</v>
      </c>
      <c r="O502" s="10">
        <v>42.566000000000003</v>
      </c>
      <c r="P502" s="10">
        <v>50</v>
      </c>
      <c r="Q502" s="10">
        <v>50</v>
      </c>
      <c r="R502" s="10">
        <v>51</v>
      </c>
    </row>
    <row r="503" spans="1:18" ht="17" customHeight="1" x14ac:dyDescent="0.15">
      <c r="A503" s="11" t="s">
        <v>2661</v>
      </c>
      <c r="B503" s="1" t="s">
        <v>2662</v>
      </c>
      <c r="C503" s="11" t="s">
        <v>2663</v>
      </c>
      <c r="D503" s="11" t="s">
        <v>2663</v>
      </c>
      <c r="E503" s="11" t="s">
        <v>2664</v>
      </c>
      <c r="F503" s="11" t="s">
        <v>2569</v>
      </c>
      <c r="G503" s="11" t="s">
        <v>2578</v>
      </c>
      <c r="H503" s="11" t="s">
        <v>2579</v>
      </c>
      <c r="I503" s="11" t="str">
        <f>HYPERLINK("http://www.vivolo.com/","www.vivolo.com")</f>
        <v>www.vivolo.com</v>
      </c>
      <c r="J503" s="12">
        <v>13883.135</v>
      </c>
      <c r="K503" s="12">
        <v>13883.135</v>
      </c>
      <c r="L503" s="13">
        <v>14572.036</v>
      </c>
      <c r="M503" s="12">
        <v>1822.0709999999999</v>
      </c>
      <c r="N503" s="12">
        <v>1822.0709999999999</v>
      </c>
      <c r="O503" s="12">
        <v>1753.6759999999999</v>
      </c>
      <c r="P503" s="12">
        <v>52</v>
      </c>
      <c r="Q503" s="12">
        <v>52</v>
      </c>
      <c r="R503" s="12">
        <v>47</v>
      </c>
    </row>
    <row r="504" spans="1:18" ht="17" customHeight="1" x14ac:dyDescent="0.15">
      <c r="A504" s="8" t="s">
        <v>2665</v>
      </c>
      <c r="B504" s="9" t="s">
        <v>2666</v>
      </c>
      <c r="C504" s="8" t="s">
        <v>2667</v>
      </c>
      <c r="D504" s="8" t="s">
        <v>2667</v>
      </c>
      <c r="E504" s="8" t="s">
        <v>2668</v>
      </c>
      <c r="F504" s="8" t="s">
        <v>2584</v>
      </c>
      <c r="G504" s="8" t="s">
        <v>2650</v>
      </c>
      <c r="H504" s="8" t="s">
        <v>2558</v>
      </c>
      <c r="I504" s="8" t="str">
        <f>HYPERLINK("http://alessandrarich.com/","alessandrarich.com")</f>
        <v>alessandrarich.com</v>
      </c>
      <c r="J504" s="10">
        <v>14994.944</v>
      </c>
      <c r="K504" s="10">
        <v>14994.944</v>
      </c>
      <c r="L504" s="10">
        <v>14554.058000000001</v>
      </c>
      <c r="M504" s="10">
        <v>594.82100000000003</v>
      </c>
      <c r="N504" s="10">
        <v>594.82100000000003</v>
      </c>
      <c r="O504" s="10">
        <v>480.92099999999999</v>
      </c>
      <c r="P504" s="10">
        <v>12</v>
      </c>
      <c r="Q504" s="10">
        <v>12</v>
      </c>
      <c r="R504" s="10">
        <v>9</v>
      </c>
    </row>
    <row r="505" spans="1:18" ht="17" customHeight="1" x14ac:dyDescent="0.15">
      <c r="A505" s="11" t="s">
        <v>2669</v>
      </c>
      <c r="B505" s="1" t="s">
        <v>2670</v>
      </c>
      <c r="C505" s="11" t="s">
        <v>2671</v>
      </c>
      <c r="D505" s="11" t="s">
        <v>2671</v>
      </c>
      <c r="E505" s="11" t="s">
        <v>2672</v>
      </c>
      <c r="F505" s="11" t="s">
        <v>2549</v>
      </c>
      <c r="G505" s="11" t="s">
        <v>2616</v>
      </c>
      <c r="H505" s="11" t="s">
        <v>2544</v>
      </c>
      <c r="I505" s="11" t="str">
        <f>HYPERLINK("http://www.aksolut.com/","www.aksolut.com")</f>
        <v>www.aksolut.com</v>
      </c>
      <c r="J505" s="12">
        <v>14542.204</v>
      </c>
      <c r="K505" s="12">
        <v>14542.204</v>
      </c>
      <c r="L505" s="13">
        <v>14533.374</v>
      </c>
      <c r="M505" s="12">
        <v>911.928</v>
      </c>
      <c r="N505" s="12">
        <v>911.928</v>
      </c>
      <c r="O505" s="12">
        <v>169.62100000000001</v>
      </c>
      <c r="P505" s="12">
        <v>7</v>
      </c>
      <c r="Q505" s="12">
        <v>7</v>
      </c>
      <c r="R505" s="12">
        <v>7</v>
      </c>
    </row>
    <row r="506" spans="1:18" ht="17" customHeight="1" x14ac:dyDescent="0.15">
      <c r="A506" s="8" t="s">
        <v>2673</v>
      </c>
      <c r="B506" s="9" t="s">
        <v>2674</v>
      </c>
      <c r="C506" s="8" t="s">
        <v>2675</v>
      </c>
      <c r="D506" s="8" t="s">
        <v>2675</v>
      </c>
      <c r="E506" s="8" t="s">
        <v>2676</v>
      </c>
      <c r="F506" s="8" t="s">
        <v>2677</v>
      </c>
      <c r="G506" s="8" t="s">
        <v>2678</v>
      </c>
      <c r="H506" s="8" t="s">
        <v>2544</v>
      </c>
      <c r="I506" s="8" t="str">
        <f>HYPERLINK("http://www.equiline.it/","www.equiline.it")</f>
        <v>www.equiline.it</v>
      </c>
      <c r="J506" s="10">
        <v>11760.891</v>
      </c>
      <c r="K506" s="10">
        <v>11760.891</v>
      </c>
      <c r="L506" s="10">
        <v>14531.668</v>
      </c>
      <c r="M506" s="10">
        <v>30.248999999999999</v>
      </c>
      <c r="N506" s="10">
        <v>30.248999999999999</v>
      </c>
      <c r="O506" s="10">
        <v>1590.2660000000001</v>
      </c>
      <c r="P506" s="10">
        <v>49</v>
      </c>
      <c r="Q506" s="10">
        <v>49</v>
      </c>
      <c r="R506" s="10">
        <v>50</v>
      </c>
    </row>
    <row r="507" spans="1:18" ht="17" customHeight="1" x14ac:dyDescent="0.15">
      <c r="A507" s="11" t="s">
        <v>2679</v>
      </c>
      <c r="B507" s="1" t="s">
        <v>2680</v>
      </c>
      <c r="C507" s="11" t="s">
        <v>2681</v>
      </c>
      <c r="D507" s="11" t="s">
        <v>2681</v>
      </c>
      <c r="E507" s="11" t="s">
        <v>2682</v>
      </c>
      <c r="F507" s="11" t="s">
        <v>2549</v>
      </c>
      <c r="G507" s="11" t="s">
        <v>2598</v>
      </c>
      <c r="H507" s="11" t="s">
        <v>2599</v>
      </c>
      <c r="I507" s="11" t="str">
        <f>HYPERLINK("http://www.cappelletti.it/","www.cappelletti.it")</f>
        <v>www.cappelletti.it</v>
      </c>
      <c r="J507" s="12">
        <v>16354.725</v>
      </c>
      <c r="K507" s="12">
        <v>16354.725</v>
      </c>
      <c r="L507" s="13">
        <v>14506.787</v>
      </c>
      <c r="M507" s="12">
        <v>1428.6379999999999</v>
      </c>
      <c r="N507" s="12">
        <v>1428.6379999999999</v>
      </c>
      <c r="O507" s="12">
        <v>1059.4349999999999</v>
      </c>
      <c r="P507" s="12">
        <v>52</v>
      </c>
      <c r="Q507" s="12">
        <v>52</v>
      </c>
      <c r="R507" s="12">
        <v>52</v>
      </c>
    </row>
    <row r="508" spans="1:18" ht="17" customHeight="1" x14ac:dyDescent="0.15">
      <c r="A508" s="8" t="s">
        <v>2683</v>
      </c>
      <c r="B508" s="9" t="s">
        <v>2684</v>
      </c>
      <c r="C508" s="8" t="s">
        <v>2685</v>
      </c>
      <c r="D508" s="8" t="s">
        <v>2685</v>
      </c>
      <c r="E508" s="8" t="s">
        <v>2686</v>
      </c>
      <c r="F508" s="8" t="s">
        <v>2549</v>
      </c>
      <c r="G508" s="8" t="s">
        <v>2598</v>
      </c>
      <c r="H508" s="8" t="s">
        <v>2599</v>
      </c>
      <c r="I508" s="8" t="str">
        <f>HYPERLINK("http://www.romit.it/","www.romit.it")</f>
        <v>www.romit.it</v>
      </c>
      <c r="J508" s="10">
        <v>17766.385999999999</v>
      </c>
      <c r="K508" s="10">
        <v>17766.385999999999</v>
      </c>
      <c r="L508" s="10">
        <v>14472.944</v>
      </c>
      <c r="M508" s="10">
        <v>205.77</v>
      </c>
      <c r="N508" s="10">
        <v>205.77</v>
      </c>
      <c r="O508" s="10">
        <v>127.83799999999999</v>
      </c>
      <c r="P508" s="10">
        <v>52</v>
      </c>
      <c r="Q508" s="10">
        <v>52</v>
      </c>
      <c r="R508" s="10">
        <v>50</v>
      </c>
    </row>
    <row r="509" spans="1:18" ht="17" customHeight="1" x14ac:dyDescent="0.15">
      <c r="A509" s="11" t="s">
        <v>2687</v>
      </c>
      <c r="B509" s="1" t="s">
        <v>2688</v>
      </c>
      <c r="C509" s="11" t="s">
        <v>2689</v>
      </c>
      <c r="D509" s="11" t="s">
        <v>2689</v>
      </c>
      <c r="E509" s="11" t="s">
        <v>2690</v>
      </c>
      <c r="F509" s="11" t="s">
        <v>2584</v>
      </c>
      <c r="G509" s="11" t="s">
        <v>2570</v>
      </c>
      <c r="H509" s="11" t="s">
        <v>2571</v>
      </c>
      <c r="I509" s="11" t="str">
        <f>HYPERLINK("http://www.wendytrendy.eu/","www.wendytrendy.eu")</f>
        <v>www.wendytrendy.eu</v>
      </c>
      <c r="J509" s="12">
        <v>12920.023999999999</v>
      </c>
      <c r="K509" s="12">
        <v>12920.023999999999</v>
      </c>
      <c r="L509" s="13">
        <v>14464.514999999999</v>
      </c>
      <c r="M509" s="12">
        <v>117.327</v>
      </c>
      <c r="N509" s="12">
        <v>117.327</v>
      </c>
      <c r="O509" s="12">
        <v>111.798</v>
      </c>
      <c r="P509" s="12">
        <v>26</v>
      </c>
      <c r="Q509" s="12">
        <v>26</v>
      </c>
      <c r="R509" s="12">
        <v>30</v>
      </c>
    </row>
    <row r="510" spans="1:18" ht="29.5" customHeight="1" x14ac:dyDescent="0.15">
      <c r="A510" s="8" t="s">
        <v>2691</v>
      </c>
      <c r="B510" s="9" t="s">
        <v>2692</v>
      </c>
      <c r="C510" s="8" t="s">
        <v>2693</v>
      </c>
      <c r="D510" s="8" t="s">
        <v>2694</v>
      </c>
      <c r="E510" s="8" t="s">
        <v>2695</v>
      </c>
      <c r="F510" s="8" t="s">
        <v>2549</v>
      </c>
      <c r="G510" s="8" t="s">
        <v>2696</v>
      </c>
      <c r="H510" s="8" t="s">
        <v>2599</v>
      </c>
      <c r="I510" s="8" t="str">
        <f>HYPERLINK("http://rodo.it/","rodo.it")</f>
        <v>rodo.it</v>
      </c>
      <c r="J510" s="10">
        <v>17244.741000000002</v>
      </c>
      <c r="K510" s="10">
        <v>17244.741000000002</v>
      </c>
      <c r="L510" s="10">
        <v>14444.56</v>
      </c>
      <c r="M510" s="10">
        <v>1201.8019999999999</v>
      </c>
      <c r="N510" s="10">
        <v>1201.8019999999999</v>
      </c>
      <c r="O510" s="10">
        <v>447.26499999999999</v>
      </c>
      <c r="P510" s="10">
        <v>133</v>
      </c>
      <c r="Q510" s="10">
        <v>133</v>
      </c>
      <c r="R510" s="10">
        <v>136</v>
      </c>
    </row>
    <row r="511" spans="1:18" ht="17" customHeight="1" x14ac:dyDescent="0.15">
      <c r="A511" s="11" t="s">
        <v>2697</v>
      </c>
      <c r="B511" s="1" t="s">
        <v>2698</v>
      </c>
      <c r="C511" s="11" t="s">
        <v>2699</v>
      </c>
      <c r="D511" s="11" t="s">
        <v>2699</v>
      </c>
      <c r="E511" s="11" t="s">
        <v>2700</v>
      </c>
      <c r="F511" s="11" t="s">
        <v>2610</v>
      </c>
      <c r="G511" s="11" t="s">
        <v>2650</v>
      </c>
      <c r="H511" s="11" t="s">
        <v>2558</v>
      </c>
      <c r="I511" s="11" t="str">
        <f>HYPERLINK("http://luckylumilano.com/","luckylumilano.com")</f>
        <v>luckylumilano.com</v>
      </c>
      <c r="J511" s="12">
        <v>12540.562</v>
      </c>
      <c r="K511" s="12">
        <v>12540.562</v>
      </c>
      <c r="L511" s="13">
        <v>14393.754999999999</v>
      </c>
      <c r="M511" s="12">
        <v>489.11</v>
      </c>
      <c r="N511" s="12">
        <v>489.11</v>
      </c>
      <c r="O511" s="12">
        <v>6078.7489999999998</v>
      </c>
      <c r="P511" s="12">
        <v>33</v>
      </c>
      <c r="Q511" s="12">
        <v>33</v>
      </c>
      <c r="R511" s="12">
        <v>35</v>
      </c>
    </row>
    <row r="512" spans="1:18" ht="17" customHeight="1" x14ac:dyDescent="0.15">
      <c r="A512" s="8" t="s">
        <v>2701</v>
      </c>
      <c r="B512" s="9" t="s">
        <v>2702</v>
      </c>
      <c r="C512" s="8" t="s">
        <v>2703</v>
      </c>
      <c r="D512" s="8" t="s">
        <v>2704</v>
      </c>
      <c r="E512" s="8" t="s">
        <v>2705</v>
      </c>
      <c r="F512" s="8" t="s">
        <v>2706</v>
      </c>
      <c r="G512" s="8" t="s">
        <v>2543</v>
      </c>
      <c r="H512" s="8" t="s">
        <v>2544</v>
      </c>
      <c r="I512" s="8" t="str">
        <f>HYPERLINK("http://www.creazionifutura.com/","www.creazionifutura.com")</f>
        <v>www.creazionifutura.com</v>
      </c>
      <c r="J512" s="10">
        <v>14032.234</v>
      </c>
      <c r="K512" s="10">
        <v>14032.234</v>
      </c>
      <c r="L512" s="10">
        <v>14385.870999999999</v>
      </c>
      <c r="M512" s="10">
        <v>204</v>
      </c>
      <c r="N512" s="10">
        <v>204</v>
      </c>
      <c r="O512" s="10">
        <v>459.34300000000002</v>
      </c>
      <c r="P512" s="10">
        <v>24</v>
      </c>
      <c r="Q512" s="10">
        <v>24</v>
      </c>
      <c r="R512" s="10">
        <v>24</v>
      </c>
    </row>
    <row r="513" spans="1:18" ht="17" customHeight="1" x14ac:dyDescent="0.15">
      <c r="A513" s="11" t="s">
        <v>2707</v>
      </c>
      <c r="B513" s="1" t="s">
        <v>2708</v>
      </c>
      <c r="C513" s="11" t="s">
        <v>2709</v>
      </c>
      <c r="D513" s="11" t="s">
        <v>2709</v>
      </c>
      <c r="E513" s="11" t="s">
        <v>2710</v>
      </c>
      <c r="F513" s="11" t="s">
        <v>2711</v>
      </c>
      <c r="G513" s="11" t="s">
        <v>2712</v>
      </c>
      <c r="H513" s="11" t="s">
        <v>2713</v>
      </c>
      <c r="I513" s="11" t="str">
        <f>HYPERLINK("http://www.castorfashion.it/","www.castorfashion.it")</f>
        <v>www.castorfashion.it</v>
      </c>
      <c r="J513" s="12">
        <v>12270.067999999999</v>
      </c>
      <c r="K513" s="12">
        <v>12270.067999999999</v>
      </c>
      <c r="L513" s="13">
        <v>14379.093000000001</v>
      </c>
      <c r="M513" s="12">
        <v>14.449</v>
      </c>
      <c r="N513" s="12">
        <v>14.449</v>
      </c>
      <c r="O513" s="12">
        <v>147.33500000000001</v>
      </c>
      <c r="P513" s="12">
        <v>64</v>
      </c>
      <c r="Q513" s="12">
        <v>64</v>
      </c>
      <c r="R513" s="12">
        <v>64</v>
      </c>
    </row>
    <row r="514" spans="1:18" ht="17" customHeight="1" x14ac:dyDescent="0.15">
      <c r="A514" s="8" t="s">
        <v>2714</v>
      </c>
      <c r="B514" s="9" t="s">
        <v>2715</v>
      </c>
      <c r="C514" s="8" t="s">
        <v>2716</v>
      </c>
      <c r="D514" s="8" t="s">
        <v>2716</v>
      </c>
      <c r="E514" s="8" t="s">
        <v>2717</v>
      </c>
      <c r="F514" s="8" t="s">
        <v>2718</v>
      </c>
      <c r="G514" s="8" t="s">
        <v>2719</v>
      </c>
      <c r="H514" s="8" t="s">
        <v>2720</v>
      </c>
      <c r="I514" s="8" t="str">
        <f>HYPERLINK("http://www.cesareattolini.com/","http://www.cesareattolini.com")</f>
        <v>http://www.cesareattolini.com</v>
      </c>
      <c r="J514" s="10">
        <v>17873.292000000001</v>
      </c>
      <c r="K514" s="10">
        <v>17873.292000000001</v>
      </c>
      <c r="L514" s="10">
        <v>14368.163</v>
      </c>
      <c r="M514" s="10">
        <v>3247.38</v>
      </c>
      <c r="N514" s="10">
        <v>3247.38</v>
      </c>
      <c r="O514" s="10">
        <v>1916.2909999999999</v>
      </c>
      <c r="P514" s="10">
        <v>122</v>
      </c>
      <c r="Q514" s="10">
        <v>122</v>
      </c>
      <c r="R514" s="10">
        <v>114</v>
      </c>
    </row>
    <row r="515" spans="1:18" ht="17" customHeight="1" x14ac:dyDescent="0.15">
      <c r="A515" s="11" t="s">
        <v>2721</v>
      </c>
      <c r="B515" s="1" t="s">
        <v>2722</v>
      </c>
      <c r="C515" s="11" t="s">
        <v>2723</v>
      </c>
      <c r="D515" s="11" t="s">
        <v>2723</v>
      </c>
      <c r="E515" s="11" t="s">
        <v>2724</v>
      </c>
      <c r="F515" s="11" t="s">
        <v>2725</v>
      </c>
      <c r="G515" s="11" t="s">
        <v>2726</v>
      </c>
      <c r="H515" s="11" t="s">
        <v>2727</v>
      </c>
      <c r="I515" s="11" t="str">
        <f>HYPERLINK("http://www.concerialaba.it/","http://www.concerialaba.it")</f>
        <v>http://www.concerialaba.it</v>
      </c>
      <c r="J515" s="12">
        <v>12760.625</v>
      </c>
      <c r="K515" s="12">
        <v>12760.625</v>
      </c>
      <c r="L515" s="13">
        <v>14365.319</v>
      </c>
      <c r="M515" s="12">
        <v>-871.279</v>
      </c>
      <c r="N515" s="12">
        <v>-871.279</v>
      </c>
      <c r="O515" s="12">
        <v>814.529</v>
      </c>
      <c r="P515" s="12">
        <v>68</v>
      </c>
      <c r="Q515" s="12">
        <v>68</v>
      </c>
      <c r="R515" s="12">
        <v>72</v>
      </c>
    </row>
    <row r="516" spans="1:18" ht="17" customHeight="1" x14ac:dyDescent="0.15">
      <c r="A516" s="8" t="s">
        <v>2728</v>
      </c>
      <c r="B516" s="9" t="s">
        <v>2729</v>
      </c>
      <c r="C516" s="8" t="s">
        <v>2730</v>
      </c>
      <c r="D516" s="8" t="s">
        <v>2731</v>
      </c>
      <c r="E516" s="8" t="s">
        <v>2732</v>
      </c>
      <c r="F516" s="8" t="s">
        <v>2725</v>
      </c>
      <c r="G516" s="8" t="s">
        <v>2733</v>
      </c>
      <c r="H516" s="8" t="s">
        <v>2727</v>
      </c>
      <c r="I516" s="8" t="str">
        <f>HYPERLINK("http://labiesseuno.com/","labiesseuno.com")</f>
        <v>labiesseuno.com</v>
      </c>
      <c r="J516" s="10">
        <v>16845.263999999999</v>
      </c>
      <c r="K516" s="10">
        <v>16845.263999999999</v>
      </c>
      <c r="L516" s="10">
        <v>14335.611000000001</v>
      </c>
      <c r="M516" s="10">
        <v>1294.579</v>
      </c>
      <c r="N516" s="10">
        <v>1294.579</v>
      </c>
      <c r="O516" s="10">
        <v>1070.8219999999999</v>
      </c>
      <c r="P516" s="10">
        <v>28</v>
      </c>
      <c r="Q516" s="10">
        <v>28</v>
      </c>
      <c r="R516" s="10">
        <v>26</v>
      </c>
    </row>
    <row r="517" spans="1:18" ht="17" customHeight="1" x14ac:dyDescent="0.15">
      <c r="A517" s="11" t="s">
        <v>2734</v>
      </c>
      <c r="B517" s="1" t="s">
        <v>2735</v>
      </c>
      <c r="C517" s="11" t="s">
        <v>2736</v>
      </c>
      <c r="D517" s="11" t="s">
        <v>2736</v>
      </c>
      <c r="E517" s="11" t="s">
        <v>2737</v>
      </c>
      <c r="F517" s="11" t="s">
        <v>2738</v>
      </c>
      <c r="G517" s="11" t="s">
        <v>2739</v>
      </c>
      <c r="H517" s="11" t="s">
        <v>2740</v>
      </c>
      <c r="I517" s="11" t="str">
        <f>HYPERLINK("http://www.mmmarsrl.it/","www.mmmarsrl.it")</f>
        <v>www.mmmarsrl.it</v>
      </c>
      <c r="J517" s="12">
        <v>17079.893</v>
      </c>
      <c r="K517" s="12">
        <v>17079.893</v>
      </c>
      <c r="L517" s="13">
        <v>14215.098</v>
      </c>
      <c r="M517" s="12">
        <v>2163.2950000000001</v>
      </c>
      <c r="N517" s="12">
        <v>2163.2950000000001</v>
      </c>
      <c r="O517" s="12">
        <v>-306.363</v>
      </c>
      <c r="P517" s="12">
        <v>61</v>
      </c>
      <c r="Q517" s="12">
        <v>61</v>
      </c>
      <c r="R517" s="12">
        <v>63</v>
      </c>
    </row>
    <row r="518" spans="1:18" ht="17" customHeight="1" x14ac:dyDescent="0.15">
      <c r="A518" s="8" t="s">
        <v>2741</v>
      </c>
      <c r="B518" s="9" t="s">
        <v>2742</v>
      </c>
      <c r="C518" s="8" t="s">
        <v>2743</v>
      </c>
      <c r="D518" s="8" t="s">
        <v>2743</v>
      </c>
      <c r="E518" s="8" t="s">
        <v>2744</v>
      </c>
      <c r="F518" s="8" t="s">
        <v>2745</v>
      </c>
      <c r="G518" s="8" t="s">
        <v>2746</v>
      </c>
      <c r="H518" s="8" t="s">
        <v>2747</v>
      </c>
      <c r="I518" s="8" t="str">
        <f>HYPERLINK("http://www.artigianafarnese.it/","www.artigianafarnese.it")</f>
        <v>www.artigianafarnese.it</v>
      </c>
      <c r="J518" s="10">
        <v>14535.200999999999</v>
      </c>
      <c r="K518" s="10">
        <v>14535.200999999999</v>
      </c>
      <c r="L518" s="10">
        <v>14203.683000000001</v>
      </c>
      <c r="M518" s="10">
        <v>1025.9880000000001</v>
      </c>
      <c r="N518" s="10">
        <v>1025.9880000000001</v>
      </c>
      <c r="O518" s="10">
        <v>901.21400000000006</v>
      </c>
      <c r="P518" s="10">
        <v>52</v>
      </c>
      <c r="Q518" s="10">
        <v>52</v>
      </c>
      <c r="R518" s="10">
        <v>48</v>
      </c>
    </row>
    <row r="519" spans="1:18" ht="17" customHeight="1" x14ac:dyDescent="0.15">
      <c r="A519" s="11" t="s">
        <v>2748</v>
      </c>
      <c r="B519" s="1" t="s">
        <v>2749</v>
      </c>
      <c r="C519" s="11" t="s">
        <v>2750</v>
      </c>
      <c r="D519" s="11" t="s">
        <v>2750</v>
      </c>
      <c r="E519" s="11" t="s">
        <v>2751</v>
      </c>
      <c r="F519" s="11" t="s">
        <v>2752</v>
      </c>
      <c r="G519" s="11" t="s">
        <v>2753</v>
      </c>
      <c r="H519" s="11" t="s">
        <v>2727</v>
      </c>
      <c r="I519" s="11" t="str">
        <f>HYPERLINK("http://www.jollyscarpe.com/","www.jollyscarpe.com")</f>
        <v>www.jollyscarpe.com</v>
      </c>
      <c r="J519" s="12">
        <v>16763.462</v>
      </c>
      <c r="K519" s="12">
        <v>16763.462</v>
      </c>
      <c r="L519" s="13">
        <v>14198.703</v>
      </c>
      <c r="M519" s="12">
        <v>673.125</v>
      </c>
      <c r="N519" s="12">
        <v>673.125</v>
      </c>
      <c r="O519" s="12">
        <v>424.03699999999998</v>
      </c>
      <c r="P519" s="12">
        <v>15</v>
      </c>
      <c r="Q519" s="12">
        <v>15</v>
      </c>
      <c r="R519" s="12">
        <v>18</v>
      </c>
    </row>
    <row r="520" spans="1:18" ht="17" customHeight="1" x14ac:dyDescent="0.15">
      <c r="A520" s="8" t="s">
        <v>2754</v>
      </c>
      <c r="B520" s="9" t="s">
        <v>2755</v>
      </c>
      <c r="C520" s="8" t="s">
        <v>2756</v>
      </c>
      <c r="D520" s="8" t="s">
        <v>2756</v>
      </c>
      <c r="E520" s="8" t="s">
        <v>2757</v>
      </c>
      <c r="F520" s="8" t="s">
        <v>2711</v>
      </c>
      <c r="G520" s="8" t="s">
        <v>2758</v>
      </c>
      <c r="H520" s="8" t="s">
        <v>2727</v>
      </c>
      <c r="I520" s="8" t="str">
        <f>HYPERLINK("http://offshoreitalia.com/","offshoreitalia.com")</f>
        <v>offshoreitalia.com</v>
      </c>
      <c r="J520" s="10">
        <v>18775.32</v>
      </c>
      <c r="K520" s="10">
        <v>18775.32</v>
      </c>
      <c r="L520" s="10">
        <v>14194.453</v>
      </c>
      <c r="M520" s="10">
        <v>4310.9949999999999</v>
      </c>
      <c r="N520" s="10">
        <v>4310.9949999999999</v>
      </c>
      <c r="O520" s="10">
        <v>1400.4649999999999</v>
      </c>
      <c r="P520" s="10">
        <v>25</v>
      </c>
      <c r="Q520" s="10">
        <v>25</v>
      </c>
      <c r="R520" s="10">
        <v>26</v>
      </c>
    </row>
    <row r="521" spans="1:18" ht="17" customHeight="1" x14ac:dyDescent="0.15">
      <c r="A521" s="11" t="s">
        <v>2759</v>
      </c>
      <c r="B521" s="1" t="s">
        <v>2760</v>
      </c>
      <c r="C521" s="11" t="s">
        <v>2761</v>
      </c>
      <c r="D521" s="11" t="s">
        <v>2761</v>
      </c>
      <c r="E521" s="11" t="s">
        <v>2762</v>
      </c>
      <c r="F521" s="11" t="s">
        <v>2752</v>
      </c>
      <c r="G521" s="11" t="s">
        <v>2763</v>
      </c>
      <c r="H521" s="11" t="s">
        <v>2740</v>
      </c>
      <c r="I521" s="11" t="str">
        <f>HYPERLINK("http://www.marcoshoes.it/","www.marcoshoes.it")</f>
        <v>www.marcoshoes.it</v>
      </c>
      <c r="J521" s="12">
        <v>14479.42</v>
      </c>
      <c r="K521" s="12">
        <v>14479.42</v>
      </c>
      <c r="L521" s="13">
        <v>14186.773999999999</v>
      </c>
      <c r="M521" s="12">
        <v>663.93399999999997</v>
      </c>
      <c r="N521" s="12">
        <v>663.93399999999997</v>
      </c>
      <c r="O521" s="12">
        <v>782.22900000000004</v>
      </c>
      <c r="P521" s="12">
        <v>72</v>
      </c>
      <c r="Q521" s="12">
        <v>72</v>
      </c>
      <c r="R521" s="12">
        <v>68</v>
      </c>
    </row>
    <row r="522" spans="1:18" ht="17" customHeight="1" x14ac:dyDescent="0.15">
      <c r="A522" s="8" t="s">
        <v>2764</v>
      </c>
      <c r="B522" s="9" t="s">
        <v>2765</v>
      </c>
      <c r="C522" s="8" t="s">
        <v>2766</v>
      </c>
      <c r="D522" s="8" t="s">
        <v>2766</v>
      </c>
      <c r="E522" s="8" t="s">
        <v>2767</v>
      </c>
      <c r="F522" s="8" t="s">
        <v>2725</v>
      </c>
      <c r="G522" s="8" t="s">
        <v>2763</v>
      </c>
      <c r="H522" s="8" t="s">
        <v>2740</v>
      </c>
      <c r="I522" s="8" t="str">
        <f>HYPERLINK("http://www.concerialascarpa.it/","www.concerialascarpa.it")</f>
        <v>www.concerialascarpa.it</v>
      </c>
      <c r="J522" s="10">
        <v>13526.457</v>
      </c>
      <c r="K522" s="10">
        <v>13526.457</v>
      </c>
      <c r="L522" s="10">
        <v>14181.383</v>
      </c>
      <c r="M522" s="10">
        <v>235.84</v>
      </c>
      <c r="N522" s="10">
        <v>235.84</v>
      </c>
      <c r="O522" s="10">
        <v>405.83100000000002</v>
      </c>
      <c r="P522" s="10">
        <v>24</v>
      </c>
      <c r="Q522" s="10">
        <v>24</v>
      </c>
      <c r="R522" s="10">
        <v>25</v>
      </c>
    </row>
    <row r="523" spans="1:18" ht="17" customHeight="1" x14ac:dyDescent="0.15">
      <c r="A523" s="11" t="s">
        <v>2768</v>
      </c>
      <c r="B523" s="1" t="s">
        <v>2769</v>
      </c>
      <c r="C523" s="11" t="s">
        <v>2770</v>
      </c>
      <c r="D523" s="11" t="s">
        <v>2770</v>
      </c>
      <c r="E523" s="11" t="s">
        <v>2771</v>
      </c>
      <c r="F523" s="11" t="s">
        <v>2772</v>
      </c>
      <c r="G523" s="11" t="s">
        <v>2773</v>
      </c>
      <c r="H523" s="11" t="s">
        <v>2713</v>
      </c>
      <c r="I523" s="11" t="str">
        <f>HYPERLINK("http://www.crazy.it/","www.crazy.it")</f>
        <v>www.crazy.it</v>
      </c>
      <c r="J523" s="12">
        <v>11383.638999999999</v>
      </c>
      <c r="K523" s="12">
        <v>11383.638999999999</v>
      </c>
      <c r="L523" s="13">
        <v>14162.67</v>
      </c>
      <c r="M523" s="12">
        <v>-196.96799999999999</v>
      </c>
      <c r="N523" s="12">
        <v>-196.96799999999999</v>
      </c>
      <c r="O523" s="12">
        <v>748.048</v>
      </c>
      <c r="P523" s="12">
        <v>41</v>
      </c>
      <c r="Q523" s="12">
        <v>41</v>
      </c>
      <c r="R523" s="12">
        <v>40</v>
      </c>
    </row>
    <row r="524" spans="1:18" ht="17" customHeight="1" x14ac:dyDescent="0.15">
      <c r="A524" s="8" t="s">
        <v>2774</v>
      </c>
      <c r="B524" s="9" t="s">
        <v>2775</v>
      </c>
      <c r="C524" s="8" t="s">
        <v>2776</v>
      </c>
      <c r="D524" s="8" t="s">
        <v>2776</v>
      </c>
      <c r="E524" s="8" t="s">
        <v>2777</v>
      </c>
      <c r="F524" s="8" t="s">
        <v>2725</v>
      </c>
      <c r="G524" s="8" t="s">
        <v>2763</v>
      </c>
      <c r="H524" s="8" t="s">
        <v>2740</v>
      </c>
      <c r="I524" s="8" t="str">
        <f>HYPERLINK("http://www.conceriam2.com/","www.conceriam2.com")</f>
        <v>www.conceriam2.com</v>
      </c>
      <c r="J524" s="10">
        <v>12376.037</v>
      </c>
      <c r="K524" s="10">
        <v>12376.037</v>
      </c>
      <c r="L524" s="10">
        <v>14155.539000000001</v>
      </c>
      <c r="M524" s="10">
        <v>43.371000000000002</v>
      </c>
      <c r="N524" s="10">
        <v>43.371000000000002</v>
      </c>
      <c r="O524" s="10">
        <v>64.554000000000002</v>
      </c>
      <c r="P524" s="10">
        <v>30</v>
      </c>
      <c r="Q524" s="10">
        <v>30</v>
      </c>
      <c r="R524" s="10">
        <v>30</v>
      </c>
    </row>
    <row r="525" spans="1:18" ht="17" customHeight="1" x14ac:dyDescent="0.15">
      <c r="A525" s="11" t="s">
        <v>2778</v>
      </c>
      <c r="B525" s="1" t="s">
        <v>2779</v>
      </c>
      <c r="C525" s="11" t="s">
        <v>2780</v>
      </c>
      <c r="D525" s="11" t="s">
        <v>2780</v>
      </c>
      <c r="E525" s="11" t="s">
        <v>2781</v>
      </c>
      <c r="F525" s="11" t="s">
        <v>2725</v>
      </c>
      <c r="G525" s="11" t="s">
        <v>2733</v>
      </c>
      <c r="H525" s="11" t="s">
        <v>2727</v>
      </c>
      <c r="I525" s="11" t="str">
        <f>HYPERLINK("http://cerviniaspa.it/","cerviniaspa.it")</f>
        <v>cerviniaspa.it</v>
      </c>
      <c r="J525" s="12">
        <v>12486.444</v>
      </c>
      <c r="K525" s="12">
        <v>12486.444</v>
      </c>
      <c r="L525" s="13">
        <v>14140.796</v>
      </c>
      <c r="M525" s="12">
        <v>-515.75400000000002</v>
      </c>
      <c r="N525" s="12">
        <v>-515.75400000000002</v>
      </c>
      <c r="O525" s="12">
        <v>25.513000000000002</v>
      </c>
      <c r="P525" s="12">
        <v>39</v>
      </c>
      <c r="Q525" s="12">
        <v>39</v>
      </c>
      <c r="R525" s="12">
        <v>41</v>
      </c>
    </row>
    <row r="526" spans="1:18" ht="17" customHeight="1" x14ac:dyDescent="0.15">
      <c r="A526" s="8" t="s">
        <v>2782</v>
      </c>
      <c r="B526" s="9" t="s">
        <v>2783</v>
      </c>
      <c r="C526" s="8" t="s">
        <v>2784</v>
      </c>
      <c r="D526" s="8" t="s">
        <v>2784</v>
      </c>
      <c r="E526" s="8" t="s">
        <v>2785</v>
      </c>
      <c r="F526" s="8" t="s">
        <v>2752</v>
      </c>
      <c r="G526" s="8" t="s">
        <v>2786</v>
      </c>
      <c r="H526" s="8" t="s">
        <v>2740</v>
      </c>
      <c r="I526" s="8" t="str">
        <f>HYPERLINK("http://www.sergionatalini.it/","www.sergionatalini.it")</f>
        <v>www.sergionatalini.it</v>
      </c>
      <c r="J526" s="10">
        <v>9818.0110000000004</v>
      </c>
      <c r="K526" s="10">
        <v>9818.0110000000004</v>
      </c>
      <c r="L526" s="10">
        <v>14094.382</v>
      </c>
      <c r="M526" s="10">
        <v>5.3330000000000002</v>
      </c>
      <c r="N526" s="10">
        <v>5.3330000000000002</v>
      </c>
      <c r="O526" s="10">
        <v>347.85399999999998</v>
      </c>
      <c r="P526" s="10">
        <v>97</v>
      </c>
      <c r="Q526" s="10">
        <v>97</v>
      </c>
      <c r="R526" s="10">
        <v>99</v>
      </c>
    </row>
    <row r="527" spans="1:18" ht="17" customHeight="1" x14ac:dyDescent="0.15">
      <c r="A527" s="11" t="s">
        <v>2787</v>
      </c>
      <c r="B527" s="1" t="s">
        <v>2788</v>
      </c>
      <c r="C527" s="11" t="s">
        <v>2789</v>
      </c>
      <c r="D527" s="11" t="s">
        <v>2790</v>
      </c>
      <c r="E527" s="11" t="s">
        <v>2791</v>
      </c>
      <c r="F527" s="11" t="s">
        <v>2725</v>
      </c>
      <c r="G527" s="11" t="s">
        <v>2726</v>
      </c>
      <c r="H527" s="11" t="s">
        <v>2727</v>
      </c>
      <c r="I527" s="11" t="str">
        <f>HYPERLINK("http://www.italpelli.com/","http://www.italpelli.com")</f>
        <v>http://www.italpelli.com</v>
      </c>
      <c r="J527" s="12">
        <v>15337.748</v>
      </c>
      <c r="K527" s="12">
        <v>15337.748</v>
      </c>
      <c r="L527" s="13">
        <v>14086.339</v>
      </c>
      <c r="M527" s="12">
        <v>363.8</v>
      </c>
      <c r="N527" s="12">
        <v>363.8</v>
      </c>
      <c r="O527" s="12">
        <v>-54.456000000000003</v>
      </c>
      <c r="P527" s="12">
        <v>6</v>
      </c>
      <c r="Q527" s="12">
        <v>6</v>
      </c>
      <c r="R527" s="12">
        <v>7</v>
      </c>
    </row>
    <row r="528" spans="1:18" ht="17" customHeight="1" x14ac:dyDescent="0.15">
      <c r="A528" s="8" t="s">
        <v>2792</v>
      </c>
      <c r="B528" s="9" t="s">
        <v>2793</v>
      </c>
      <c r="C528" s="8" t="s">
        <v>2794</v>
      </c>
      <c r="D528" s="8" t="s">
        <v>2794</v>
      </c>
      <c r="E528" s="8" t="s">
        <v>2795</v>
      </c>
      <c r="F528" s="8" t="s">
        <v>2752</v>
      </c>
      <c r="G528" s="8" t="s">
        <v>2753</v>
      </c>
      <c r="H528" s="8" t="s">
        <v>2727</v>
      </c>
      <c r="I528" s="8" t="str">
        <f>HYPERLINK("http://edeaskates.com/","edeaskates.com")</f>
        <v>edeaskates.com</v>
      </c>
      <c r="J528" s="10">
        <v>17169.54</v>
      </c>
      <c r="K528" s="10">
        <v>17169.54</v>
      </c>
      <c r="L528" s="10">
        <v>14054.468000000001</v>
      </c>
      <c r="M528" s="10">
        <v>5175.6139999999996</v>
      </c>
      <c r="N528" s="10">
        <v>5175.6139999999996</v>
      </c>
      <c r="O528" s="10">
        <v>3664.9259999999999</v>
      </c>
      <c r="P528" s="10">
        <v>42</v>
      </c>
      <c r="Q528" s="10">
        <v>42</v>
      </c>
      <c r="R528" s="10">
        <v>30</v>
      </c>
    </row>
    <row r="529" spans="1:18" ht="17" customHeight="1" x14ac:dyDescent="0.15">
      <c r="A529" s="11" t="s">
        <v>2796</v>
      </c>
      <c r="B529" s="1" t="s">
        <v>2797</v>
      </c>
      <c r="C529" s="11" t="s">
        <v>2798</v>
      </c>
      <c r="D529" s="11" t="s">
        <v>2798</v>
      </c>
      <c r="E529" s="11" t="s">
        <v>2799</v>
      </c>
      <c r="F529" s="11" t="s">
        <v>2800</v>
      </c>
      <c r="G529" s="11" t="s">
        <v>2726</v>
      </c>
      <c r="H529" s="11" t="s">
        <v>2727</v>
      </c>
      <c r="I529" s="11" t="str">
        <f>HYPERLINK("http://volcar.it/","volcar.it")</f>
        <v>volcar.it</v>
      </c>
      <c r="J529" s="12">
        <v>14847.866</v>
      </c>
      <c r="K529" s="12">
        <v>14847.866</v>
      </c>
      <c r="L529" s="13">
        <v>14040.552</v>
      </c>
      <c r="M529" s="12">
        <v>1365.8389999999999</v>
      </c>
      <c r="N529" s="12">
        <v>1365.8389999999999</v>
      </c>
      <c r="O529" s="12">
        <v>982.68499999999995</v>
      </c>
      <c r="P529" s="12">
        <v>88</v>
      </c>
      <c r="Q529" s="12">
        <v>88</v>
      </c>
      <c r="R529" s="12">
        <v>80</v>
      </c>
    </row>
    <row r="530" spans="1:18" ht="17" customHeight="1" x14ac:dyDescent="0.15">
      <c r="A530" s="8" t="s">
        <v>2801</v>
      </c>
      <c r="B530" s="9" t="s">
        <v>2802</v>
      </c>
      <c r="C530" s="8" t="s">
        <v>2803</v>
      </c>
      <c r="D530" s="8" t="s">
        <v>2803</v>
      </c>
      <c r="E530" s="8" t="s">
        <v>2804</v>
      </c>
      <c r="F530" s="8" t="s">
        <v>2805</v>
      </c>
      <c r="G530" s="8" t="s">
        <v>2806</v>
      </c>
      <c r="H530" s="8" t="s">
        <v>2747</v>
      </c>
      <c r="I530" s="8" t="str">
        <f>HYPERLINK("http://www.italsform.it/","www.italsform.it")</f>
        <v>www.italsform.it</v>
      </c>
      <c r="J530" s="10">
        <v>13699.378000000001</v>
      </c>
      <c r="K530" s="10">
        <v>13699.378000000001</v>
      </c>
      <c r="L530" s="10">
        <v>14029.673000000001</v>
      </c>
      <c r="M530" s="10">
        <v>1803.1849999999999</v>
      </c>
      <c r="N530" s="10">
        <v>1803.1849999999999</v>
      </c>
      <c r="O530" s="10">
        <v>1962.384</v>
      </c>
      <c r="P530" s="10">
        <v>65</v>
      </c>
      <c r="Q530" s="10">
        <v>65</v>
      </c>
      <c r="R530" s="10">
        <v>65</v>
      </c>
    </row>
    <row r="531" spans="1:18" ht="17" customHeight="1" x14ac:dyDescent="0.15">
      <c r="A531" s="11" t="s">
        <v>2807</v>
      </c>
      <c r="B531" s="1" t="s">
        <v>2808</v>
      </c>
      <c r="C531" s="11" t="s">
        <v>2809</v>
      </c>
      <c r="D531" s="11" t="s">
        <v>2809</v>
      </c>
      <c r="E531" s="11" t="s">
        <v>2810</v>
      </c>
      <c r="F531" s="11" t="s">
        <v>2711</v>
      </c>
      <c r="G531" s="11" t="s">
        <v>2712</v>
      </c>
      <c r="H531" s="11" t="s">
        <v>2713</v>
      </c>
      <c r="I531" s="11" t="str">
        <f>HYPERLINK("http://www.clan.it/","www.clan.it")</f>
        <v>www.clan.it</v>
      </c>
      <c r="J531" s="12">
        <v>15175.156000000001</v>
      </c>
      <c r="K531" s="12">
        <v>15175.156000000001</v>
      </c>
      <c r="L531" s="13">
        <v>14012.422</v>
      </c>
      <c r="M531" s="12">
        <v>374.40300000000002</v>
      </c>
      <c r="N531" s="12">
        <v>374.40300000000002</v>
      </c>
      <c r="O531" s="12">
        <v>347.88400000000001</v>
      </c>
      <c r="P531" s="12">
        <v>21</v>
      </c>
      <c r="Q531" s="12">
        <v>21</v>
      </c>
      <c r="R531" s="12">
        <v>22</v>
      </c>
    </row>
    <row r="532" spans="1:18" ht="17" customHeight="1" x14ac:dyDescent="0.15">
      <c r="A532" s="8" t="s">
        <v>2811</v>
      </c>
      <c r="B532" s="9" t="s">
        <v>2812</v>
      </c>
      <c r="C532" s="8" t="s">
        <v>2813</v>
      </c>
      <c r="D532" s="8" t="s">
        <v>2813</v>
      </c>
      <c r="E532" s="8" t="s">
        <v>2814</v>
      </c>
      <c r="F532" s="8" t="s">
        <v>2745</v>
      </c>
      <c r="G532" s="8" t="s">
        <v>2739</v>
      </c>
      <c r="H532" s="8" t="s">
        <v>2740</v>
      </c>
      <c r="I532" s="8" t="str">
        <f>HYPERLINK("http://www.bbpelletterie.it/","www.bbpelletterie.it")</f>
        <v>www.bbpelletterie.it</v>
      </c>
      <c r="J532" s="10">
        <v>9491.57</v>
      </c>
      <c r="K532" s="10">
        <v>9491.57</v>
      </c>
      <c r="L532" s="10">
        <v>13958.009</v>
      </c>
      <c r="M532" s="10">
        <v>-1107.9760000000001</v>
      </c>
      <c r="N532" s="10">
        <v>-1107.9760000000001</v>
      </c>
      <c r="O532" s="10">
        <v>880.28</v>
      </c>
      <c r="P532" s="10">
        <v>140</v>
      </c>
      <c r="Q532" s="10">
        <v>140</v>
      </c>
      <c r="R532" s="10">
        <v>169</v>
      </c>
    </row>
    <row r="533" spans="1:18" ht="17" customHeight="1" x14ac:dyDescent="0.15">
      <c r="A533" s="11" t="s">
        <v>2815</v>
      </c>
      <c r="B533" s="1" t="s">
        <v>2816</v>
      </c>
      <c r="C533" s="11" t="s">
        <v>2817</v>
      </c>
      <c r="D533" s="11" t="s">
        <v>2817</v>
      </c>
      <c r="E533" s="11" t="s">
        <v>2818</v>
      </c>
      <c r="F533" s="11" t="s">
        <v>2711</v>
      </c>
      <c r="G533" s="11" t="s">
        <v>2819</v>
      </c>
      <c r="H533" s="11" t="s">
        <v>2747</v>
      </c>
      <c r="I533" s="11" t="str">
        <f>HYPERLINK("http://nuovanicol.it/","nuovanicol.it")</f>
        <v>nuovanicol.it</v>
      </c>
      <c r="J533" s="12">
        <v>17999.305</v>
      </c>
      <c r="K533" s="12">
        <v>17999.305</v>
      </c>
      <c r="L533" s="13">
        <v>13950.433999999999</v>
      </c>
      <c r="M533" s="12">
        <v>3419.3380000000002</v>
      </c>
      <c r="N533" s="12">
        <v>3419.3380000000002</v>
      </c>
      <c r="O533" s="12">
        <v>2377.5949999999998</v>
      </c>
      <c r="P533" s="14" t="s">
        <v>2820</v>
      </c>
      <c r="Q533" s="14" t="s">
        <v>2820</v>
      </c>
      <c r="R533" s="12">
        <v>26</v>
      </c>
    </row>
    <row r="534" spans="1:18" ht="17" customHeight="1" x14ac:dyDescent="0.15">
      <c r="A534" s="8" t="s">
        <v>2821</v>
      </c>
      <c r="B534" s="9" t="s">
        <v>2822</v>
      </c>
      <c r="C534" s="8" t="s">
        <v>2823</v>
      </c>
      <c r="D534" s="8" t="s">
        <v>2823</v>
      </c>
      <c r="E534" s="8" t="s">
        <v>2824</v>
      </c>
      <c r="F534" s="8" t="s">
        <v>2772</v>
      </c>
      <c r="G534" s="8" t="s">
        <v>2825</v>
      </c>
      <c r="H534" s="8" t="s">
        <v>2713</v>
      </c>
      <c r="I534" s="8" t="str">
        <f>HYPERLINK("http://www.caberg.it/","www.caberg.it")</f>
        <v>www.caberg.it</v>
      </c>
      <c r="J534" s="10">
        <v>11670.471</v>
      </c>
      <c r="K534" s="10">
        <v>11670.471</v>
      </c>
      <c r="L534" s="10">
        <v>13937.919</v>
      </c>
      <c r="M534" s="10">
        <v>220.61099999999999</v>
      </c>
      <c r="N534" s="10">
        <v>220.61099999999999</v>
      </c>
      <c r="O534" s="10">
        <v>266.12400000000002</v>
      </c>
      <c r="P534" s="10">
        <v>33</v>
      </c>
      <c r="Q534" s="10">
        <v>33</v>
      </c>
      <c r="R534" s="10">
        <v>36</v>
      </c>
    </row>
    <row r="535" spans="1:18" ht="17" customHeight="1" x14ac:dyDescent="0.15">
      <c r="A535" s="11" t="s">
        <v>2826</v>
      </c>
      <c r="B535" s="1" t="s">
        <v>2827</v>
      </c>
      <c r="C535" s="11" t="s">
        <v>2828</v>
      </c>
      <c r="D535" s="11" t="s">
        <v>2828</v>
      </c>
      <c r="E535" s="11" t="s">
        <v>2829</v>
      </c>
      <c r="F535" s="11" t="s">
        <v>2725</v>
      </c>
      <c r="G535" s="11" t="s">
        <v>2763</v>
      </c>
      <c r="H535" s="11" t="s">
        <v>2740</v>
      </c>
      <c r="I535" s="11" t="str">
        <f>HYPERLINK("http://www.eng.sifur.it/","www.eng.sifur.it")</f>
        <v>www.eng.sifur.it</v>
      </c>
      <c r="J535" s="12">
        <v>11030.891</v>
      </c>
      <c r="K535" s="12">
        <v>11030.891</v>
      </c>
      <c r="L535" s="13">
        <v>13920.909</v>
      </c>
      <c r="M535" s="12">
        <v>212.49600000000001</v>
      </c>
      <c r="N535" s="12">
        <v>212.49600000000001</v>
      </c>
      <c r="O535" s="12">
        <v>285.04700000000003</v>
      </c>
      <c r="P535" s="12">
        <v>33</v>
      </c>
      <c r="Q535" s="12">
        <v>33</v>
      </c>
      <c r="R535" s="12">
        <v>37</v>
      </c>
    </row>
    <row r="536" spans="1:18" ht="17" customHeight="1" x14ac:dyDescent="0.15">
      <c r="A536" s="8" t="s">
        <v>2830</v>
      </c>
      <c r="B536" s="9" t="s">
        <v>2831</v>
      </c>
      <c r="C536" s="8" t="s">
        <v>2832</v>
      </c>
      <c r="D536" s="8" t="s">
        <v>2832</v>
      </c>
      <c r="E536" s="8" t="s">
        <v>2833</v>
      </c>
      <c r="F536" s="8" t="s">
        <v>2725</v>
      </c>
      <c r="G536" s="8" t="s">
        <v>2726</v>
      </c>
      <c r="H536" s="8" t="s">
        <v>2727</v>
      </c>
      <c r="I536" s="8" t="str">
        <f>HYPERLINK("http://www.icaleather.it/","www.icaleather.it")</f>
        <v>www.icaleather.it</v>
      </c>
      <c r="J536" s="10">
        <v>15751.602000000001</v>
      </c>
      <c r="K536" s="10">
        <v>15751.602000000001</v>
      </c>
      <c r="L536" s="10">
        <v>13896.707</v>
      </c>
      <c r="M536" s="10">
        <v>4466.2870000000003</v>
      </c>
      <c r="N536" s="10">
        <v>4466.2870000000003</v>
      </c>
      <c r="O536" s="10">
        <v>2329.6950000000002</v>
      </c>
      <c r="P536" s="10">
        <v>42</v>
      </c>
      <c r="Q536" s="10">
        <v>42</v>
      </c>
      <c r="R536" s="10">
        <v>45</v>
      </c>
    </row>
    <row r="537" spans="1:18" ht="17" customHeight="1" x14ac:dyDescent="0.15">
      <c r="A537" s="11" t="s">
        <v>2834</v>
      </c>
      <c r="B537" s="1" t="s">
        <v>2835</v>
      </c>
      <c r="C537" s="11" t="s">
        <v>2836</v>
      </c>
      <c r="D537" s="11" t="s">
        <v>2837</v>
      </c>
      <c r="E537" s="11" t="s">
        <v>2838</v>
      </c>
      <c r="F537" s="11" t="s">
        <v>2738</v>
      </c>
      <c r="G537" s="11" t="s">
        <v>2839</v>
      </c>
      <c r="H537" s="11" t="s">
        <v>2713</v>
      </c>
      <c r="I537" s="11" t="str">
        <f>HYPERLINK("http://www.bogliolimilano.com/","www.bogliolimilano.com")</f>
        <v>www.bogliolimilano.com</v>
      </c>
      <c r="J537" s="12">
        <v>15443</v>
      </c>
      <c r="K537" s="12">
        <v>15443</v>
      </c>
      <c r="L537" s="13">
        <v>13876</v>
      </c>
      <c r="M537" s="12">
        <v>-1121</v>
      </c>
      <c r="N537" s="12">
        <v>-1121</v>
      </c>
      <c r="O537" s="12">
        <v>-941</v>
      </c>
      <c r="P537" s="12">
        <v>149</v>
      </c>
      <c r="Q537" s="12">
        <v>149</v>
      </c>
      <c r="R537" s="12">
        <v>133</v>
      </c>
    </row>
    <row r="538" spans="1:18" ht="17" customHeight="1" x14ac:dyDescent="0.15">
      <c r="A538" s="8" t="s">
        <v>2840</v>
      </c>
      <c r="B538" s="9" t="s">
        <v>2841</v>
      </c>
      <c r="C538" s="8" t="s">
        <v>2842</v>
      </c>
      <c r="D538" s="8" t="s">
        <v>2842</v>
      </c>
      <c r="E538" s="8" t="s">
        <v>2843</v>
      </c>
      <c r="F538" s="8" t="s">
        <v>2711</v>
      </c>
      <c r="G538" s="8" t="s">
        <v>2844</v>
      </c>
      <c r="H538" s="8" t="s">
        <v>2845</v>
      </c>
      <c r="I538" s="8" t="str">
        <f>HYPERLINK("http://www.luistrenker.com/","www.luistrenker.com")</f>
        <v>www.luistrenker.com</v>
      </c>
      <c r="J538" s="10">
        <v>14294.364</v>
      </c>
      <c r="K538" s="10">
        <v>14294.364</v>
      </c>
      <c r="L538" s="10">
        <v>13782.013999999999</v>
      </c>
      <c r="M538" s="10">
        <v>672.28899999999999</v>
      </c>
      <c r="N538" s="10">
        <v>672.28899999999999</v>
      </c>
      <c r="O538" s="10">
        <v>776.78</v>
      </c>
      <c r="P538" s="10">
        <v>48</v>
      </c>
      <c r="Q538" s="10">
        <v>48</v>
      </c>
      <c r="R538" s="10">
        <v>42</v>
      </c>
    </row>
    <row r="539" spans="1:18" ht="17" customHeight="1" x14ac:dyDescent="0.15">
      <c r="A539" s="11" t="s">
        <v>2846</v>
      </c>
      <c r="B539" s="1" t="s">
        <v>2847</v>
      </c>
      <c r="C539" s="11" t="s">
        <v>2848</v>
      </c>
      <c r="D539" s="11" t="s">
        <v>2848</v>
      </c>
      <c r="E539" s="11" t="s">
        <v>2849</v>
      </c>
      <c r="F539" s="11" t="s">
        <v>2850</v>
      </c>
      <c r="G539" s="11" t="s">
        <v>2712</v>
      </c>
      <c r="H539" s="11" t="s">
        <v>2713</v>
      </c>
      <c r="I539" s="11" t="str">
        <f>HYPERLINK("http://calzificioschinelli.it/","calzificioschinelli.it")</f>
        <v>calzificioschinelli.it</v>
      </c>
      <c r="J539" s="12">
        <v>16834.941999999999</v>
      </c>
      <c r="K539" s="12">
        <v>16834.941999999999</v>
      </c>
      <c r="L539" s="13">
        <v>13768.35</v>
      </c>
      <c r="M539" s="12">
        <v>714.20399999999995</v>
      </c>
      <c r="N539" s="12">
        <v>714.20399999999995</v>
      </c>
      <c r="O539" s="12">
        <v>676.38</v>
      </c>
      <c r="P539" s="12">
        <v>54</v>
      </c>
      <c r="Q539" s="12">
        <v>54</v>
      </c>
      <c r="R539" s="12">
        <v>50</v>
      </c>
    </row>
    <row r="540" spans="1:18" ht="17" customHeight="1" x14ac:dyDescent="0.15">
      <c r="A540" s="8" t="s">
        <v>2851</v>
      </c>
      <c r="B540" s="9" t="s">
        <v>2852</v>
      </c>
      <c r="C540" s="8" t="s">
        <v>2853</v>
      </c>
      <c r="D540" s="8" t="s">
        <v>2853</v>
      </c>
      <c r="E540" s="8" t="s">
        <v>2854</v>
      </c>
      <c r="F540" s="8" t="s">
        <v>2800</v>
      </c>
      <c r="G540" s="8" t="s">
        <v>2819</v>
      </c>
      <c r="H540" s="8" t="s">
        <v>2747</v>
      </c>
      <c r="I540" s="8" t="str">
        <f>HYPERLINK("http://www.lucianobenelli.it/","www.lucianobenelli.it")</f>
        <v>www.lucianobenelli.it</v>
      </c>
      <c r="J540" s="10">
        <v>19288.803</v>
      </c>
      <c r="K540" s="10">
        <v>19288.803</v>
      </c>
      <c r="L540" s="10">
        <v>13764.634</v>
      </c>
      <c r="M540" s="10">
        <v>3934.3290000000002</v>
      </c>
      <c r="N540" s="10">
        <v>3934.3290000000002</v>
      </c>
      <c r="O540" s="10">
        <v>1737.8489999999999</v>
      </c>
      <c r="P540" s="10">
        <v>82</v>
      </c>
      <c r="Q540" s="10">
        <v>82</v>
      </c>
      <c r="R540" s="10">
        <v>65</v>
      </c>
    </row>
    <row r="541" spans="1:18" ht="17" customHeight="1" x14ac:dyDescent="0.15">
      <c r="A541" s="11" t="s">
        <v>2855</v>
      </c>
      <c r="B541" s="1" t="s">
        <v>2856</v>
      </c>
      <c r="C541" s="11" t="s">
        <v>2857</v>
      </c>
      <c r="D541" s="11" t="s">
        <v>2857</v>
      </c>
      <c r="E541" s="11" t="s">
        <v>2858</v>
      </c>
      <c r="F541" s="11" t="s">
        <v>2711</v>
      </c>
      <c r="G541" s="11" t="s">
        <v>2726</v>
      </c>
      <c r="H541" s="11" t="s">
        <v>2727</v>
      </c>
      <c r="I541" s="11" t="str">
        <f>HYPERLINK("http://www.tramarossa.com/","www.tramarossa.com")</f>
        <v>www.tramarossa.com</v>
      </c>
      <c r="J541" s="12">
        <v>14610.664000000001</v>
      </c>
      <c r="K541" s="12">
        <v>14610.664000000001</v>
      </c>
      <c r="L541" s="13">
        <v>13762.849</v>
      </c>
      <c r="M541" s="12">
        <v>22.263000000000002</v>
      </c>
      <c r="N541" s="12">
        <v>22.263000000000002</v>
      </c>
      <c r="O541" s="12">
        <v>165.267</v>
      </c>
      <c r="P541" s="12">
        <v>34</v>
      </c>
      <c r="Q541" s="12">
        <v>34</v>
      </c>
      <c r="R541" s="12">
        <v>37</v>
      </c>
    </row>
    <row r="542" spans="1:18" ht="29.5" customHeight="1" x14ac:dyDescent="0.15">
      <c r="A542" s="8" t="s">
        <v>2859</v>
      </c>
      <c r="B542" s="9" t="s">
        <v>2860</v>
      </c>
      <c r="C542" s="8" t="s">
        <v>2861</v>
      </c>
      <c r="D542" s="8" t="s">
        <v>2861</v>
      </c>
      <c r="E542" s="8" t="s">
        <v>2862</v>
      </c>
      <c r="F542" s="8" t="s">
        <v>2752</v>
      </c>
      <c r="G542" s="8" t="s">
        <v>2863</v>
      </c>
      <c r="H542" s="8" t="s">
        <v>2864</v>
      </c>
      <c r="I542" s="8" t="str">
        <f>HYPERLINK("http://vingishoes.cedam.it/","vingishoes.cedam.it")</f>
        <v>vingishoes.cedam.it</v>
      </c>
      <c r="J542" s="10">
        <v>6846.7430000000004</v>
      </c>
      <c r="K542" s="10">
        <v>6846.7430000000004</v>
      </c>
      <c r="L542" s="10">
        <v>13721.035</v>
      </c>
      <c r="M542" s="10">
        <v>-193.08199999999999</v>
      </c>
      <c r="N542" s="10">
        <v>-193.08199999999999</v>
      </c>
      <c r="O542" s="10">
        <v>143.761</v>
      </c>
      <c r="P542" s="10">
        <v>95</v>
      </c>
      <c r="Q542" s="10">
        <v>95</v>
      </c>
      <c r="R542" s="10">
        <v>111</v>
      </c>
    </row>
    <row r="543" spans="1:18" ht="17" customHeight="1" x14ac:dyDescent="0.15">
      <c r="A543" s="11" t="s">
        <v>2865</v>
      </c>
      <c r="B543" s="1" t="s">
        <v>2866</v>
      </c>
      <c r="C543" s="11" t="s">
        <v>2867</v>
      </c>
      <c r="D543" s="11" t="s">
        <v>2867</v>
      </c>
      <c r="E543" s="11" t="s">
        <v>2868</v>
      </c>
      <c r="F543" s="11" t="s">
        <v>2725</v>
      </c>
      <c r="G543" s="11" t="s">
        <v>2763</v>
      </c>
      <c r="H543" s="11" t="s">
        <v>2740</v>
      </c>
      <c r="I543" s="11" t="str">
        <f>HYPERLINK("http://www.montana.it/","www.montana.it")</f>
        <v>www.montana.it</v>
      </c>
      <c r="J543" s="12">
        <v>8892.8889999999992</v>
      </c>
      <c r="K543" s="12">
        <v>8892.8889999999992</v>
      </c>
      <c r="L543" s="13">
        <v>13719.315000000001</v>
      </c>
      <c r="M543" s="12">
        <v>-5752.9660000000003</v>
      </c>
      <c r="N543" s="12">
        <v>-5752.9660000000003</v>
      </c>
      <c r="O543" s="12">
        <v>-461.79399999999998</v>
      </c>
      <c r="P543" s="12">
        <v>27</v>
      </c>
      <c r="Q543" s="12">
        <v>27</v>
      </c>
      <c r="R543" s="12">
        <v>27</v>
      </c>
    </row>
    <row r="544" spans="1:18" ht="17" customHeight="1" x14ac:dyDescent="0.15">
      <c r="A544" s="8" t="s">
        <v>2869</v>
      </c>
      <c r="B544" s="9" t="s">
        <v>2870</v>
      </c>
      <c r="C544" s="8" t="s">
        <v>2871</v>
      </c>
      <c r="D544" s="8" t="s">
        <v>2871</v>
      </c>
      <c r="E544" s="8" t="s">
        <v>2872</v>
      </c>
      <c r="F544" s="8" t="s">
        <v>2738</v>
      </c>
      <c r="G544" s="8" t="s">
        <v>2873</v>
      </c>
      <c r="H544" s="8" t="s">
        <v>2713</v>
      </c>
      <c r="I544" s="8" t="str">
        <f>HYPERLINK("http://www.caractere.it/","www.caractere.it")</f>
        <v>www.caractere.it</v>
      </c>
      <c r="J544" s="10">
        <v>13356.001</v>
      </c>
      <c r="K544" s="10">
        <v>13356.001</v>
      </c>
      <c r="L544" s="10">
        <v>13690.73</v>
      </c>
      <c r="M544" s="10">
        <v>74.616</v>
      </c>
      <c r="N544" s="10">
        <v>74.616</v>
      </c>
      <c r="O544" s="10">
        <v>371.767</v>
      </c>
      <c r="P544" s="15" t="s">
        <v>2820</v>
      </c>
      <c r="Q544" s="15" t="s">
        <v>2820</v>
      </c>
      <c r="R544" s="10">
        <v>75</v>
      </c>
    </row>
    <row r="545" spans="1:18" ht="29.5" customHeight="1" x14ac:dyDescent="0.15">
      <c r="A545" s="11" t="s">
        <v>2874</v>
      </c>
      <c r="B545" s="1" t="s">
        <v>2875</v>
      </c>
      <c r="C545" s="11" t="s">
        <v>2876</v>
      </c>
      <c r="D545" s="11" t="s">
        <v>2876</v>
      </c>
      <c r="E545" s="11" t="s">
        <v>2877</v>
      </c>
      <c r="F545" s="11" t="s">
        <v>2878</v>
      </c>
      <c r="G545" s="11" t="s">
        <v>2879</v>
      </c>
      <c r="H545" s="11" t="s">
        <v>2880</v>
      </c>
      <c r="I545" s="11" t="str">
        <f>HYPERLINK("http://www.retois.it/","www.retois.it")</f>
        <v>www.retois.it</v>
      </c>
      <c r="J545" s="12">
        <v>13854.383</v>
      </c>
      <c r="K545" s="12">
        <v>13854.383</v>
      </c>
      <c r="L545" s="13">
        <v>13652.047</v>
      </c>
      <c r="M545" s="12">
        <v>8.1470000000000002</v>
      </c>
      <c r="N545" s="12">
        <v>8.1470000000000002</v>
      </c>
      <c r="O545" s="12">
        <v>-45.807000000000002</v>
      </c>
      <c r="P545" s="12">
        <v>23</v>
      </c>
      <c r="Q545" s="12">
        <v>23</v>
      </c>
      <c r="R545" s="12">
        <v>23</v>
      </c>
    </row>
    <row r="546" spans="1:18" ht="29.5" customHeight="1" x14ac:dyDescent="0.15">
      <c r="A546" s="8" t="s">
        <v>2881</v>
      </c>
      <c r="B546" s="9" t="s">
        <v>2882</v>
      </c>
      <c r="C546" s="8" t="s">
        <v>2883</v>
      </c>
      <c r="D546" s="8" t="s">
        <v>2883</v>
      </c>
      <c r="E546" s="8" t="s">
        <v>2884</v>
      </c>
      <c r="F546" s="8" t="s">
        <v>2885</v>
      </c>
      <c r="G546" s="8" t="s">
        <v>2879</v>
      </c>
      <c r="H546" s="8" t="s">
        <v>2880</v>
      </c>
      <c r="I546" s="8" t="str">
        <f>HYPERLINK("http://www.buttero.it/","http://www.buttero.it")</f>
        <v>http://www.buttero.it</v>
      </c>
      <c r="J546" s="10">
        <v>15248.049000000001</v>
      </c>
      <c r="K546" s="10">
        <v>15248.049000000001</v>
      </c>
      <c r="L546" s="10">
        <v>13646.395</v>
      </c>
      <c r="M546" s="10">
        <v>404.98399999999998</v>
      </c>
      <c r="N546" s="10">
        <v>404.98399999999998</v>
      </c>
      <c r="O546" s="10">
        <v>272.75200000000001</v>
      </c>
      <c r="P546" s="10">
        <v>50</v>
      </c>
      <c r="Q546" s="10">
        <v>50</v>
      </c>
      <c r="R546" s="10">
        <v>48</v>
      </c>
    </row>
    <row r="547" spans="1:18" ht="17" customHeight="1" x14ac:dyDescent="0.15">
      <c r="A547" s="11" t="s">
        <v>2886</v>
      </c>
      <c r="B547" s="1" t="s">
        <v>2887</v>
      </c>
      <c r="C547" s="11" t="s">
        <v>2888</v>
      </c>
      <c r="D547" s="11" t="s">
        <v>2888</v>
      </c>
      <c r="E547" s="11" t="s">
        <v>2889</v>
      </c>
      <c r="F547" s="11" t="s">
        <v>2890</v>
      </c>
      <c r="G547" s="11" t="s">
        <v>2891</v>
      </c>
      <c r="H547" s="11" t="s">
        <v>2892</v>
      </c>
      <c r="I547" s="11" t="str">
        <f>HYPERLINK("http://www.carlopignatelli.com/","www.carlopignatelli.com")</f>
        <v>www.carlopignatelli.com</v>
      </c>
      <c r="J547" s="12">
        <v>13645.186</v>
      </c>
      <c r="K547" s="14" t="s">
        <v>2893</v>
      </c>
      <c r="L547" s="13">
        <v>13645.186</v>
      </c>
      <c r="M547" s="12">
        <v>66.462999999999994</v>
      </c>
      <c r="N547" s="14" t="s">
        <v>2893</v>
      </c>
      <c r="O547" s="12">
        <v>66.462999999999994</v>
      </c>
      <c r="P547" s="12">
        <v>59</v>
      </c>
      <c r="Q547" s="14" t="s">
        <v>2893</v>
      </c>
      <c r="R547" s="12">
        <v>59</v>
      </c>
    </row>
    <row r="548" spans="1:18" ht="17" customHeight="1" x14ac:dyDescent="0.15">
      <c r="A548" s="8" t="s">
        <v>2894</v>
      </c>
      <c r="B548" s="9" t="s">
        <v>2895</v>
      </c>
      <c r="C548" s="8" t="s">
        <v>2896</v>
      </c>
      <c r="D548" s="8" t="s">
        <v>2896</v>
      </c>
      <c r="E548" s="8" t="s">
        <v>2897</v>
      </c>
      <c r="F548" s="8" t="s">
        <v>2898</v>
      </c>
      <c r="G548" s="8" t="s">
        <v>2899</v>
      </c>
      <c r="H548" s="8" t="s">
        <v>2900</v>
      </c>
      <c r="I548" s="8" t="str">
        <f>HYPERLINK("http://pec-srl.it/","pec-srl.it")</f>
        <v>pec-srl.it</v>
      </c>
      <c r="J548" s="10">
        <v>13588.215</v>
      </c>
      <c r="K548" s="10">
        <v>13588.215</v>
      </c>
      <c r="L548" s="10">
        <v>13523.373</v>
      </c>
      <c r="M548" s="10">
        <v>188.358</v>
      </c>
      <c r="N548" s="10">
        <v>188.358</v>
      </c>
      <c r="O548" s="10">
        <v>223.40799999999999</v>
      </c>
      <c r="P548" s="15" t="s">
        <v>2893</v>
      </c>
      <c r="Q548" s="15" t="s">
        <v>2893</v>
      </c>
      <c r="R548" s="10">
        <v>159</v>
      </c>
    </row>
    <row r="549" spans="1:18" ht="17" customHeight="1" x14ac:dyDescent="0.15">
      <c r="A549" s="11" t="s">
        <v>2901</v>
      </c>
      <c r="B549" s="1" t="s">
        <v>2902</v>
      </c>
      <c r="C549" s="11" t="s">
        <v>2903</v>
      </c>
      <c r="D549" s="11" t="s">
        <v>2903</v>
      </c>
      <c r="E549" s="11" t="s">
        <v>2904</v>
      </c>
      <c r="F549" s="11" t="s">
        <v>2905</v>
      </c>
      <c r="G549" s="11" t="s">
        <v>2906</v>
      </c>
      <c r="H549" s="11" t="s">
        <v>2907</v>
      </c>
      <c r="I549" s="11" t="str">
        <f>HYPERLINK("http://www.ots-srl.com/","www.ots-srl.com")</f>
        <v>www.ots-srl.com</v>
      </c>
      <c r="J549" s="12">
        <v>15011.550999999999</v>
      </c>
      <c r="K549" s="12">
        <v>15011.550999999999</v>
      </c>
      <c r="L549" s="13">
        <v>13465.546</v>
      </c>
      <c r="M549" s="12">
        <v>152.45099999999999</v>
      </c>
      <c r="N549" s="12">
        <v>152.45099999999999</v>
      </c>
      <c r="O549" s="12">
        <v>500.00700000000001</v>
      </c>
      <c r="P549" s="12">
        <v>65</v>
      </c>
      <c r="Q549" s="12">
        <v>65</v>
      </c>
      <c r="R549" s="12">
        <v>67</v>
      </c>
    </row>
    <row r="550" spans="1:18" ht="29.5" customHeight="1" x14ac:dyDescent="0.15">
      <c r="A550" s="8" t="s">
        <v>2908</v>
      </c>
      <c r="B550" s="9" t="s">
        <v>2909</v>
      </c>
      <c r="C550" s="8" t="s">
        <v>2910</v>
      </c>
      <c r="D550" s="8" t="s">
        <v>2910</v>
      </c>
      <c r="E550" s="8" t="s">
        <v>2911</v>
      </c>
      <c r="F550" s="8" t="s">
        <v>2890</v>
      </c>
      <c r="G550" s="8" t="s">
        <v>2912</v>
      </c>
      <c r="H550" s="8" t="s">
        <v>2913</v>
      </c>
      <c r="I550" s="8" t="str">
        <f>HYPERLINK("http://refrigiwear1954.com/","refrigiwear1954.com")</f>
        <v>refrigiwear1954.com</v>
      </c>
      <c r="J550" s="10">
        <v>13972.868</v>
      </c>
      <c r="K550" s="10">
        <v>13972.868</v>
      </c>
      <c r="L550" s="10">
        <v>13447.352999999999</v>
      </c>
      <c r="M550" s="10">
        <v>193.03700000000001</v>
      </c>
      <c r="N550" s="10">
        <v>193.03700000000001</v>
      </c>
      <c r="O550" s="10">
        <v>487.65499999999997</v>
      </c>
      <c r="P550" s="10">
        <v>20</v>
      </c>
      <c r="Q550" s="10">
        <v>20</v>
      </c>
      <c r="R550" s="10">
        <v>16</v>
      </c>
    </row>
    <row r="551" spans="1:18" ht="29.5" customHeight="1" x14ac:dyDescent="0.15">
      <c r="A551" s="11" t="s">
        <v>2914</v>
      </c>
      <c r="B551" s="1" t="s">
        <v>2915</v>
      </c>
      <c r="C551" s="11" t="s">
        <v>2916</v>
      </c>
      <c r="D551" s="11" t="s">
        <v>2916</v>
      </c>
      <c r="E551" s="11" t="s">
        <v>2917</v>
      </c>
      <c r="F551" s="11" t="s">
        <v>2885</v>
      </c>
      <c r="G551" s="11" t="s">
        <v>2918</v>
      </c>
      <c r="H551" s="11" t="s">
        <v>2919</v>
      </c>
      <c r="I551" s="11" t="str">
        <f>HYPERLINK("http://rbrsl.com/","rbrsl.com")</f>
        <v>rbrsl.com</v>
      </c>
      <c r="J551" s="12">
        <v>12656.262000000001</v>
      </c>
      <c r="K551" s="12">
        <v>12656.262000000001</v>
      </c>
      <c r="L551" s="13">
        <v>13407.164000000001</v>
      </c>
      <c r="M551" s="12">
        <v>-527.72199999999998</v>
      </c>
      <c r="N551" s="12">
        <v>-527.72199999999998</v>
      </c>
      <c r="O551" s="12">
        <v>-578.55399999999997</v>
      </c>
      <c r="P551" s="12">
        <v>73</v>
      </c>
      <c r="Q551" s="12">
        <v>73</v>
      </c>
      <c r="R551" s="12">
        <v>71</v>
      </c>
    </row>
    <row r="552" spans="1:18" ht="17" customHeight="1" x14ac:dyDescent="0.15">
      <c r="A552" s="8" t="s">
        <v>2920</v>
      </c>
      <c r="B552" s="9" t="s">
        <v>2921</v>
      </c>
      <c r="C552" s="8" t="s">
        <v>2922</v>
      </c>
      <c r="D552" s="8" t="s">
        <v>2922</v>
      </c>
      <c r="E552" s="8" t="s">
        <v>2923</v>
      </c>
      <c r="F552" s="8" t="s">
        <v>2924</v>
      </c>
      <c r="G552" s="8" t="s">
        <v>2925</v>
      </c>
      <c r="H552" s="8" t="s">
        <v>2926</v>
      </c>
      <c r="I552" s="8" t="str">
        <f>HYPERLINK("http://www.brumsmilano.online/","www.brumsmilano.online")</f>
        <v>www.brumsmilano.online</v>
      </c>
      <c r="J552" s="10">
        <v>13401.888000000001</v>
      </c>
      <c r="K552" s="15" t="s">
        <v>2893</v>
      </c>
      <c r="L552" s="10">
        <v>13401.888000000001</v>
      </c>
      <c r="M552" s="10">
        <v>-4710.808</v>
      </c>
      <c r="N552" s="15" t="s">
        <v>2893</v>
      </c>
      <c r="O552" s="10">
        <v>-4710.808</v>
      </c>
      <c r="P552" s="10">
        <v>118</v>
      </c>
      <c r="Q552" s="15" t="s">
        <v>2893</v>
      </c>
      <c r="R552" s="10">
        <v>118</v>
      </c>
    </row>
    <row r="553" spans="1:18" ht="17" customHeight="1" x14ac:dyDescent="0.15">
      <c r="A553" s="11" t="s">
        <v>2927</v>
      </c>
      <c r="B553" s="1" t="s">
        <v>2928</v>
      </c>
      <c r="C553" s="11" t="s">
        <v>2929</v>
      </c>
      <c r="D553" s="11" t="s">
        <v>2929</v>
      </c>
      <c r="E553" s="11" t="s">
        <v>2930</v>
      </c>
      <c r="F553" s="11" t="s">
        <v>2890</v>
      </c>
      <c r="G553" s="11" t="s">
        <v>2925</v>
      </c>
      <c r="H553" s="11" t="s">
        <v>2926</v>
      </c>
      <c r="I553" s="11" t="str">
        <f>HYPERLINK("http://www.jacobcohen.com/","www.jacobcohen.com")</f>
        <v>www.jacobcohen.com</v>
      </c>
      <c r="J553" s="12">
        <v>15094.22</v>
      </c>
      <c r="K553" s="12">
        <v>15094.22</v>
      </c>
      <c r="L553" s="13">
        <v>13357.666999999999</v>
      </c>
      <c r="M553" s="12">
        <v>-562.47199999999998</v>
      </c>
      <c r="N553" s="12">
        <v>-562.47199999999998</v>
      </c>
      <c r="O553" s="12">
        <v>283.60500000000002</v>
      </c>
      <c r="P553" s="12">
        <v>34</v>
      </c>
      <c r="Q553" s="12">
        <v>34</v>
      </c>
      <c r="R553" s="12">
        <v>28</v>
      </c>
    </row>
    <row r="554" spans="1:18" ht="43" customHeight="1" x14ac:dyDescent="0.15">
      <c r="A554" s="8" t="s">
        <v>2931</v>
      </c>
      <c r="B554" s="9" t="s">
        <v>2932</v>
      </c>
      <c r="C554" s="8" t="s">
        <v>2933</v>
      </c>
      <c r="D554" s="8" t="s">
        <v>2933</v>
      </c>
      <c r="E554" s="8" t="s">
        <v>2934</v>
      </c>
      <c r="F554" s="8" t="s">
        <v>2935</v>
      </c>
      <c r="G554" s="8" t="s">
        <v>2936</v>
      </c>
      <c r="H554" s="8" t="s">
        <v>2907</v>
      </c>
      <c r="I554" s="8" t="str">
        <f>HYPERLINK("http://iceleatherspa.com/","iceleatherspa.com")</f>
        <v>iceleatherspa.com</v>
      </c>
      <c r="J554" s="10">
        <v>10867.799000000001</v>
      </c>
      <c r="K554" s="10">
        <v>10867.799000000001</v>
      </c>
      <c r="L554" s="10">
        <v>13335.386</v>
      </c>
      <c r="M554" s="10">
        <v>-2086.9929999999999</v>
      </c>
      <c r="N554" s="10">
        <v>-2086.9929999999999</v>
      </c>
      <c r="O554" s="10">
        <v>-2566.7849999999999</v>
      </c>
      <c r="P554" s="10">
        <v>46</v>
      </c>
      <c r="Q554" s="10">
        <v>46</v>
      </c>
      <c r="R554" s="10">
        <v>50</v>
      </c>
    </row>
    <row r="555" spans="1:18" ht="17" customHeight="1" x14ac:dyDescent="0.15">
      <c r="A555" s="11" t="s">
        <v>2937</v>
      </c>
      <c r="B555" s="1" t="s">
        <v>2938</v>
      </c>
      <c r="C555" s="11" t="s">
        <v>2939</v>
      </c>
      <c r="D555" s="11" t="s">
        <v>2939</v>
      </c>
      <c r="E555" s="11" t="s">
        <v>2940</v>
      </c>
      <c r="F555" s="11" t="s">
        <v>2898</v>
      </c>
      <c r="G555" s="11" t="s">
        <v>2941</v>
      </c>
      <c r="H555" s="11" t="s">
        <v>2919</v>
      </c>
      <c r="I555" s="11" t="str">
        <f>HYPERLINK("http://erreuno.com/","erreuno.com")</f>
        <v>erreuno.com</v>
      </c>
      <c r="J555" s="12">
        <v>12662.775</v>
      </c>
      <c r="K555" s="12">
        <v>12662.775</v>
      </c>
      <c r="L555" s="13">
        <v>13309.705</v>
      </c>
      <c r="M555" s="12">
        <v>1250.079</v>
      </c>
      <c r="N555" s="12">
        <v>1250.079</v>
      </c>
      <c r="O555" s="12">
        <v>1613.0429999999999</v>
      </c>
      <c r="P555" s="12">
        <v>65</v>
      </c>
      <c r="Q555" s="12">
        <v>65</v>
      </c>
      <c r="R555" s="12">
        <v>61</v>
      </c>
    </row>
    <row r="556" spans="1:18" ht="17" customHeight="1" x14ac:dyDescent="0.15">
      <c r="A556" s="8" t="s">
        <v>2942</v>
      </c>
      <c r="B556" s="9" t="s">
        <v>2943</v>
      </c>
      <c r="C556" s="8" t="s">
        <v>2944</v>
      </c>
      <c r="D556" s="8" t="s">
        <v>2944</v>
      </c>
      <c r="E556" s="8" t="s">
        <v>2945</v>
      </c>
      <c r="F556" s="8" t="s">
        <v>2924</v>
      </c>
      <c r="G556" s="8" t="s">
        <v>2946</v>
      </c>
      <c r="H556" s="8" t="s">
        <v>2926</v>
      </c>
      <c r="I556" s="8" t="str">
        <f>HYPERLINK("http://www.florartaccessori.com/","www.florartaccessori.com")</f>
        <v>www.florartaccessori.com</v>
      </c>
      <c r="J556" s="10">
        <v>9715.1910000000007</v>
      </c>
      <c r="K556" s="10">
        <v>9715.1910000000007</v>
      </c>
      <c r="L556" s="10">
        <v>13304.782999999999</v>
      </c>
      <c r="M556" s="10">
        <v>68.963999999999999</v>
      </c>
      <c r="N556" s="10">
        <v>68.963999999999999</v>
      </c>
      <c r="O556" s="10">
        <v>69.837999999999994</v>
      </c>
      <c r="P556" s="10">
        <v>9</v>
      </c>
      <c r="Q556" s="10">
        <v>9</v>
      </c>
      <c r="R556" s="10">
        <v>10</v>
      </c>
    </row>
    <row r="557" spans="1:18" ht="17" customHeight="1" x14ac:dyDescent="0.15">
      <c r="A557" s="11" t="s">
        <v>2947</v>
      </c>
      <c r="B557" s="1" t="s">
        <v>2948</v>
      </c>
      <c r="C557" s="11" t="s">
        <v>2949</v>
      </c>
      <c r="D557" s="11" t="s">
        <v>2949</v>
      </c>
      <c r="E557" s="11" t="s">
        <v>2950</v>
      </c>
      <c r="F557" s="11" t="s">
        <v>2890</v>
      </c>
      <c r="G557" s="11" t="s">
        <v>2899</v>
      </c>
      <c r="H557" s="11" t="s">
        <v>2900</v>
      </c>
      <c r="I557" s="11" t="str">
        <f>HYPERLINK("http://www.gruppofbsrl.it/","www.gruppofbsrl.it")</f>
        <v>www.gruppofbsrl.it</v>
      </c>
      <c r="J557" s="12">
        <v>13739.828</v>
      </c>
      <c r="K557" s="12">
        <v>13739.828</v>
      </c>
      <c r="L557" s="13">
        <v>13284.326999999999</v>
      </c>
      <c r="M557" s="12">
        <v>134.006</v>
      </c>
      <c r="N557" s="12">
        <v>134.006</v>
      </c>
      <c r="O557" s="12">
        <v>169.08099999999999</v>
      </c>
      <c r="P557" s="12">
        <v>52</v>
      </c>
      <c r="Q557" s="12">
        <v>52</v>
      </c>
      <c r="R557" s="12">
        <v>44</v>
      </c>
    </row>
    <row r="558" spans="1:18" ht="17" customHeight="1" x14ac:dyDescent="0.15">
      <c r="A558" s="8" t="s">
        <v>2951</v>
      </c>
      <c r="B558" s="9" t="s">
        <v>2952</v>
      </c>
      <c r="C558" s="8" t="s">
        <v>2953</v>
      </c>
      <c r="D558" s="8" t="s">
        <v>2953</v>
      </c>
      <c r="E558" s="8" t="s">
        <v>2954</v>
      </c>
      <c r="F558" s="8" t="s">
        <v>2935</v>
      </c>
      <c r="G558" s="8" t="s">
        <v>2936</v>
      </c>
      <c r="H558" s="8" t="s">
        <v>2907</v>
      </c>
      <c r="I558" s="8" t="str">
        <f>HYPERLINK("http://www.conceriapalladio.it/","www.conceriapalladio.it")</f>
        <v>www.conceriapalladio.it</v>
      </c>
      <c r="J558" s="10">
        <v>5839.3220000000001</v>
      </c>
      <c r="K558" s="10">
        <v>5839.3220000000001</v>
      </c>
      <c r="L558" s="10">
        <v>13281.434999999999</v>
      </c>
      <c r="M558" s="10">
        <v>977.64499999999998</v>
      </c>
      <c r="N558" s="10">
        <v>977.64499999999998</v>
      </c>
      <c r="O558" s="10">
        <v>-2177.21</v>
      </c>
      <c r="P558" s="10">
        <v>49</v>
      </c>
      <c r="Q558" s="10">
        <v>49</v>
      </c>
      <c r="R558" s="10">
        <v>60</v>
      </c>
    </row>
    <row r="559" spans="1:18" ht="29.5" customHeight="1" x14ac:dyDescent="0.15">
      <c r="A559" s="11" t="s">
        <v>2955</v>
      </c>
      <c r="B559" s="1" t="s">
        <v>2956</v>
      </c>
      <c r="C559" s="11" t="s">
        <v>2957</v>
      </c>
      <c r="D559" s="11" t="s">
        <v>2957</v>
      </c>
      <c r="E559" s="11" t="s">
        <v>2958</v>
      </c>
      <c r="F559" s="11" t="s">
        <v>2959</v>
      </c>
      <c r="G559" s="11" t="s">
        <v>2912</v>
      </c>
      <c r="H559" s="11" t="s">
        <v>2913</v>
      </c>
      <c r="I559" s="11" t="str">
        <f>HYPERLINK("http://www.falis2014.com/","www.falis2014.com")</f>
        <v>www.falis2014.com</v>
      </c>
      <c r="J559" s="12">
        <v>12330.210999999999</v>
      </c>
      <c r="K559" s="12">
        <v>12330.210999999999</v>
      </c>
      <c r="L559" s="13">
        <v>13246.28</v>
      </c>
      <c r="M559" s="12">
        <v>723.61900000000003</v>
      </c>
      <c r="N559" s="12">
        <v>723.61900000000003</v>
      </c>
      <c r="O559" s="12">
        <v>247.15899999999999</v>
      </c>
      <c r="P559" s="14" t="s">
        <v>2893</v>
      </c>
      <c r="Q559" s="14" t="s">
        <v>2893</v>
      </c>
      <c r="R559" s="12">
        <v>10</v>
      </c>
    </row>
    <row r="560" spans="1:18" ht="29.5" customHeight="1" x14ac:dyDescent="0.15">
      <c r="A560" s="8" t="s">
        <v>2960</v>
      </c>
      <c r="B560" s="9" t="s">
        <v>2961</v>
      </c>
      <c r="C560" s="8" t="s">
        <v>2962</v>
      </c>
      <c r="D560" s="8" t="s">
        <v>2962</v>
      </c>
      <c r="E560" s="8" t="s">
        <v>2963</v>
      </c>
      <c r="F560" s="8" t="s">
        <v>2885</v>
      </c>
      <c r="G560" s="8" t="s">
        <v>2941</v>
      </c>
      <c r="H560" s="8" t="s">
        <v>2919</v>
      </c>
      <c r="I560" s="8" t="str">
        <f>HYPERLINK("http://www.hugoboss.com/","www.hugoboss.com")</f>
        <v>www.hugoboss.com</v>
      </c>
      <c r="J560" s="10">
        <v>11647.02</v>
      </c>
      <c r="K560" s="10">
        <v>11647.02</v>
      </c>
      <c r="L560" s="10">
        <v>13234.436</v>
      </c>
      <c r="M560" s="10">
        <v>677.351</v>
      </c>
      <c r="N560" s="10">
        <v>677.351</v>
      </c>
      <c r="O560" s="10">
        <v>-602.68100000000004</v>
      </c>
      <c r="P560" s="10">
        <v>112</v>
      </c>
      <c r="Q560" s="10">
        <v>112</v>
      </c>
      <c r="R560" s="10">
        <v>119</v>
      </c>
    </row>
    <row r="561" spans="1:18" ht="29.5" customHeight="1" x14ac:dyDescent="0.15">
      <c r="A561" s="11" t="s">
        <v>2964</v>
      </c>
      <c r="B561" s="1" t="s">
        <v>2965</v>
      </c>
      <c r="C561" s="11" t="s">
        <v>2966</v>
      </c>
      <c r="D561" s="11" t="s">
        <v>2966</v>
      </c>
      <c r="E561" s="11" t="s">
        <v>2967</v>
      </c>
      <c r="F561" s="11" t="s">
        <v>2968</v>
      </c>
      <c r="G561" s="11" t="s">
        <v>2969</v>
      </c>
      <c r="H561" s="11" t="s">
        <v>2970</v>
      </c>
      <c r="I561" s="11" t="str">
        <f>HYPERLINK("http://www.rosso35.com/","www.rosso35.com")</f>
        <v>www.rosso35.com</v>
      </c>
      <c r="J561" s="12">
        <v>14788.647999999999</v>
      </c>
      <c r="K561" s="12">
        <v>14788.647999999999</v>
      </c>
      <c r="L561" s="13">
        <v>13223.527</v>
      </c>
      <c r="M561" s="12">
        <v>2058.7289999999998</v>
      </c>
      <c r="N561" s="12">
        <v>2058.7289999999998</v>
      </c>
      <c r="O561" s="12">
        <v>1978.9929999999999</v>
      </c>
      <c r="P561" s="12">
        <v>35</v>
      </c>
      <c r="Q561" s="12">
        <v>35</v>
      </c>
      <c r="R561" s="12">
        <v>35</v>
      </c>
    </row>
    <row r="562" spans="1:18" ht="17" customHeight="1" x14ac:dyDescent="0.15">
      <c r="A562" s="8" t="s">
        <v>2971</v>
      </c>
      <c r="B562" s="9" t="s">
        <v>2972</v>
      </c>
      <c r="C562" s="8" t="s">
        <v>2973</v>
      </c>
      <c r="D562" s="8" t="s">
        <v>2973</v>
      </c>
      <c r="E562" s="8" t="s">
        <v>2974</v>
      </c>
      <c r="F562" s="8" t="s">
        <v>2885</v>
      </c>
      <c r="G562" s="8" t="s">
        <v>2975</v>
      </c>
      <c r="H562" s="8" t="s">
        <v>2907</v>
      </c>
      <c r="I562" s="8" t="str">
        <f>HYPERLINK("http://www.olang.it/","www.olang.it")</f>
        <v>www.olang.it</v>
      </c>
      <c r="J562" s="10">
        <v>8970.7279999999992</v>
      </c>
      <c r="K562" s="10">
        <v>8970.7279999999992</v>
      </c>
      <c r="L562" s="10">
        <v>13133.441999999999</v>
      </c>
      <c r="M562" s="10">
        <v>91.173000000000002</v>
      </c>
      <c r="N562" s="10">
        <v>91.173000000000002</v>
      </c>
      <c r="O562" s="10">
        <v>291.84699999999998</v>
      </c>
      <c r="P562" s="10">
        <v>26</v>
      </c>
      <c r="Q562" s="10">
        <v>26</v>
      </c>
      <c r="R562" s="10">
        <v>28</v>
      </c>
    </row>
    <row r="563" spans="1:18" ht="17" customHeight="1" x14ac:dyDescent="0.15">
      <c r="A563" s="11" t="s">
        <v>2976</v>
      </c>
      <c r="B563" s="1" t="s">
        <v>2977</v>
      </c>
      <c r="C563" s="11" t="s">
        <v>2978</v>
      </c>
      <c r="D563" s="11" t="s">
        <v>2978</v>
      </c>
      <c r="E563" s="11" t="s">
        <v>2979</v>
      </c>
      <c r="F563" s="11" t="s">
        <v>2980</v>
      </c>
      <c r="G563" s="11" t="s">
        <v>2981</v>
      </c>
      <c r="H563" s="11" t="s">
        <v>2880</v>
      </c>
      <c r="I563" s="11" t="str">
        <f>HYPERLINK("http://www.calzaturificiomadaf.it/","http://www.calzaturificiomadaf.it")</f>
        <v>http://www.calzaturificiomadaf.it</v>
      </c>
      <c r="J563" s="12">
        <v>8670.3009999999995</v>
      </c>
      <c r="K563" s="12">
        <v>8670.3009999999995</v>
      </c>
      <c r="L563" s="13">
        <v>13132.598</v>
      </c>
      <c r="M563" s="12">
        <v>1077.2850000000001</v>
      </c>
      <c r="N563" s="12">
        <v>1077.2850000000001</v>
      </c>
      <c r="O563" s="12">
        <v>1166.7550000000001</v>
      </c>
      <c r="P563" s="12">
        <v>27</v>
      </c>
      <c r="Q563" s="12">
        <v>27</v>
      </c>
      <c r="R563" s="12">
        <v>32</v>
      </c>
    </row>
    <row r="564" spans="1:18" ht="29.5" customHeight="1" x14ac:dyDescent="0.15">
      <c r="A564" s="8" t="s">
        <v>2982</v>
      </c>
      <c r="B564" s="9" t="s">
        <v>2983</v>
      </c>
      <c r="C564" s="8" t="s">
        <v>2984</v>
      </c>
      <c r="D564" s="8" t="s">
        <v>2984</v>
      </c>
      <c r="E564" s="8" t="s">
        <v>2985</v>
      </c>
      <c r="F564" s="8" t="s">
        <v>2935</v>
      </c>
      <c r="G564" s="8" t="s">
        <v>2986</v>
      </c>
      <c r="H564" s="8" t="s">
        <v>2987</v>
      </c>
      <c r="I564" s="8" t="str">
        <f>HYPERLINK("http://www.italianleathergroup.it/","www.italianleathergroup.it")</f>
        <v>www.italianleathergroup.it</v>
      </c>
      <c r="J564" s="10">
        <v>5586.1139999999996</v>
      </c>
      <c r="K564" s="10">
        <v>5586.1139999999996</v>
      </c>
      <c r="L564" s="10">
        <v>13128.249</v>
      </c>
      <c r="M564" s="10">
        <v>-1395.261</v>
      </c>
      <c r="N564" s="10">
        <v>-1395.261</v>
      </c>
      <c r="O564" s="10">
        <v>-3000.91</v>
      </c>
      <c r="P564" s="10">
        <v>183</v>
      </c>
      <c r="Q564" s="10">
        <v>183</v>
      </c>
      <c r="R564" s="10">
        <v>186</v>
      </c>
    </row>
    <row r="565" spans="1:18" ht="17" customHeight="1" x14ac:dyDescent="0.15">
      <c r="A565" s="11" t="s">
        <v>2988</v>
      </c>
      <c r="B565" s="1" t="s">
        <v>2989</v>
      </c>
      <c r="C565" s="11" t="s">
        <v>2990</v>
      </c>
      <c r="D565" s="11" t="s">
        <v>2990</v>
      </c>
      <c r="E565" s="11" t="s">
        <v>2991</v>
      </c>
      <c r="F565" s="11" t="s">
        <v>2992</v>
      </c>
      <c r="G565" s="11" t="s">
        <v>2993</v>
      </c>
      <c r="H565" s="11" t="s">
        <v>2994</v>
      </c>
      <c r="I565" s="11" t="str">
        <f>HYPERLINK("http://www.giblors.com/","www.giblors.com")</f>
        <v>www.giblors.com</v>
      </c>
      <c r="J565" s="12">
        <v>13512.906000000001</v>
      </c>
      <c r="K565" s="12">
        <v>13512.906000000001</v>
      </c>
      <c r="L565" s="13">
        <v>13086.885</v>
      </c>
      <c r="M565" s="12">
        <v>1314.1959999999999</v>
      </c>
      <c r="N565" s="12">
        <v>1314.1959999999999</v>
      </c>
      <c r="O565" s="12">
        <v>1290.8040000000001</v>
      </c>
      <c r="P565" s="12">
        <v>34</v>
      </c>
      <c r="Q565" s="12">
        <v>34</v>
      </c>
      <c r="R565" s="12">
        <v>33</v>
      </c>
    </row>
    <row r="566" spans="1:18" ht="17" customHeight="1" x14ac:dyDescent="0.15">
      <c r="A566" s="8" t="s">
        <v>2995</v>
      </c>
      <c r="B566" s="9" t="s">
        <v>2996</v>
      </c>
      <c r="C566" s="8" t="s">
        <v>2997</v>
      </c>
      <c r="D566" s="8" t="s">
        <v>2997</v>
      </c>
      <c r="E566" s="8" t="s">
        <v>2998</v>
      </c>
      <c r="F566" s="8" t="s">
        <v>2890</v>
      </c>
      <c r="G566" s="8" t="s">
        <v>2925</v>
      </c>
      <c r="H566" s="8" t="s">
        <v>2926</v>
      </c>
      <c r="I566" s="8" t="str">
        <f>HYPERLINK("http://calvaresisartoria.com/","calvaresisartoria.com")</f>
        <v>calvaresisartoria.com</v>
      </c>
      <c r="J566" s="10">
        <v>13440.611000000001</v>
      </c>
      <c r="K566" s="10">
        <v>13440.611000000001</v>
      </c>
      <c r="L566" s="10">
        <v>13082.460999999999</v>
      </c>
      <c r="M566" s="10">
        <v>34.776000000000003</v>
      </c>
      <c r="N566" s="10">
        <v>34.776000000000003</v>
      </c>
      <c r="O566" s="10">
        <v>49.697000000000003</v>
      </c>
      <c r="P566" s="10">
        <v>10</v>
      </c>
      <c r="Q566" s="10">
        <v>10</v>
      </c>
      <c r="R566" s="10">
        <v>10</v>
      </c>
    </row>
    <row r="567" spans="1:18" ht="17" customHeight="1" x14ac:dyDescent="0.15">
      <c r="A567" s="11" t="s">
        <v>2999</v>
      </c>
      <c r="B567" s="1" t="s">
        <v>3000</v>
      </c>
      <c r="C567" s="11" t="s">
        <v>3001</v>
      </c>
      <c r="D567" s="11" t="s">
        <v>3001</v>
      </c>
      <c r="E567" s="11" t="s">
        <v>3002</v>
      </c>
      <c r="F567" s="11" t="s">
        <v>2968</v>
      </c>
      <c r="G567" s="11" t="s">
        <v>2912</v>
      </c>
      <c r="H567" s="11" t="s">
        <v>2913</v>
      </c>
      <c r="I567" s="11" t="str">
        <f>HYPERLINK("http://alysi.com/","alysi.com")</f>
        <v>alysi.com</v>
      </c>
      <c r="J567" s="12">
        <v>14471.819</v>
      </c>
      <c r="K567" s="12">
        <v>14471.819</v>
      </c>
      <c r="L567" s="13">
        <v>13054.89</v>
      </c>
      <c r="M567" s="12">
        <v>1059.3610000000001</v>
      </c>
      <c r="N567" s="12">
        <v>1059.3610000000001</v>
      </c>
      <c r="O567" s="12">
        <v>663.05</v>
      </c>
      <c r="P567" s="12">
        <v>53</v>
      </c>
      <c r="Q567" s="12">
        <v>53</v>
      </c>
      <c r="R567" s="12">
        <v>51</v>
      </c>
    </row>
    <row r="568" spans="1:18" ht="17" customHeight="1" x14ac:dyDescent="0.15">
      <c r="A568" s="8" t="s">
        <v>3003</v>
      </c>
      <c r="B568" s="9" t="s">
        <v>3004</v>
      </c>
      <c r="C568" s="8" t="s">
        <v>3005</v>
      </c>
      <c r="D568" s="8" t="s">
        <v>3005</v>
      </c>
      <c r="E568" s="8" t="s">
        <v>3006</v>
      </c>
      <c r="F568" s="8" t="s">
        <v>2885</v>
      </c>
      <c r="G568" s="8" t="s">
        <v>3007</v>
      </c>
      <c r="H568" s="8" t="s">
        <v>2880</v>
      </c>
      <c r="I568" s="8" t="str">
        <f>HYPERLINK("http://www.neroh.it/","www.neroh.it")</f>
        <v>www.neroh.it</v>
      </c>
      <c r="J568" s="10">
        <v>15165.532999999999</v>
      </c>
      <c r="K568" s="10">
        <v>15165.532999999999</v>
      </c>
      <c r="L568" s="10">
        <v>13019.835999999999</v>
      </c>
      <c r="M568" s="10">
        <v>1788.9469999999999</v>
      </c>
      <c r="N568" s="10">
        <v>1788.9469999999999</v>
      </c>
      <c r="O568" s="10">
        <v>1681.6389999999999</v>
      </c>
      <c r="P568" s="10">
        <v>32</v>
      </c>
      <c r="Q568" s="10">
        <v>32</v>
      </c>
      <c r="R568" s="10">
        <v>28</v>
      </c>
    </row>
    <row r="569" spans="1:18" ht="17" customHeight="1" x14ac:dyDescent="0.15">
      <c r="A569" s="11" t="s">
        <v>3008</v>
      </c>
      <c r="B569" s="1" t="s">
        <v>3009</v>
      </c>
      <c r="C569" s="11" t="s">
        <v>3010</v>
      </c>
      <c r="D569" s="11" t="s">
        <v>3010</v>
      </c>
      <c r="E569" s="11" t="s">
        <v>3011</v>
      </c>
      <c r="F569" s="11" t="s">
        <v>2885</v>
      </c>
      <c r="G569" s="11" t="s">
        <v>3012</v>
      </c>
      <c r="H569" s="11" t="s">
        <v>2907</v>
      </c>
      <c r="I569" s="11" t="str">
        <f>HYPERLINK("http://www.mexas.it/","http://www.mexas.it")</f>
        <v>http://www.mexas.it</v>
      </c>
      <c r="J569" s="12">
        <v>11325.928</v>
      </c>
      <c r="K569" s="12">
        <v>11325.928</v>
      </c>
      <c r="L569" s="13">
        <v>12966.165000000001</v>
      </c>
      <c r="M569" s="12">
        <v>129.17099999999999</v>
      </c>
      <c r="N569" s="12">
        <v>129.17099999999999</v>
      </c>
      <c r="O569" s="12">
        <v>44.027999999999999</v>
      </c>
      <c r="P569" s="12">
        <v>51</v>
      </c>
      <c r="Q569" s="12">
        <v>51</v>
      </c>
      <c r="R569" s="12">
        <v>49</v>
      </c>
    </row>
    <row r="570" spans="1:18" ht="17" customHeight="1" x14ac:dyDescent="0.15">
      <c r="A570" s="8" t="s">
        <v>3013</v>
      </c>
      <c r="B570" s="9" t="s">
        <v>3014</v>
      </c>
      <c r="C570" s="8" t="s">
        <v>3015</v>
      </c>
      <c r="D570" s="8" t="s">
        <v>3015</v>
      </c>
      <c r="E570" s="8" t="s">
        <v>3016</v>
      </c>
      <c r="F570" s="8" t="s">
        <v>3017</v>
      </c>
      <c r="G570" s="8" t="s">
        <v>2946</v>
      </c>
      <c r="H570" s="8" t="s">
        <v>2926</v>
      </c>
      <c r="I570" s="8" t="str">
        <f>HYPERLINK("http://www.simmy.it/","www.simmy.it")</f>
        <v>www.simmy.it</v>
      </c>
      <c r="J570" s="10">
        <v>14167.893</v>
      </c>
      <c r="K570" s="10">
        <v>14167.893</v>
      </c>
      <c r="L570" s="10">
        <v>12934.91</v>
      </c>
      <c r="M570" s="10">
        <v>1218.884</v>
      </c>
      <c r="N570" s="10">
        <v>1218.884</v>
      </c>
      <c r="O570" s="10">
        <v>760.76700000000005</v>
      </c>
      <c r="P570" s="10">
        <v>52</v>
      </c>
      <c r="Q570" s="10">
        <v>52</v>
      </c>
      <c r="R570" s="10">
        <v>52</v>
      </c>
    </row>
    <row r="571" spans="1:18" ht="17" customHeight="1" x14ac:dyDescent="0.15">
      <c r="A571" s="11" t="s">
        <v>3018</v>
      </c>
      <c r="B571" s="1" t="s">
        <v>3019</v>
      </c>
      <c r="C571" s="11" t="s">
        <v>3020</v>
      </c>
      <c r="D571" s="11" t="s">
        <v>3020</v>
      </c>
      <c r="E571" s="11" t="s">
        <v>3021</v>
      </c>
      <c r="F571" s="11" t="s">
        <v>2885</v>
      </c>
      <c r="G571" s="11" t="s">
        <v>3022</v>
      </c>
      <c r="H571" s="11" t="s">
        <v>2926</v>
      </c>
      <c r="I571" s="11" t="str">
        <f>HYPERLINK("http://www.mamir.it/","www.mamir.it")</f>
        <v>www.mamir.it</v>
      </c>
      <c r="J571" s="12">
        <v>7250.9830000000002</v>
      </c>
      <c r="K571" s="12">
        <v>7250.9830000000002</v>
      </c>
      <c r="L571" s="13">
        <v>12881.019</v>
      </c>
      <c r="M571" s="12">
        <v>98.122</v>
      </c>
      <c r="N571" s="12">
        <v>98.122</v>
      </c>
      <c r="O571" s="12">
        <v>281.41300000000001</v>
      </c>
      <c r="P571" s="12">
        <v>11</v>
      </c>
      <c r="Q571" s="12">
        <v>11</v>
      </c>
      <c r="R571" s="12">
        <v>12</v>
      </c>
    </row>
    <row r="572" spans="1:18" ht="29.5" customHeight="1" x14ac:dyDescent="0.15">
      <c r="A572" s="8" t="s">
        <v>3023</v>
      </c>
      <c r="B572" s="9" t="s">
        <v>3024</v>
      </c>
      <c r="C572" s="8" t="s">
        <v>3025</v>
      </c>
      <c r="D572" s="8" t="s">
        <v>3025</v>
      </c>
      <c r="E572" s="8" t="s">
        <v>3026</v>
      </c>
      <c r="F572" s="8" t="s">
        <v>2968</v>
      </c>
      <c r="G572" s="8" t="s">
        <v>2899</v>
      </c>
      <c r="H572" s="8" t="s">
        <v>2900</v>
      </c>
      <c r="I572" s="8" t="str">
        <f>HYPERLINK("http://www.barbanapoli.com/","www.barbanapoli.com")</f>
        <v>www.barbanapoli.com</v>
      </c>
      <c r="J572" s="10">
        <v>14209.335999999999</v>
      </c>
      <c r="K572" s="10">
        <v>14209.335999999999</v>
      </c>
      <c r="L572" s="10">
        <v>12877.218999999999</v>
      </c>
      <c r="M572" s="10">
        <v>176.68199999999999</v>
      </c>
      <c r="N572" s="10">
        <v>176.68199999999999</v>
      </c>
      <c r="O572" s="10">
        <v>52.405000000000001</v>
      </c>
      <c r="P572" s="10">
        <v>86</v>
      </c>
      <c r="Q572" s="10">
        <v>86</v>
      </c>
      <c r="R572" s="10">
        <v>87</v>
      </c>
    </row>
    <row r="573" spans="1:18" ht="17" customHeight="1" x14ac:dyDescent="0.15">
      <c r="A573" s="11" t="s">
        <v>3027</v>
      </c>
      <c r="B573" s="1" t="s">
        <v>3028</v>
      </c>
      <c r="C573" s="11" t="s">
        <v>3029</v>
      </c>
      <c r="D573" s="11" t="s">
        <v>3029</v>
      </c>
      <c r="E573" s="11" t="s">
        <v>3030</v>
      </c>
      <c r="F573" s="11" t="s">
        <v>2935</v>
      </c>
      <c r="G573" s="11" t="s">
        <v>3007</v>
      </c>
      <c r="H573" s="11" t="s">
        <v>2880</v>
      </c>
      <c r="I573" s="11" t="str">
        <f>HYPERLINK("http://www.artlabsrl.eu/","www.artlabsrl.eu")</f>
        <v>www.artlabsrl.eu</v>
      </c>
      <c r="J573" s="12">
        <v>13342.848</v>
      </c>
      <c r="K573" s="12">
        <v>13342.848</v>
      </c>
      <c r="L573" s="13">
        <v>12789.218999999999</v>
      </c>
      <c r="M573" s="12">
        <v>1086.0889999999999</v>
      </c>
      <c r="N573" s="12">
        <v>1086.0889999999999</v>
      </c>
      <c r="O573" s="12">
        <v>593.56700000000001</v>
      </c>
      <c r="P573" s="12">
        <v>71</v>
      </c>
      <c r="Q573" s="12">
        <v>71</v>
      </c>
      <c r="R573" s="12">
        <v>44</v>
      </c>
    </row>
    <row r="574" spans="1:18" ht="17" customHeight="1" x14ac:dyDescent="0.15">
      <c r="A574" s="8" t="s">
        <v>3031</v>
      </c>
      <c r="B574" s="9" t="s">
        <v>3032</v>
      </c>
      <c r="C574" s="8" t="s">
        <v>3033</v>
      </c>
      <c r="D574" s="8" t="s">
        <v>3033</v>
      </c>
      <c r="E574" s="8" t="s">
        <v>3034</v>
      </c>
      <c r="F574" s="8" t="s">
        <v>2968</v>
      </c>
      <c r="G574" s="8" t="s">
        <v>2986</v>
      </c>
      <c r="H574" s="8" t="s">
        <v>2987</v>
      </c>
      <c r="I574" s="8" t="str">
        <f>HYPERLINK("http://www.sartorialatorre.it/","www.sartorialatorre.it")</f>
        <v>www.sartorialatorre.it</v>
      </c>
      <c r="J574" s="10">
        <v>16752.708999999999</v>
      </c>
      <c r="K574" s="10">
        <v>16752.708999999999</v>
      </c>
      <c r="L574" s="10">
        <v>12786.482</v>
      </c>
      <c r="M574" s="10">
        <v>1467.393</v>
      </c>
      <c r="N574" s="10">
        <v>1467.393</v>
      </c>
      <c r="O574" s="10">
        <v>783.048</v>
      </c>
      <c r="P574" s="10">
        <v>108</v>
      </c>
      <c r="Q574" s="10">
        <v>108</v>
      </c>
      <c r="R574" s="10">
        <v>100</v>
      </c>
    </row>
    <row r="575" spans="1:18" ht="17" customHeight="1" x14ac:dyDescent="0.15">
      <c r="A575" s="11" t="s">
        <v>3035</v>
      </c>
      <c r="B575" s="1" t="s">
        <v>3036</v>
      </c>
      <c r="C575" s="11" t="s">
        <v>3037</v>
      </c>
      <c r="D575" s="11" t="s">
        <v>3037</v>
      </c>
      <c r="E575" s="11" t="s">
        <v>3038</v>
      </c>
      <c r="F575" s="11" t="s">
        <v>3039</v>
      </c>
      <c r="G575" s="11" t="s">
        <v>3040</v>
      </c>
      <c r="H575" s="11" t="s">
        <v>2926</v>
      </c>
      <c r="I575" s="11" t="str">
        <f>HYPERLINK("http://www.gallotessile.it/","www.gallotessile.it/")</f>
        <v>www.gallotessile.it/</v>
      </c>
      <c r="J575" s="12">
        <v>11833.726000000001</v>
      </c>
      <c r="K575" s="12">
        <v>11833.726000000001</v>
      </c>
      <c r="L575" s="13">
        <v>12774.566000000001</v>
      </c>
      <c r="M575" s="12">
        <v>290.779</v>
      </c>
      <c r="N575" s="12">
        <v>290.779</v>
      </c>
      <c r="O575" s="12">
        <v>502.19799999999998</v>
      </c>
      <c r="P575" s="12">
        <v>49</v>
      </c>
      <c r="Q575" s="12">
        <v>49</v>
      </c>
      <c r="R575" s="12">
        <v>45</v>
      </c>
    </row>
    <row r="576" spans="1:18" ht="29.5" customHeight="1" x14ac:dyDescent="0.15">
      <c r="A576" s="8" t="s">
        <v>3041</v>
      </c>
      <c r="B576" s="9" t="s">
        <v>3042</v>
      </c>
      <c r="C576" s="8" t="s">
        <v>3043</v>
      </c>
      <c r="D576" s="8" t="s">
        <v>3043</v>
      </c>
      <c r="E576" s="8" t="s">
        <v>3044</v>
      </c>
      <c r="F576" s="8" t="s">
        <v>2935</v>
      </c>
      <c r="G576" s="8" t="s">
        <v>2936</v>
      </c>
      <c r="H576" s="8" t="s">
        <v>2907</v>
      </c>
      <c r="I576" s="8" t="str">
        <f>HYPERLINK("http://www.snamsrl.it/","www.snamsrl.it")</f>
        <v>www.snamsrl.it</v>
      </c>
      <c r="J576" s="10">
        <v>17793.337</v>
      </c>
      <c r="K576" s="10">
        <v>17793.337</v>
      </c>
      <c r="L576" s="10">
        <v>12746.562</v>
      </c>
      <c r="M576" s="10">
        <v>460.42700000000002</v>
      </c>
      <c r="N576" s="10">
        <v>460.42700000000002</v>
      </c>
      <c r="O576" s="10">
        <v>852.072</v>
      </c>
      <c r="P576" s="10">
        <v>13</v>
      </c>
      <c r="Q576" s="10">
        <v>13</v>
      </c>
      <c r="R576" s="10">
        <v>12</v>
      </c>
    </row>
    <row r="577" spans="1:18" ht="17" customHeight="1" x14ac:dyDescent="0.15">
      <c r="A577" s="11" t="s">
        <v>3045</v>
      </c>
      <c r="B577" s="1" t="s">
        <v>3046</v>
      </c>
      <c r="C577" s="11" t="s">
        <v>3047</v>
      </c>
      <c r="D577" s="11" t="s">
        <v>3047</v>
      </c>
      <c r="E577" s="11" t="s">
        <v>3048</v>
      </c>
      <c r="F577" s="11" t="s">
        <v>3049</v>
      </c>
      <c r="G577" s="11" t="s">
        <v>3050</v>
      </c>
      <c r="H577" s="11" t="s">
        <v>3051</v>
      </c>
      <c r="I577" s="11" t="str">
        <f>HYPERLINK("http://www.conceriaerrepi.com/","www.conceriaerrepi.com")</f>
        <v>www.conceriaerrepi.com</v>
      </c>
      <c r="J577" s="12">
        <v>12876.733</v>
      </c>
      <c r="K577" s="12">
        <v>12876.733</v>
      </c>
      <c r="L577" s="13">
        <v>12738.152</v>
      </c>
      <c r="M577" s="12">
        <v>9.8350000000000009</v>
      </c>
      <c r="N577" s="12">
        <v>9.8350000000000009</v>
      </c>
      <c r="O577" s="12">
        <v>134.643</v>
      </c>
      <c r="P577" s="12">
        <v>24</v>
      </c>
      <c r="Q577" s="12">
        <v>24</v>
      </c>
      <c r="R577" s="12">
        <v>20</v>
      </c>
    </row>
    <row r="578" spans="1:18" ht="29.5" customHeight="1" x14ac:dyDescent="0.15">
      <c r="A578" s="8" t="s">
        <v>3052</v>
      </c>
      <c r="B578" s="9" t="s">
        <v>3053</v>
      </c>
      <c r="C578" s="8" t="s">
        <v>3054</v>
      </c>
      <c r="D578" s="8" t="s">
        <v>3054</v>
      </c>
      <c r="E578" s="8" t="s">
        <v>3055</v>
      </c>
      <c r="F578" s="8" t="s">
        <v>3049</v>
      </c>
      <c r="G578" s="8" t="s">
        <v>3056</v>
      </c>
      <c r="H578" s="8" t="s">
        <v>3057</v>
      </c>
      <c r="I578" s="8" t="str">
        <f>HYPERLINK("http://www.bonistallistefanelli.it/","www.bonistallistefanelli.it")</f>
        <v>www.bonistallistefanelli.it</v>
      </c>
      <c r="J578" s="10">
        <v>10450.538</v>
      </c>
      <c r="K578" s="10">
        <v>10450.538</v>
      </c>
      <c r="L578" s="10">
        <v>12731.928</v>
      </c>
      <c r="M578" s="10">
        <v>14.169</v>
      </c>
      <c r="N578" s="10">
        <v>14.169</v>
      </c>
      <c r="O578" s="10">
        <v>45.506999999999998</v>
      </c>
      <c r="P578" s="10">
        <v>17</v>
      </c>
      <c r="Q578" s="10">
        <v>17</v>
      </c>
      <c r="R578" s="10">
        <v>21</v>
      </c>
    </row>
    <row r="579" spans="1:18" ht="17" customHeight="1" x14ac:dyDescent="0.15">
      <c r="A579" s="11" t="s">
        <v>3058</v>
      </c>
      <c r="B579" s="1" t="s">
        <v>3059</v>
      </c>
      <c r="C579" s="11" t="s">
        <v>3060</v>
      </c>
      <c r="D579" s="11" t="s">
        <v>3060</v>
      </c>
      <c r="E579" s="11" t="s">
        <v>3061</v>
      </c>
      <c r="F579" s="11" t="s">
        <v>3062</v>
      </c>
      <c r="G579" s="11" t="s">
        <v>3063</v>
      </c>
      <c r="H579" s="11" t="s">
        <v>3064</v>
      </c>
      <c r="I579" s="11" t="str">
        <f>HYPERLINK("http://www.digierremoda.it/","www.digierremoda.it")</f>
        <v>www.digierremoda.it</v>
      </c>
      <c r="J579" s="12">
        <v>11734.878000000001</v>
      </c>
      <c r="K579" s="12">
        <v>11734.878000000001</v>
      </c>
      <c r="L579" s="13">
        <v>12688.684999999999</v>
      </c>
      <c r="M579" s="12">
        <v>882.322</v>
      </c>
      <c r="N579" s="12">
        <v>882.322</v>
      </c>
      <c r="O579" s="12">
        <v>848.28499999999997</v>
      </c>
      <c r="P579" s="12">
        <v>102</v>
      </c>
      <c r="Q579" s="12">
        <v>102</v>
      </c>
      <c r="R579" s="12">
        <v>95</v>
      </c>
    </row>
    <row r="580" spans="1:18" ht="29.5" customHeight="1" x14ac:dyDescent="0.15">
      <c r="A580" s="8" t="s">
        <v>3065</v>
      </c>
      <c r="B580" s="9" t="s">
        <v>3066</v>
      </c>
      <c r="C580" s="8" t="s">
        <v>3067</v>
      </c>
      <c r="D580" s="8" t="s">
        <v>3067</v>
      </c>
      <c r="E580" s="8" t="s">
        <v>3068</v>
      </c>
      <c r="F580" s="8" t="s">
        <v>3069</v>
      </c>
      <c r="G580" s="8" t="s">
        <v>3070</v>
      </c>
      <c r="H580" s="8" t="s">
        <v>3051</v>
      </c>
      <c r="I580" s="8" t="str">
        <f>HYPERLINK("http://luparense.net/","luparense.net")</f>
        <v>luparense.net</v>
      </c>
      <c r="J580" s="10">
        <v>11460.072</v>
      </c>
      <c r="K580" s="10">
        <v>11460.072</v>
      </c>
      <c r="L580" s="10">
        <v>12641.264999999999</v>
      </c>
      <c r="M580" s="10">
        <v>6.6520000000000001</v>
      </c>
      <c r="N580" s="10">
        <v>6.6520000000000001</v>
      </c>
      <c r="O580" s="10">
        <v>93.658000000000001</v>
      </c>
      <c r="P580" s="10">
        <v>16</v>
      </c>
      <c r="Q580" s="10">
        <v>16</v>
      </c>
      <c r="R580" s="10">
        <v>16</v>
      </c>
    </row>
    <row r="581" spans="1:18" ht="17" customHeight="1" x14ac:dyDescent="0.15">
      <c r="A581" s="11" t="s">
        <v>3071</v>
      </c>
      <c r="B581" s="1" t="s">
        <v>3072</v>
      </c>
      <c r="C581" s="11" t="s">
        <v>3073</v>
      </c>
      <c r="D581" s="11" t="s">
        <v>3073</v>
      </c>
      <c r="E581" s="11" t="s">
        <v>3074</v>
      </c>
      <c r="F581" s="11" t="s">
        <v>3075</v>
      </c>
      <c r="G581" s="11" t="s">
        <v>3076</v>
      </c>
      <c r="H581" s="11" t="s">
        <v>3057</v>
      </c>
      <c r="I581" s="11" t="str">
        <f>HYPERLINK("http://www.danesievolution.it/","www.danesievolution.it")</f>
        <v>www.danesievolution.it</v>
      </c>
      <c r="J581" s="12">
        <v>17814.72</v>
      </c>
      <c r="K581" s="12">
        <v>17814.72</v>
      </c>
      <c r="L581" s="13">
        <v>12624.704</v>
      </c>
      <c r="M581" s="12">
        <v>1828.4079999999999</v>
      </c>
      <c r="N581" s="12">
        <v>1828.4079999999999</v>
      </c>
      <c r="O581" s="12">
        <v>999.29700000000003</v>
      </c>
      <c r="P581" s="12">
        <v>231</v>
      </c>
      <c r="Q581" s="12">
        <v>231</v>
      </c>
      <c r="R581" s="12">
        <v>205</v>
      </c>
    </row>
    <row r="582" spans="1:18" ht="17" customHeight="1" x14ac:dyDescent="0.15">
      <c r="A582" s="8" t="s">
        <v>3077</v>
      </c>
      <c r="B582" s="9" t="s">
        <v>3078</v>
      </c>
      <c r="C582" s="8" t="s">
        <v>3079</v>
      </c>
      <c r="D582" s="8" t="s">
        <v>3079</v>
      </c>
      <c r="E582" s="8" t="s">
        <v>3080</v>
      </c>
      <c r="F582" s="8" t="s">
        <v>3049</v>
      </c>
      <c r="G582" s="8" t="s">
        <v>3081</v>
      </c>
      <c r="H582" s="8" t="s">
        <v>3057</v>
      </c>
      <c r="I582" s="8" t="str">
        <f>HYPERLINK("http://www.zabri.it/","www.zabri.it")</f>
        <v>www.zabri.it</v>
      </c>
      <c r="J582" s="10">
        <v>10267.01</v>
      </c>
      <c r="K582" s="10">
        <v>10267.01</v>
      </c>
      <c r="L582" s="10">
        <v>12552.352000000001</v>
      </c>
      <c r="M582" s="10">
        <v>732.51700000000005</v>
      </c>
      <c r="N582" s="10">
        <v>732.51700000000005</v>
      </c>
      <c r="O582" s="10">
        <v>1052.028</v>
      </c>
      <c r="P582" s="10">
        <v>51</v>
      </c>
      <c r="Q582" s="10">
        <v>51</v>
      </c>
      <c r="R582" s="10">
        <v>51</v>
      </c>
    </row>
    <row r="583" spans="1:18" ht="29.5" customHeight="1" x14ac:dyDescent="0.15">
      <c r="A583" s="11" t="s">
        <v>3082</v>
      </c>
      <c r="B583" s="1" t="s">
        <v>3083</v>
      </c>
      <c r="C583" s="11" t="s">
        <v>3084</v>
      </c>
      <c r="D583" s="11" t="s">
        <v>3084</v>
      </c>
      <c r="E583" s="11" t="s">
        <v>3085</v>
      </c>
      <c r="F583" s="11" t="s">
        <v>3075</v>
      </c>
      <c r="G583" s="11" t="s">
        <v>3081</v>
      </c>
      <c r="H583" s="11" t="s">
        <v>3057</v>
      </c>
      <c r="I583" s="11" t="str">
        <f>HYPERLINK("http://www.leatherluxury.it/it/dett/122/pelletteria-happening/","www.leatherluxury.it/it/dett/122/pelletteria-happening/")</f>
        <v>www.leatherluxury.it/it/dett/122/pelletteria-happening/</v>
      </c>
      <c r="J583" s="12">
        <v>9939.9969999999994</v>
      </c>
      <c r="K583" s="12">
        <v>9939.9969999999994</v>
      </c>
      <c r="L583" s="13">
        <v>12549.418</v>
      </c>
      <c r="M583" s="12">
        <v>1242.4580000000001</v>
      </c>
      <c r="N583" s="12">
        <v>1242.4580000000001</v>
      </c>
      <c r="O583" s="12">
        <v>1993.04</v>
      </c>
      <c r="P583" s="12">
        <v>75</v>
      </c>
      <c r="Q583" s="12">
        <v>75</v>
      </c>
      <c r="R583" s="12">
        <v>82</v>
      </c>
    </row>
    <row r="584" spans="1:18" ht="17" customHeight="1" x14ac:dyDescent="0.15">
      <c r="A584" s="8" t="s">
        <v>3086</v>
      </c>
      <c r="B584" s="9" t="s">
        <v>3087</v>
      </c>
      <c r="C584" s="8" t="s">
        <v>3088</v>
      </c>
      <c r="D584" s="8" t="s">
        <v>3088</v>
      </c>
      <c r="E584" s="8" t="s">
        <v>3089</v>
      </c>
      <c r="F584" s="8" t="s">
        <v>3090</v>
      </c>
      <c r="G584" s="8" t="s">
        <v>3050</v>
      </c>
      <c r="H584" s="8" t="s">
        <v>3051</v>
      </c>
      <c r="I584" s="8" t="str">
        <f>HYPERLINK("http://www.fiore-spa.it/","www.fiore-spa.it")</f>
        <v>www.fiore-spa.it</v>
      </c>
      <c r="J584" s="10">
        <v>13315.767</v>
      </c>
      <c r="K584" s="10">
        <v>13315.767</v>
      </c>
      <c r="L584" s="10">
        <v>12532.789000000001</v>
      </c>
      <c r="M584" s="10">
        <v>1457.9590000000001</v>
      </c>
      <c r="N584" s="10">
        <v>1457.9590000000001</v>
      </c>
      <c r="O584" s="10">
        <v>1101.8309999999999</v>
      </c>
      <c r="P584" s="10">
        <v>50</v>
      </c>
      <c r="Q584" s="10">
        <v>50</v>
      </c>
      <c r="R584" s="10">
        <v>57</v>
      </c>
    </row>
    <row r="585" spans="1:18" ht="29.5" customHeight="1" x14ac:dyDescent="0.15">
      <c r="A585" s="11" t="s">
        <v>3091</v>
      </c>
      <c r="B585" s="1" t="s">
        <v>3092</v>
      </c>
      <c r="C585" s="11" t="s">
        <v>3093</v>
      </c>
      <c r="D585" s="11" t="s">
        <v>3093</v>
      </c>
      <c r="E585" s="11" t="s">
        <v>3094</v>
      </c>
      <c r="F585" s="11" t="s">
        <v>3090</v>
      </c>
      <c r="G585" s="11" t="s">
        <v>3095</v>
      </c>
      <c r="H585" s="11" t="s">
        <v>3096</v>
      </c>
      <c r="I585" s="11" t="str">
        <f>HYPERLINK("http://www.filippodelaurentiis.it/","www.filippodelaurentiis.it")</f>
        <v>www.filippodelaurentiis.it</v>
      </c>
      <c r="J585" s="12">
        <v>16940.940999999999</v>
      </c>
      <c r="K585" s="12">
        <v>16940.940999999999</v>
      </c>
      <c r="L585" s="13">
        <v>12498.482</v>
      </c>
      <c r="M585" s="12">
        <v>2093.884</v>
      </c>
      <c r="N585" s="12">
        <v>2093.884</v>
      </c>
      <c r="O585" s="12">
        <v>1348.1880000000001</v>
      </c>
      <c r="P585" s="12">
        <v>15</v>
      </c>
      <c r="Q585" s="12">
        <v>15</v>
      </c>
      <c r="R585" s="12">
        <v>15</v>
      </c>
    </row>
    <row r="586" spans="1:18" ht="17" customHeight="1" x14ac:dyDescent="0.15">
      <c r="A586" s="8" t="s">
        <v>3097</v>
      </c>
      <c r="B586" s="9" t="s">
        <v>3098</v>
      </c>
      <c r="C586" s="8" t="s">
        <v>3099</v>
      </c>
      <c r="D586" s="8" t="s">
        <v>3099</v>
      </c>
      <c r="E586" s="8" t="s">
        <v>3100</v>
      </c>
      <c r="F586" s="8" t="s">
        <v>3101</v>
      </c>
      <c r="G586" s="8" t="s">
        <v>3056</v>
      </c>
      <c r="H586" s="8" t="s">
        <v>3057</v>
      </c>
      <c r="I586" s="8" t="str">
        <f>HYPERLINK("http://www.satinet.it/","www.satinet.it")</f>
        <v>www.satinet.it</v>
      </c>
      <c r="J586" s="10">
        <v>14443.178</v>
      </c>
      <c r="K586" s="10">
        <v>14443.178</v>
      </c>
      <c r="L586" s="10">
        <v>12488.647999999999</v>
      </c>
      <c r="M586" s="10">
        <v>1012.777</v>
      </c>
      <c r="N586" s="10">
        <v>1012.777</v>
      </c>
      <c r="O586" s="10">
        <v>499.71499999999997</v>
      </c>
      <c r="P586" s="10">
        <v>6</v>
      </c>
      <c r="Q586" s="10">
        <v>6</v>
      </c>
      <c r="R586" s="10">
        <v>6</v>
      </c>
    </row>
    <row r="587" spans="1:18" ht="17" customHeight="1" x14ac:dyDescent="0.15">
      <c r="A587" s="11" t="s">
        <v>3102</v>
      </c>
      <c r="B587" s="1" t="s">
        <v>3103</v>
      </c>
      <c r="C587" s="11" t="s">
        <v>3104</v>
      </c>
      <c r="D587" s="11" t="s">
        <v>3104</v>
      </c>
      <c r="E587" s="11" t="s">
        <v>3105</v>
      </c>
      <c r="F587" s="11" t="s">
        <v>3106</v>
      </c>
      <c r="G587" s="11" t="s">
        <v>3107</v>
      </c>
      <c r="H587" s="11" t="s">
        <v>3108</v>
      </c>
      <c r="I587" s="11" t="str">
        <f>HYPERLINK("http://www.elefantesuolificio.it/","http://www.elefantesuolificio.it")</f>
        <v>http://www.elefantesuolificio.it</v>
      </c>
      <c r="J587" s="12">
        <v>15741.062</v>
      </c>
      <c r="K587" s="12">
        <v>15741.062</v>
      </c>
      <c r="L587" s="13">
        <v>12479.290999999999</v>
      </c>
      <c r="M587" s="12">
        <v>168.75399999999999</v>
      </c>
      <c r="N587" s="12">
        <v>168.75399999999999</v>
      </c>
      <c r="O587" s="12">
        <v>13.27</v>
      </c>
      <c r="P587" s="12">
        <v>44</v>
      </c>
      <c r="Q587" s="12">
        <v>44</v>
      </c>
      <c r="R587" s="12">
        <v>38</v>
      </c>
    </row>
    <row r="588" spans="1:18" ht="29.5" customHeight="1" x14ac:dyDescent="0.15">
      <c r="A588" s="8" t="s">
        <v>3109</v>
      </c>
      <c r="B588" s="9" t="s">
        <v>3110</v>
      </c>
      <c r="C588" s="8" t="s">
        <v>3111</v>
      </c>
      <c r="D588" s="8" t="s">
        <v>3111</v>
      </c>
      <c r="E588" s="8" t="s">
        <v>3112</v>
      </c>
      <c r="F588" s="8" t="s">
        <v>3101</v>
      </c>
      <c r="G588" s="8" t="s">
        <v>3113</v>
      </c>
      <c r="H588" s="8" t="s">
        <v>3114</v>
      </c>
      <c r="I588" s="8" t="str">
        <f>HYPERLINK("http://myths.it/","myths.it")</f>
        <v>myths.it</v>
      </c>
      <c r="J588" s="10">
        <v>13732.965</v>
      </c>
      <c r="K588" s="10">
        <v>13732.965</v>
      </c>
      <c r="L588" s="10">
        <v>12473.282999999999</v>
      </c>
      <c r="M588" s="10">
        <v>1114.248</v>
      </c>
      <c r="N588" s="10">
        <v>1114.248</v>
      </c>
      <c r="O588" s="10">
        <v>703.23900000000003</v>
      </c>
      <c r="P588" s="10">
        <v>24</v>
      </c>
      <c r="Q588" s="10">
        <v>24</v>
      </c>
      <c r="R588" s="10">
        <v>22</v>
      </c>
    </row>
    <row r="589" spans="1:18" ht="17" customHeight="1" x14ac:dyDescent="0.15">
      <c r="A589" s="11" t="s">
        <v>3115</v>
      </c>
      <c r="B589" s="1" t="s">
        <v>3116</v>
      </c>
      <c r="C589" s="11" t="s">
        <v>3117</v>
      </c>
      <c r="D589" s="11" t="s">
        <v>3117</v>
      </c>
      <c r="E589" s="11" t="s">
        <v>3118</v>
      </c>
      <c r="F589" s="11" t="s">
        <v>3062</v>
      </c>
      <c r="G589" s="11" t="s">
        <v>3119</v>
      </c>
      <c r="H589" s="11" t="s">
        <v>3120</v>
      </c>
      <c r="I589" s="11" t="str">
        <f>HYPERLINK("http://www.almini.com/","www.almini.com")</f>
        <v>www.almini.com</v>
      </c>
      <c r="J589" s="12">
        <v>12538.477999999999</v>
      </c>
      <c r="K589" s="12">
        <v>12538.477999999999</v>
      </c>
      <c r="L589" s="13">
        <v>12380.169</v>
      </c>
      <c r="M589" s="12">
        <v>793.02099999999996</v>
      </c>
      <c r="N589" s="12">
        <v>793.02099999999996</v>
      </c>
      <c r="O589" s="12">
        <v>680.44299999999998</v>
      </c>
      <c r="P589" s="12">
        <v>50</v>
      </c>
      <c r="Q589" s="12">
        <v>50</v>
      </c>
      <c r="R589" s="12">
        <v>47</v>
      </c>
    </row>
    <row r="590" spans="1:18" ht="29.5" customHeight="1" x14ac:dyDescent="0.15">
      <c r="A590" s="8" t="s">
        <v>3121</v>
      </c>
      <c r="B590" s="9" t="s">
        <v>3122</v>
      </c>
      <c r="C590" s="8" t="s">
        <v>3123</v>
      </c>
      <c r="D590" s="8" t="s">
        <v>3123</v>
      </c>
      <c r="E590" s="8" t="s">
        <v>3124</v>
      </c>
      <c r="F590" s="8" t="s">
        <v>3101</v>
      </c>
      <c r="G590" s="8" t="s">
        <v>3125</v>
      </c>
      <c r="H590" s="8" t="s">
        <v>3120</v>
      </c>
      <c r="I590" s="8" t="str">
        <f>HYPERLINK("http://www.facib.it/","www.facib.it")</f>
        <v>www.facib.it</v>
      </c>
      <c r="J590" s="10">
        <v>14821.118</v>
      </c>
      <c r="K590" s="10">
        <v>12584.289000000001</v>
      </c>
      <c r="L590" s="10">
        <v>12378.986999999999</v>
      </c>
      <c r="M590" s="10">
        <v>122.852</v>
      </c>
      <c r="N590" s="10">
        <v>346.69400000000002</v>
      </c>
      <c r="O590" s="10">
        <v>106.059</v>
      </c>
      <c r="P590" s="10">
        <v>32</v>
      </c>
      <c r="Q590" s="10">
        <v>31</v>
      </c>
      <c r="R590" s="10">
        <v>27</v>
      </c>
    </row>
    <row r="591" spans="1:18" ht="17" customHeight="1" x14ac:dyDescent="0.15">
      <c r="A591" s="11" t="s">
        <v>3126</v>
      </c>
      <c r="B591" s="1" t="s">
        <v>3127</v>
      </c>
      <c r="C591" s="11" t="s">
        <v>3128</v>
      </c>
      <c r="D591" s="11" t="s">
        <v>3128</v>
      </c>
      <c r="E591" s="11" t="s">
        <v>3129</v>
      </c>
      <c r="F591" s="11" t="s">
        <v>3090</v>
      </c>
      <c r="G591" s="11" t="s">
        <v>3130</v>
      </c>
      <c r="H591" s="11" t="s">
        <v>3108</v>
      </c>
      <c r="I591" s="11" t="str">
        <f>HYPERLINK("http://www.teodori.it/","www.teodori.it")</f>
        <v>www.teodori.it</v>
      </c>
      <c r="J591" s="12">
        <v>15897.648999999999</v>
      </c>
      <c r="K591" s="12">
        <v>15897.648999999999</v>
      </c>
      <c r="L591" s="13">
        <v>12371.95</v>
      </c>
      <c r="M591" s="12">
        <v>1964.75</v>
      </c>
      <c r="N591" s="12">
        <v>1964.75</v>
      </c>
      <c r="O591" s="12">
        <v>1360.4570000000001</v>
      </c>
      <c r="P591" s="12">
        <v>56</v>
      </c>
      <c r="Q591" s="12">
        <v>56</v>
      </c>
      <c r="R591" s="12">
        <v>46</v>
      </c>
    </row>
    <row r="592" spans="1:18" ht="17" customHeight="1" x14ac:dyDescent="0.15">
      <c r="A592" s="8" t="s">
        <v>3131</v>
      </c>
      <c r="B592" s="9" t="s">
        <v>3132</v>
      </c>
      <c r="C592" s="8" t="s">
        <v>3133</v>
      </c>
      <c r="D592" s="8" t="s">
        <v>3133</v>
      </c>
      <c r="E592" s="8" t="s">
        <v>3134</v>
      </c>
      <c r="F592" s="8" t="s">
        <v>3062</v>
      </c>
      <c r="G592" s="8" t="s">
        <v>3135</v>
      </c>
      <c r="H592" s="8" t="s">
        <v>3136</v>
      </c>
      <c r="I592" s="8" t="str">
        <f>HYPERLINK("http://www.pezzol.com/","www.pezzol.com")</f>
        <v>www.pezzol.com</v>
      </c>
      <c r="J592" s="10">
        <v>13726.807000000001</v>
      </c>
      <c r="K592" s="10">
        <v>13726.807000000001</v>
      </c>
      <c r="L592" s="10">
        <v>12309.183999999999</v>
      </c>
      <c r="M592" s="10">
        <v>156.15600000000001</v>
      </c>
      <c r="N592" s="10">
        <v>156.15600000000001</v>
      </c>
      <c r="O592" s="10">
        <v>188.86</v>
      </c>
      <c r="P592" s="15" t="s">
        <v>3137</v>
      </c>
      <c r="Q592" s="15" t="s">
        <v>3137</v>
      </c>
      <c r="R592" s="10">
        <v>63</v>
      </c>
    </row>
    <row r="593" spans="1:18" ht="17" customHeight="1" x14ac:dyDescent="0.15">
      <c r="A593" s="11" t="s">
        <v>3138</v>
      </c>
      <c r="B593" s="1" t="s">
        <v>3139</v>
      </c>
      <c r="C593" s="11" t="s">
        <v>3140</v>
      </c>
      <c r="D593" s="11" t="s">
        <v>3140</v>
      </c>
      <c r="E593" s="11" t="s">
        <v>3141</v>
      </c>
      <c r="F593" s="11" t="s">
        <v>3101</v>
      </c>
      <c r="G593" s="11" t="s">
        <v>3070</v>
      </c>
      <c r="H593" s="11" t="s">
        <v>3051</v>
      </c>
      <c r="I593" s="11" t="str">
        <f>HYPERLINK("http://www.gimos.com/","http://www.gimos.com")</f>
        <v>http://www.gimos.com</v>
      </c>
      <c r="J593" s="12">
        <v>12125.348</v>
      </c>
      <c r="K593" s="12">
        <v>12125.348</v>
      </c>
      <c r="L593" s="13">
        <v>12294.471</v>
      </c>
      <c r="M593" s="12">
        <v>280.67099999999999</v>
      </c>
      <c r="N593" s="12">
        <v>280.67099999999999</v>
      </c>
      <c r="O593" s="12">
        <v>29.725999999999999</v>
      </c>
      <c r="P593" s="12">
        <v>61</v>
      </c>
      <c r="Q593" s="12">
        <v>61</v>
      </c>
      <c r="R593" s="12">
        <v>60</v>
      </c>
    </row>
    <row r="594" spans="1:18" ht="17" customHeight="1" x14ac:dyDescent="0.15">
      <c r="A594" s="8" t="s">
        <v>3142</v>
      </c>
      <c r="B594" s="9" t="s">
        <v>3143</v>
      </c>
      <c r="C594" s="8" t="s">
        <v>3144</v>
      </c>
      <c r="D594" s="8" t="s">
        <v>3144</v>
      </c>
      <c r="E594" s="8" t="s">
        <v>3145</v>
      </c>
      <c r="F594" s="8" t="s">
        <v>3146</v>
      </c>
      <c r="G594" s="8" t="s">
        <v>3147</v>
      </c>
      <c r="H594" s="8" t="s">
        <v>3051</v>
      </c>
      <c r="I594" s="8" t="str">
        <f>HYPERLINK("http://shop.mondialtex.it/","shop.mondialtex.it")</f>
        <v>shop.mondialtex.it</v>
      </c>
      <c r="J594" s="10">
        <v>14004.566000000001</v>
      </c>
      <c r="K594" s="10">
        <v>14004.566000000001</v>
      </c>
      <c r="L594" s="10">
        <v>12267.532999999999</v>
      </c>
      <c r="M594" s="10">
        <v>809.98400000000004</v>
      </c>
      <c r="N594" s="10">
        <v>809.98400000000004</v>
      </c>
      <c r="O594" s="10">
        <v>749.29</v>
      </c>
      <c r="P594" s="10">
        <v>31</v>
      </c>
      <c r="Q594" s="10">
        <v>31</v>
      </c>
      <c r="R594" s="10">
        <v>31</v>
      </c>
    </row>
    <row r="595" spans="1:18" ht="17" customHeight="1" x14ac:dyDescent="0.15">
      <c r="A595" s="11" t="s">
        <v>3148</v>
      </c>
      <c r="B595" s="1" t="s">
        <v>3149</v>
      </c>
      <c r="C595" s="11" t="s">
        <v>3150</v>
      </c>
      <c r="D595" s="11" t="s">
        <v>3150</v>
      </c>
      <c r="E595" s="11" t="s">
        <v>3151</v>
      </c>
      <c r="F595" s="11" t="s">
        <v>3062</v>
      </c>
      <c r="G595" s="11" t="s">
        <v>3070</v>
      </c>
      <c r="H595" s="11" t="s">
        <v>3051</v>
      </c>
      <c r="I595" s="11" t="str">
        <f>HYPERLINK("http://www.antoniobarbato.store/","www.antoniobarbato.store")</f>
        <v>www.antoniobarbato.store</v>
      </c>
      <c r="J595" s="12">
        <v>4119.4170000000004</v>
      </c>
      <c r="K595" s="12">
        <v>4119.4170000000004</v>
      </c>
      <c r="L595" s="13">
        <v>12251.771000000001</v>
      </c>
      <c r="M595" s="12">
        <v>40.877000000000002</v>
      </c>
      <c r="N595" s="12">
        <v>40.877000000000002</v>
      </c>
      <c r="O595" s="12">
        <v>-139.84299999999999</v>
      </c>
      <c r="P595" s="14" t="s">
        <v>3137</v>
      </c>
      <c r="Q595" s="14" t="s">
        <v>3137</v>
      </c>
      <c r="R595" s="12">
        <v>65</v>
      </c>
    </row>
    <row r="596" spans="1:18" ht="29.5" customHeight="1" x14ac:dyDescent="0.15">
      <c r="A596" s="8" t="s">
        <v>3152</v>
      </c>
      <c r="B596" s="9" t="s">
        <v>3153</v>
      </c>
      <c r="C596" s="8" t="s">
        <v>3154</v>
      </c>
      <c r="D596" s="8" t="s">
        <v>3154</v>
      </c>
      <c r="E596" s="8" t="s">
        <v>3155</v>
      </c>
      <c r="F596" s="8" t="s">
        <v>3090</v>
      </c>
      <c r="G596" s="8" t="s">
        <v>3156</v>
      </c>
      <c r="H596" s="8" t="s">
        <v>3051</v>
      </c>
      <c r="I596" s="8" t="str">
        <f>HYPERLINK("http://www.maglificioferdinanda.it/","www.maglificioferdinanda.it")</f>
        <v>www.maglificioferdinanda.it</v>
      </c>
      <c r="J596" s="10">
        <v>18134.054</v>
      </c>
      <c r="K596" s="10">
        <v>18134.054</v>
      </c>
      <c r="L596" s="10">
        <v>12238.824000000001</v>
      </c>
      <c r="M596" s="10">
        <v>1953.752</v>
      </c>
      <c r="N596" s="10">
        <v>1953.752</v>
      </c>
      <c r="O596" s="10">
        <v>791.09699999999998</v>
      </c>
      <c r="P596" s="10">
        <v>150</v>
      </c>
      <c r="Q596" s="10">
        <v>150</v>
      </c>
      <c r="R596" s="10">
        <v>127</v>
      </c>
    </row>
    <row r="597" spans="1:18" ht="17" customHeight="1" x14ac:dyDescent="0.15">
      <c r="A597" s="11" t="s">
        <v>3157</v>
      </c>
      <c r="B597" s="1" t="s">
        <v>3158</v>
      </c>
      <c r="C597" s="11" t="s">
        <v>3159</v>
      </c>
      <c r="D597" s="11" t="s">
        <v>3159</v>
      </c>
      <c r="E597" s="11" t="s">
        <v>3160</v>
      </c>
      <c r="F597" s="11" t="s">
        <v>3161</v>
      </c>
      <c r="G597" s="11" t="s">
        <v>3162</v>
      </c>
      <c r="H597" s="11" t="s">
        <v>3096</v>
      </c>
      <c r="I597" s="11" t="str">
        <f>HYPERLINK("http://www.dyloan.com/","http://www.dyloan.com")</f>
        <v>http://www.dyloan.com</v>
      </c>
      <c r="J597" s="12">
        <v>13514.447</v>
      </c>
      <c r="K597" s="12">
        <v>13514.447</v>
      </c>
      <c r="L597" s="13">
        <v>12231.271000000001</v>
      </c>
      <c r="M597" s="12">
        <v>-1056.3810000000001</v>
      </c>
      <c r="N597" s="12">
        <v>-1056.3810000000001</v>
      </c>
      <c r="O597" s="12">
        <v>-1644.6320000000001</v>
      </c>
      <c r="P597" s="12">
        <v>192</v>
      </c>
      <c r="Q597" s="12">
        <v>192</v>
      </c>
      <c r="R597" s="12">
        <v>124</v>
      </c>
    </row>
    <row r="598" spans="1:18" ht="17" customHeight="1" x14ac:dyDescent="0.15">
      <c r="A598" s="8" t="s">
        <v>3163</v>
      </c>
      <c r="B598" s="9" t="s">
        <v>3164</v>
      </c>
      <c r="C598" s="8" t="s">
        <v>3165</v>
      </c>
      <c r="D598" s="8" t="s">
        <v>3165</v>
      </c>
      <c r="E598" s="8" t="s">
        <v>3166</v>
      </c>
      <c r="F598" s="8" t="s">
        <v>3161</v>
      </c>
      <c r="G598" s="8" t="s">
        <v>3050</v>
      </c>
      <c r="H598" s="8" t="s">
        <v>3051</v>
      </c>
      <c r="I598" s="8" t="str">
        <f>HYPERLINK("http://www.teca25.it/","www.teca25.it")</f>
        <v>www.teca25.it</v>
      </c>
      <c r="J598" s="10">
        <v>12407.388000000001</v>
      </c>
      <c r="K598" s="10">
        <v>12407.388000000001</v>
      </c>
      <c r="L598" s="10">
        <v>12231.189</v>
      </c>
      <c r="M598" s="10">
        <v>1291.4749999999999</v>
      </c>
      <c r="N598" s="10">
        <v>1291.4749999999999</v>
      </c>
      <c r="O598" s="10">
        <v>1007.715</v>
      </c>
      <c r="P598" s="10">
        <v>25</v>
      </c>
      <c r="Q598" s="10">
        <v>25</v>
      </c>
      <c r="R598" s="10">
        <v>17</v>
      </c>
    </row>
    <row r="599" spans="1:18" ht="17" customHeight="1" x14ac:dyDescent="0.15">
      <c r="A599" s="11" t="s">
        <v>3167</v>
      </c>
      <c r="B599" s="1" t="s">
        <v>3168</v>
      </c>
      <c r="C599" s="11" t="s">
        <v>3169</v>
      </c>
      <c r="D599" s="11" t="s">
        <v>3170</v>
      </c>
      <c r="E599" s="11" t="s">
        <v>3171</v>
      </c>
      <c r="F599" s="11" t="s">
        <v>3172</v>
      </c>
      <c r="G599" s="11" t="s">
        <v>3173</v>
      </c>
      <c r="H599" s="11" t="s">
        <v>3057</v>
      </c>
      <c r="I599" s="11" t="str">
        <f>HYPERLINK("http://www.consensobrand.it/","www.consensobrand.it")</f>
        <v>www.consensobrand.it</v>
      </c>
      <c r="J599" s="12">
        <v>13795.947</v>
      </c>
      <c r="K599" s="12">
        <v>13795.947</v>
      </c>
      <c r="L599" s="13">
        <v>12214.715</v>
      </c>
      <c r="M599" s="12">
        <v>338.73099999999999</v>
      </c>
      <c r="N599" s="12">
        <v>338.73099999999999</v>
      </c>
      <c r="O599" s="12">
        <v>74.358000000000004</v>
      </c>
      <c r="P599" s="12">
        <v>18</v>
      </c>
      <c r="Q599" s="12">
        <v>18</v>
      </c>
      <c r="R599" s="12">
        <v>18</v>
      </c>
    </row>
    <row r="600" spans="1:18" ht="17" customHeight="1" x14ac:dyDescent="0.15">
      <c r="A600" s="8" t="s">
        <v>3174</v>
      </c>
      <c r="B600" s="9" t="s">
        <v>3175</v>
      </c>
      <c r="C600" s="8" t="s">
        <v>3176</v>
      </c>
      <c r="D600" s="8" t="s">
        <v>3176</v>
      </c>
      <c r="E600" s="8" t="s">
        <v>3177</v>
      </c>
      <c r="F600" s="8" t="s">
        <v>3161</v>
      </c>
      <c r="G600" s="8" t="s">
        <v>3178</v>
      </c>
      <c r="H600" s="8" t="s">
        <v>3114</v>
      </c>
      <c r="I600" s="8" t="str">
        <f>HYPERLINK("http://www.fuzzi.it/","www.fuzzi.it")</f>
        <v>www.fuzzi.it</v>
      </c>
      <c r="J600" s="10">
        <v>7193.8519999999999</v>
      </c>
      <c r="K600" s="10">
        <v>7193.8519999999999</v>
      </c>
      <c r="L600" s="10">
        <v>12145.799000000001</v>
      </c>
      <c r="M600" s="10">
        <v>-1878.953</v>
      </c>
      <c r="N600" s="10">
        <v>-1878.953</v>
      </c>
      <c r="O600" s="10">
        <v>-1345.704</v>
      </c>
      <c r="P600" s="10">
        <v>51</v>
      </c>
      <c r="Q600" s="10">
        <v>51</v>
      </c>
      <c r="R600" s="10">
        <v>55</v>
      </c>
    </row>
    <row r="601" spans="1:18" ht="17" customHeight="1" x14ac:dyDescent="0.15">
      <c r="A601" s="11" t="s">
        <v>3179</v>
      </c>
      <c r="B601" s="1" t="s">
        <v>3180</v>
      </c>
      <c r="C601" s="11" t="s">
        <v>3181</v>
      </c>
      <c r="D601" s="11" t="s">
        <v>3182</v>
      </c>
      <c r="E601" s="11" t="s">
        <v>3183</v>
      </c>
      <c r="F601" s="11" t="s">
        <v>3184</v>
      </c>
      <c r="G601" s="11" t="s">
        <v>3185</v>
      </c>
      <c r="H601" s="11" t="s">
        <v>3120</v>
      </c>
      <c r="I601" s="11" t="str">
        <f>HYPERLINK("http://www.maris.it/","http://www.maris.it")</f>
        <v>http://www.maris.it</v>
      </c>
      <c r="J601" s="12">
        <v>11441.684999999999</v>
      </c>
      <c r="K601" s="12">
        <v>11441.684999999999</v>
      </c>
      <c r="L601" s="13">
        <v>12119.371999999999</v>
      </c>
      <c r="M601" s="12">
        <v>285.73700000000002</v>
      </c>
      <c r="N601" s="12">
        <v>285.73700000000002</v>
      </c>
      <c r="O601" s="12">
        <v>269.13499999999999</v>
      </c>
      <c r="P601" s="12">
        <v>65</v>
      </c>
      <c r="Q601" s="12">
        <v>65</v>
      </c>
      <c r="R601" s="12">
        <v>66</v>
      </c>
    </row>
    <row r="602" spans="1:18" ht="17" customHeight="1" x14ac:dyDescent="0.15">
      <c r="A602" s="8" t="s">
        <v>3186</v>
      </c>
      <c r="B602" s="9" t="s">
        <v>3187</v>
      </c>
      <c r="C602" s="8" t="s">
        <v>3188</v>
      </c>
      <c r="D602" s="8" t="s">
        <v>3188</v>
      </c>
      <c r="E602" s="8" t="s">
        <v>3189</v>
      </c>
      <c r="F602" s="8" t="s">
        <v>3190</v>
      </c>
      <c r="G602" s="8" t="s">
        <v>3191</v>
      </c>
      <c r="H602" s="8" t="s">
        <v>3120</v>
      </c>
      <c r="I602" s="8" t="str">
        <f>HYPERLINK("http://www.ironservice.net/","www.ironservice.net")</f>
        <v>www.ironservice.net</v>
      </c>
      <c r="J602" s="10">
        <v>12461.231</v>
      </c>
      <c r="K602" s="10">
        <v>12461.231</v>
      </c>
      <c r="L602" s="10">
        <v>12110.918</v>
      </c>
      <c r="M602" s="10">
        <v>2356.1289999999999</v>
      </c>
      <c r="N602" s="10">
        <v>2356.1289999999999</v>
      </c>
      <c r="O602" s="10">
        <v>2686.8130000000001</v>
      </c>
      <c r="P602" s="10">
        <v>103</v>
      </c>
      <c r="Q602" s="10">
        <v>103</v>
      </c>
      <c r="R602" s="10">
        <v>97</v>
      </c>
    </row>
    <row r="603" spans="1:18" ht="17" customHeight="1" x14ac:dyDescent="0.15">
      <c r="A603" s="11" t="s">
        <v>3192</v>
      </c>
      <c r="B603" s="1" t="s">
        <v>3193</v>
      </c>
      <c r="C603" s="11" t="s">
        <v>3194</v>
      </c>
      <c r="D603" s="11" t="s">
        <v>3194</v>
      </c>
      <c r="E603" s="11" t="s">
        <v>3195</v>
      </c>
      <c r="F603" s="11" t="s">
        <v>3090</v>
      </c>
      <c r="G603" s="11" t="s">
        <v>3191</v>
      </c>
      <c r="H603" s="11" t="s">
        <v>3120</v>
      </c>
      <c r="I603" s="11" t="str">
        <f>HYPERLINK("http://drumohr.com/","drumohr.com")</f>
        <v>drumohr.com</v>
      </c>
      <c r="J603" s="12">
        <v>11016.672</v>
      </c>
      <c r="K603" s="12">
        <v>11016.672</v>
      </c>
      <c r="L603" s="13">
        <v>12109.214</v>
      </c>
      <c r="M603" s="12">
        <v>84.668999999999997</v>
      </c>
      <c r="N603" s="12">
        <v>84.668999999999997</v>
      </c>
      <c r="O603" s="12">
        <v>320.47399999999999</v>
      </c>
      <c r="P603" s="12">
        <v>68</v>
      </c>
      <c r="Q603" s="12">
        <v>68</v>
      </c>
      <c r="R603" s="12">
        <v>66</v>
      </c>
    </row>
    <row r="604" spans="1:18" ht="17" customHeight="1" x14ac:dyDescent="0.15">
      <c r="A604" s="8" t="s">
        <v>3196</v>
      </c>
      <c r="B604" s="9" t="s">
        <v>3197</v>
      </c>
      <c r="C604" s="8" t="s">
        <v>3198</v>
      </c>
      <c r="D604" s="8" t="s">
        <v>3198</v>
      </c>
      <c r="E604" s="8" t="s">
        <v>3199</v>
      </c>
      <c r="F604" s="8" t="s">
        <v>3172</v>
      </c>
      <c r="G604" s="8" t="s">
        <v>3200</v>
      </c>
      <c r="H604" s="8" t="s">
        <v>3057</v>
      </c>
      <c r="I604" s="8" t="str">
        <f>HYPERLINK("http://www.maglificioaretex.com/","www.maglificioaretex.com")</f>
        <v>www.maglificioaretex.com</v>
      </c>
      <c r="J604" s="10">
        <v>11048.371999999999</v>
      </c>
      <c r="K604" s="10">
        <v>11048.371999999999</v>
      </c>
      <c r="L604" s="10">
        <v>12065.299000000001</v>
      </c>
      <c r="M604" s="10">
        <v>104.985</v>
      </c>
      <c r="N604" s="10">
        <v>104.985</v>
      </c>
      <c r="O604" s="10">
        <v>62.465000000000003</v>
      </c>
      <c r="P604" s="10">
        <v>15</v>
      </c>
      <c r="Q604" s="10">
        <v>15</v>
      </c>
      <c r="R604" s="10">
        <v>15</v>
      </c>
    </row>
    <row r="605" spans="1:18" ht="17" customHeight="1" x14ac:dyDescent="0.15">
      <c r="A605" s="11" t="s">
        <v>3201</v>
      </c>
      <c r="B605" s="1" t="s">
        <v>3202</v>
      </c>
      <c r="C605" s="11" t="s">
        <v>3203</v>
      </c>
      <c r="D605" s="11" t="s">
        <v>3203</v>
      </c>
      <c r="E605" s="11" t="s">
        <v>3204</v>
      </c>
      <c r="F605" s="11" t="s">
        <v>3062</v>
      </c>
      <c r="G605" s="11" t="s">
        <v>3156</v>
      </c>
      <c r="H605" s="11" t="s">
        <v>3051</v>
      </c>
      <c r="I605" s="11" t="str">
        <f>HYPERLINK("http://www.formaboots.com/","www.formaboots.com")</f>
        <v>www.formaboots.com</v>
      </c>
      <c r="J605" s="12">
        <v>9742.0759999999991</v>
      </c>
      <c r="K605" s="12">
        <v>9742.0759999999991</v>
      </c>
      <c r="L605" s="13">
        <v>12064.895</v>
      </c>
      <c r="M605" s="12">
        <v>-414.18099999999998</v>
      </c>
      <c r="N605" s="12">
        <v>-414.18099999999998</v>
      </c>
      <c r="O605" s="12">
        <v>42.82</v>
      </c>
      <c r="P605" s="12">
        <v>23</v>
      </c>
      <c r="Q605" s="12">
        <v>23</v>
      </c>
      <c r="R605" s="12">
        <v>22</v>
      </c>
    </row>
    <row r="606" spans="1:18" ht="17" customHeight="1" x14ac:dyDescent="0.15">
      <c r="A606" s="8" t="s">
        <v>3205</v>
      </c>
      <c r="B606" s="9" t="s">
        <v>3206</v>
      </c>
      <c r="C606" s="8" t="s">
        <v>3207</v>
      </c>
      <c r="D606" s="8" t="s">
        <v>3207</v>
      </c>
      <c r="E606" s="8" t="s">
        <v>3208</v>
      </c>
      <c r="F606" s="8" t="s">
        <v>3090</v>
      </c>
      <c r="G606" s="8" t="s">
        <v>3209</v>
      </c>
      <c r="H606" s="8" t="s">
        <v>3210</v>
      </c>
      <c r="I606" s="8" t="str">
        <f>HYPERLINK("http://www.liabel.eu/","www.liabel.eu")</f>
        <v>www.liabel.eu</v>
      </c>
      <c r="J606" s="10">
        <v>12419.258</v>
      </c>
      <c r="K606" s="10">
        <v>12419.258</v>
      </c>
      <c r="L606" s="10">
        <v>12058.441000000001</v>
      </c>
      <c r="M606" s="10">
        <v>733.48199999999997</v>
      </c>
      <c r="N606" s="10">
        <v>733.48199999999997</v>
      </c>
      <c r="O606" s="10">
        <v>84.176000000000002</v>
      </c>
      <c r="P606" s="10">
        <v>37</v>
      </c>
      <c r="Q606" s="10">
        <v>37</v>
      </c>
      <c r="R606" s="10">
        <v>43</v>
      </c>
    </row>
    <row r="607" spans="1:18" ht="17" customHeight="1" x14ac:dyDescent="0.15">
      <c r="A607" s="11" t="s">
        <v>3211</v>
      </c>
      <c r="B607" s="1" t="s">
        <v>3212</v>
      </c>
      <c r="C607" s="11" t="s">
        <v>3213</v>
      </c>
      <c r="D607" s="11" t="s">
        <v>3214</v>
      </c>
      <c r="E607" s="11" t="s">
        <v>3215</v>
      </c>
      <c r="F607" s="11" t="s">
        <v>3049</v>
      </c>
      <c r="G607" s="11" t="s">
        <v>3216</v>
      </c>
      <c r="H607" s="11" t="s">
        <v>3217</v>
      </c>
      <c r="I607" s="11" t="str">
        <f>HYPERLINK("http://marchettopellami.com/","marchettopellami.com")</f>
        <v>marchettopellami.com</v>
      </c>
      <c r="J607" s="12">
        <v>12041.919</v>
      </c>
      <c r="K607" s="14" t="s">
        <v>3137</v>
      </c>
      <c r="L607" s="13">
        <v>12041.919</v>
      </c>
      <c r="M607" s="12">
        <v>111.27800000000001</v>
      </c>
      <c r="N607" s="14" t="s">
        <v>3137</v>
      </c>
      <c r="O607" s="12">
        <v>111.27800000000001</v>
      </c>
      <c r="P607" s="12">
        <v>23</v>
      </c>
      <c r="Q607" s="14" t="s">
        <v>3137</v>
      </c>
      <c r="R607" s="12">
        <v>23</v>
      </c>
    </row>
    <row r="608" spans="1:18" ht="17" customHeight="1" x14ac:dyDescent="0.15">
      <c r="A608" s="8" t="s">
        <v>3218</v>
      </c>
      <c r="B608" s="9" t="s">
        <v>3219</v>
      </c>
      <c r="C608" s="8" t="s">
        <v>3220</v>
      </c>
      <c r="D608" s="8" t="s">
        <v>3220</v>
      </c>
      <c r="E608" s="8" t="s">
        <v>3221</v>
      </c>
      <c r="F608" s="8" t="s">
        <v>3049</v>
      </c>
      <c r="G608" s="8" t="s">
        <v>3056</v>
      </c>
      <c r="H608" s="8" t="s">
        <v>3057</v>
      </c>
      <c r="I608" s="8" t="str">
        <f>HYPERLINK("http://conceria800.it/","conceria800.it")</f>
        <v>conceria800.it</v>
      </c>
      <c r="J608" s="10">
        <v>9118.5079999999998</v>
      </c>
      <c r="K608" s="10">
        <v>9118.5079999999998</v>
      </c>
      <c r="L608" s="10">
        <v>12041.802</v>
      </c>
      <c r="M608" s="10">
        <v>-547.88400000000001</v>
      </c>
      <c r="N608" s="10">
        <v>-547.88400000000001</v>
      </c>
      <c r="O608" s="10">
        <v>-137.95099999999999</v>
      </c>
      <c r="P608" s="10">
        <v>26</v>
      </c>
      <c r="Q608" s="10">
        <v>26</v>
      </c>
      <c r="R608" s="10">
        <v>26</v>
      </c>
    </row>
    <row r="609" spans="1:18" ht="17" customHeight="1" x14ac:dyDescent="0.15">
      <c r="A609" s="11" t="s">
        <v>3222</v>
      </c>
      <c r="B609" s="1" t="s">
        <v>3223</v>
      </c>
      <c r="C609" s="11" t="s">
        <v>3224</v>
      </c>
      <c r="D609" s="11" t="s">
        <v>3224</v>
      </c>
      <c r="E609" s="11" t="s">
        <v>3225</v>
      </c>
      <c r="F609" s="11" t="s">
        <v>3226</v>
      </c>
      <c r="G609" s="11" t="s">
        <v>3227</v>
      </c>
      <c r="H609" s="11" t="s">
        <v>3228</v>
      </c>
      <c r="I609" s="11" t="str">
        <f>HYPERLINK("http://calicantoluxurybags.it/","calicantoluxurybags.it")</f>
        <v>calicantoluxurybags.it</v>
      </c>
      <c r="J609" s="12">
        <v>11321.406999999999</v>
      </c>
      <c r="K609" s="12">
        <v>11321.406999999999</v>
      </c>
      <c r="L609" s="13">
        <v>12006.906000000001</v>
      </c>
      <c r="M609" s="12">
        <v>340.16899999999998</v>
      </c>
      <c r="N609" s="12">
        <v>340.16899999999998</v>
      </c>
      <c r="O609" s="12">
        <v>185.49</v>
      </c>
      <c r="P609" s="12">
        <v>210</v>
      </c>
      <c r="Q609" s="12">
        <v>210</v>
      </c>
      <c r="R609" s="12">
        <v>187</v>
      </c>
    </row>
    <row r="610" spans="1:18" ht="17" customHeight="1" x14ac:dyDescent="0.15">
      <c r="A610" s="8" t="s">
        <v>3229</v>
      </c>
      <c r="B610" s="9" t="s">
        <v>3230</v>
      </c>
      <c r="C610" s="8" t="s">
        <v>3231</v>
      </c>
      <c r="D610" s="8" t="s">
        <v>3231</v>
      </c>
      <c r="E610" s="8" t="s">
        <v>3232</v>
      </c>
      <c r="F610" s="8" t="s">
        <v>3233</v>
      </c>
      <c r="G610" s="8" t="s">
        <v>3234</v>
      </c>
      <c r="H610" s="8" t="s">
        <v>3235</v>
      </c>
      <c r="I610" s="8" t="str">
        <f>HYPERLINK("http://www.fabigroup.it/","www.fabigroup.it")</f>
        <v>www.fabigroup.it</v>
      </c>
      <c r="J610" s="10">
        <v>11992.593000000001</v>
      </c>
      <c r="K610" s="15" t="s">
        <v>3236</v>
      </c>
      <c r="L610" s="10">
        <v>11992.593000000001</v>
      </c>
      <c r="M610" s="10">
        <v>-23133.942999999999</v>
      </c>
      <c r="N610" s="15" t="s">
        <v>3236</v>
      </c>
      <c r="O610" s="10">
        <v>-23133.942999999999</v>
      </c>
      <c r="P610" s="10">
        <v>166</v>
      </c>
      <c r="Q610" s="15" t="s">
        <v>3236</v>
      </c>
      <c r="R610" s="10">
        <v>166</v>
      </c>
    </row>
    <row r="611" spans="1:18" ht="17" customHeight="1" x14ac:dyDescent="0.15">
      <c r="A611" s="11" t="s">
        <v>3237</v>
      </c>
      <c r="B611" s="1" t="s">
        <v>3238</v>
      </c>
      <c r="C611" s="11" t="s">
        <v>3239</v>
      </c>
      <c r="D611" s="11" t="s">
        <v>3239</v>
      </c>
      <c r="E611" s="11" t="s">
        <v>3240</v>
      </c>
      <c r="F611" s="11" t="s">
        <v>3241</v>
      </c>
      <c r="G611" s="11" t="s">
        <v>3242</v>
      </c>
      <c r="H611" s="11" t="s">
        <v>3243</v>
      </c>
      <c r="I611" s="11" t="str">
        <f>HYPERLINK("http://gruppoconceriemasini.com/","gruppoconceriemasini.com")</f>
        <v>gruppoconceriemasini.com</v>
      </c>
      <c r="J611" s="12">
        <v>10762.303</v>
      </c>
      <c r="K611" s="12">
        <v>10762.303</v>
      </c>
      <c r="L611" s="13">
        <v>11986.317999999999</v>
      </c>
      <c r="M611" s="12">
        <v>74.494</v>
      </c>
      <c r="N611" s="12">
        <v>74.494</v>
      </c>
      <c r="O611" s="12">
        <v>110.075</v>
      </c>
      <c r="P611" s="12">
        <v>33</v>
      </c>
      <c r="Q611" s="12">
        <v>33</v>
      </c>
      <c r="R611" s="12">
        <v>40</v>
      </c>
    </row>
    <row r="612" spans="1:18" ht="17" customHeight="1" x14ac:dyDescent="0.15">
      <c r="A612" s="8" t="s">
        <v>3244</v>
      </c>
      <c r="B612" s="9" t="s">
        <v>3245</v>
      </c>
      <c r="C612" s="8" t="s">
        <v>3246</v>
      </c>
      <c r="D612" s="8" t="s">
        <v>3246</v>
      </c>
      <c r="E612" s="8" t="s">
        <v>3247</v>
      </c>
      <c r="F612" s="8" t="s">
        <v>3248</v>
      </c>
      <c r="G612" s="8" t="s">
        <v>3249</v>
      </c>
      <c r="H612" s="8" t="s">
        <v>3250</v>
      </c>
      <c r="I612" s="8" t="str">
        <f>HYPERLINK("http://www.fegi.it/","www.fegi.it")</f>
        <v>www.fegi.it</v>
      </c>
      <c r="J612" s="10">
        <v>10223.775</v>
      </c>
      <c r="K612" s="10">
        <v>10223.775</v>
      </c>
      <c r="L612" s="10">
        <v>11933.341</v>
      </c>
      <c r="M612" s="10">
        <v>-10594.279</v>
      </c>
      <c r="N612" s="10">
        <v>-10594.279</v>
      </c>
      <c r="O612" s="10">
        <v>-2896.4459999999999</v>
      </c>
      <c r="P612" s="10">
        <v>37</v>
      </c>
      <c r="Q612" s="10">
        <v>37</v>
      </c>
      <c r="R612" s="10">
        <v>42</v>
      </c>
    </row>
    <row r="613" spans="1:18" ht="17" customHeight="1" x14ac:dyDescent="0.15">
      <c r="A613" s="11" t="s">
        <v>3251</v>
      </c>
      <c r="B613" s="1" t="s">
        <v>3252</v>
      </c>
      <c r="C613" s="11" t="s">
        <v>3253</v>
      </c>
      <c r="D613" s="11" t="s">
        <v>3253</v>
      </c>
      <c r="E613" s="11" t="s">
        <v>3254</v>
      </c>
      <c r="F613" s="11" t="s">
        <v>3255</v>
      </c>
      <c r="G613" s="11" t="s">
        <v>3256</v>
      </c>
      <c r="H613" s="11" t="s">
        <v>3257</v>
      </c>
      <c r="I613" s="11" t="str">
        <f>HYPERLINK("http://www.crisden.com/","http://www.crisden.com")</f>
        <v>http://www.crisden.com</v>
      </c>
      <c r="J613" s="12">
        <v>18658.276999999998</v>
      </c>
      <c r="K613" s="12">
        <v>18658.276999999998</v>
      </c>
      <c r="L613" s="13">
        <v>11930.798000000001</v>
      </c>
      <c r="M613" s="12">
        <v>2656.462</v>
      </c>
      <c r="N613" s="12">
        <v>2656.462</v>
      </c>
      <c r="O613" s="12">
        <v>840.55</v>
      </c>
      <c r="P613" s="12">
        <v>61</v>
      </c>
      <c r="Q613" s="12">
        <v>61</v>
      </c>
      <c r="R613" s="12">
        <v>55</v>
      </c>
    </row>
    <row r="614" spans="1:18" ht="55.75" customHeight="1" x14ac:dyDescent="0.15">
      <c r="A614" s="8" t="s">
        <v>3258</v>
      </c>
      <c r="B614" s="9" t="s">
        <v>3259</v>
      </c>
      <c r="C614" s="8" t="s">
        <v>3260</v>
      </c>
      <c r="D614" s="8" t="s">
        <v>3260</v>
      </c>
      <c r="E614" s="8" t="s">
        <v>3261</v>
      </c>
      <c r="F614" s="8" t="s">
        <v>3262</v>
      </c>
      <c r="G614" s="8" t="s">
        <v>3263</v>
      </c>
      <c r="H614" s="8" t="s">
        <v>3264</v>
      </c>
      <c r="I614" s="8" t="str">
        <f>HYPERLINK("http://www.cizetamedicali.it/","www.cizetamedicali.it")</f>
        <v>www.cizetamedicali.it</v>
      </c>
      <c r="J614" s="10">
        <v>11649.847</v>
      </c>
      <c r="K614" s="10">
        <v>11649.847</v>
      </c>
      <c r="L614" s="10">
        <v>11900.334000000001</v>
      </c>
      <c r="M614" s="10">
        <v>152.50700000000001</v>
      </c>
      <c r="N614" s="10">
        <v>152.50700000000001</v>
      </c>
      <c r="O614" s="10">
        <v>475.35700000000003</v>
      </c>
      <c r="P614" s="10">
        <v>64</v>
      </c>
      <c r="Q614" s="10">
        <v>64</v>
      </c>
      <c r="R614" s="10">
        <v>60</v>
      </c>
    </row>
    <row r="615" spans="1:18" ht="17" customHeight="1" x14ac:dyDescent="0.15">
      <c r="A615" s="11" t="s">
        <v>3265</v>
      </c>
      <c r="B615" s="1" t="s">
        <v>3266</v>
      </c>
      <c r="C615" s="11" t="s">
        <v>3267</v>
      </c>
      <c r="D615" s="11" t="s">
        <v>3267</v>
      </c>
      <c r="E615" s="11" t="s">
        <v>3268</v>
      </c>
      <c r="F615" s="11" t="s">
        <v>3233</v>
      </c>
      <c r="G615" s="11" t="s">
        <v>3269</v>
      </c>
      <c r="H615" s="11" t="s">
        <v>3270</v>
      </c>
      <c r="I615" s="11" t="str">
        <f>HYPERLINK("http://www.grazianomaggio.com/","www.grazianomaggio.com")</f>
        <v>www.grazianomaggio.com</v>
      </c>
      <c r="J615" s="12">
        <v>11857.517</v>
      </c>
      <c r="K615" s="14" t="s">
        <v>3236</v>
      </c>
      <c r="L615" s="13">
        <v>11857.517</v>
      </c>
      <c r="M615" s="12">
        <v>344.61599999999999</v>
      </c>
      <c r="N615" s="14" t="s">
        <v>3236</v>
      </c>
      <c r="O615" s="12">
        <v>344.61599999999999</v>
      </c>
      <c r="P615" s="12">
        <v>68</v>
      </c>
      <c r="Q615" s="14" t="s">
        <v>3236</v>
      </c>
      <c r="R615" s="12">
        <v>68</v>
      </c>
    </row>
    <row r="616" spans="1:18" ht="17" customHeight="1" x14ac:dyDescent="0.15">
      <c r="A616" s="8" t="s">
        <v>3271</v>
      </c>
      <c r="B616" s="9" t="s">
        <v>3272</v>
      </c>
      <c r="C616" s="8" t="s">
        <v>3273</v>
      </c>
      <c r="D616" s="8" t="s">
        <v>3273</v>
      </c>
      <c r="E616" s="8" t="s">
        <v>3274</v>
      </c>
      <c r="F616" s="8" t="s">
        <v>3226</v>
      </c>
      <c r="G616" s="8" t="s">
        <v>3275</v>
      </c>
      <c r="H616" s="8" t="s">
        <v>3243</v>
      </c>
      <c r="I616" s="8" t="str">
        <f>HYPERLINK("http://www.propel.it/","www.propel.it")</f>
        <v>www.propel.it</v>
      </c>
      <c r="J616" s="10">
        <v>10955.978999999999</v>
      </c>
      <c r="K616" s="10">
        <v>10955.978999999999</v>
      </c>
      <c r="L616" s="10">
        <v>11835.312</v>
      </c>
      <c r="M616" s="10">
        <v>-549.13900000000001</v>
      </c>
      <c r="N616" s="10">
        <v>-549.13900000000001</v>
      </c>
      <c r="O616" s="10">
        <v>306.06900000000002</v>
      </c>
      <c r="P616" s="10">
        <v>91</v>
      </c>
      <c r="Q616" s="10">
        <v>91</v>
      </c>
      <c r="R616" s="10">
        <v>78</v>
      </c>
    </row>
    <row r="617" spans="1:18" ht="17" customHeight="1" x14ac:dyDescent="0.15">
      <c r="A617" s="11" t="s">
        <v>3276</v>
      </c>
      <c r="B617" s="1" t="s">
        <v>3277</v>
      </c>
      <c r="C617" s="11" t="s">
        <v>3278</v>
      </c>
      <c r="D617" s="11" t="s">
        <v>3278</v>
      </c>
      <c r="E617" s="11" t="s">
        <v>3279</v>
      </c>
      <c r="F617" s="11" t="s">
        <v>3280</v>
      </c>
      <c r="G617" s="11" t="s">
        <v>3275</v>
      </c>
      <c r="H617" s="11" t="s">
        <v>3243</v>
      </c>
      <c r="I617" s="11" t="str">
        <f>HYPERLINK("http://missardi.com/","missardi.com")</f>
        <v>missardi.com</v>
      </c>
      <c r="J617" s="12">
        <v>9794.0709999999999</v>
      </c>
      <c r="K617" s="12">
        <v>9794.0709999999999</v>
      </c>
      <c r="L617" s="13">
        <v>11816.142</v>
      </c>
      <c r="M617" s="12">
        <v>141.596</v>
      </c>
      <c r="N617" s="12">
        <v>141.596</v>
      </c>
      <c r="O617" s="12">
        <v>465.29700000000003</v>
      </c>
      <c r="P617" s="12">
        <v>70</v>
      </c>
      <c r="Q617" s="12">
        <v>70</v>
      </c>
      <c r="R617" s="12">
        <v>74</v>
      </c>
    </row>
    <row r="618" spans="1:18" ht="17" customHeight="1" x14ac:dyDescent="0.15">
      <c r="A618" s="8" t="s">
        <v>3281</v>
      </c>
      <c r="B618" s="9" t="s">
        <v>3282</v>
      </c>
      <c r="C618" s="8" t="s">
        <v>3283</v>
      </c>
      <c r="D618" s="8" t="s">
        <v>3283</v>
      </c>
      <c r="E618" s="8" t="s">
        <v>3284</v>
      </c>
      <c r="F618" s="8" t="s">
        <v>3241</v>
      </c>
      <c r="G618" s="8" t="s">
        <v>3285</v>
      </c>
      <c r="H618" s="8" t="s">
        <v>3286</v>
      </c>
      <c r="I618" s="8" t="str">
        <f>HYPERLINK("http://www.dmdsolofra.it/","www.dmdsolofra.it")</f>
        <v>www.dmdsolofra.it</v>
      </c>
      <c r="J618" s="10">
        <v>8786.4009999999998</v>
      </c>
      <c r="K618" s="10">
        <v>8786.4009999999998</v>
      </c>
      <c r="L618" s="10">
        <v>11799.338</v>
      </c>
      <c r="M618" s="10">
        <v>-3827.1309999999999</v>
      </c>
      <c r="N618" s="10">
        <v>-3827.1309999999999</v>
      </c>
      <c r="O618" s="10">
        <v>-4210.6819999999998</v>
      </c>
      <c r="P618" s="10">
        <v>75</v>
      </c>
      <c r="Q618" s="10">
        <v>75</v>
      </c>
      <c r="R618" s="10">
        <v>82</v>
      </c>
    </row>
    <row r="619" spans="1:18" ht="17" customHeight="1" x14ac:dyDescent="0.15">
      <c r="A619" s="11" t="s">
        <v>3287</v>
      </c>
      <c r="B619" s="1" t="s">
        <v>3288</v>
      </c>
      <c r="C619" s="11" t="s">
        <v>3289</v>
      </c>
      <c r="D619" s="11" t="s">
        <v>3289</v>
      </c>
      <c r="E619" s="11" t="s">
        <v>3290</v>
      </c>
      <c r="F619" s="11" t="s">
        <v>3255</v>
      </c>
      <c r="G619" s="11" t="s">
        <v>3291</v>
      </c>
      <c r="H619" s="11" t="s">
        <v>3243</v>
      </c>
      <c r="I619" s="11" t="str">
        <f>HYPERLINK("http://www.pooltrendsrl.com/","www.pooltrendsrl.com")</f>
        <v>www.pooltrendsrl.com</v>
      </c>
      <c r="J619" s="12">
        <v>12964.454</v>
      </c>
      <c r="K619" s="12">
        <v>12964.454</v>
      </c>
      <c r="L619" s="13">
        <v>11791.659</v>
      </c>
      <c r="M619" s="12">
        <v>1122.605</v>
      </c>
      <c r="N619" s="12">
        <v>1122.605</v>
      </c>
      <c r="O619" s="12">
        <v>475.88200000000001</v>
      </c>
      <c r="P619" s="12">
        <v>27</v>
      </c>
      <c r="Q619" s="12">
        <v>27</v>
      </c>
      <c r="R619" s="12">
        <v>26</v>
      </c>
    </row>
    <row r="620" spans="1:18" ht="17" customHeight="1" x14ac:dyDescent="0.15">
      <c r="A620" s="8" t="s">
        <v>3292</v>
      </c>
      <c r="B620" s="9" t="s">
        <v>3293</v>
      </c>
      <c r="C620" s="8" t="s">
        <v>3294</v>
      </c>
      <c r="D620" s="8" t="s">
        <v>3294</v>
      </c>
      <c r="E620" s="8" t="s">
        <v>3295</v>
      </c>
      <c r="F620" s="8" t="s">
        <v>3248</v>
      </c>
      <c r="G620" s="8" t="s">
        <v>3296</v>
      </c>
      <c r="H620" s="8" t="s">
        <v>3264</v>
      </c>
      <c r="I620" s="8" t="str">
        <f>HYPERLINK("http://www.sonrisa.it/","www.sonrisa.it")</f>
        <v>www.sonrisa.it</v>
      </c>
      <c r="J620" s="10">
        <v>13935.199000000001</v>
      </c>
      <c r="K620" s="10">
        <v>13935.199000000001</v>
      </c>
      <c r="L620" s="10">
        <v>11783.487999999999</v>
      </c>
      <c r="M620" s="10">
        <v>447.04399999999998</v>
      </c>
      <c r="N620" s="10">
        <v>447.04399999999998</v>
      </c>
      <c r="O620" s="10">
        <v>168.75</v>
      </c>
      <c r="P620" s="10">
        <v>50</v>
      </c>
      <c r="Q620" s="10">
        <v>50</v>
      </c>
      <c r="R620" s="10">
        <v>50</v>
      </c>
    </row>
    <row r="621" spans="1:18" ht="17" customHeight="1" x14ac:dyDescent="0.15">
      <c r="A621" s="11" t="s">
        <v>3297</v>
      </c>
      <c r="B621" s="1" t="s">
        <v>3298</v>
      </c>
      <c r="C621" s="11" t="s">
        <v>3299</v>
      </c>
      <c r="D621" s="11" t="s">
        <v>3299</v>
      </c>
      <c r="E621" s="11" t="s">
        <v>3300</v>
      </c>
      <c r="F621" s="11" t="s">
        <v>3301</v>
      </c>
      <c r="G621" s="11" t="s">
        <v>3275</v>
      </c>
      <c r="H621" s="11" t="s">
        <v>3243</v>
      </c>
      <c r="I621" s="11" t="str">
        <f>HYPERLINK("http://www.francorossi.it/","www.francorossi.it")</f>
        <v>www.francorossi.it</v>
      </c>
      <c r="J621" s="12">
        <v>11212.064</v>
      </c>
      <c r="K621" s="12">
        <v>11212.064</v>
      </c>
      <c r="L621" s="13">
        <v>11763.995999999999</v>
      </c>
      <c r="M621" s="12">
        <v>373.26100000000002</v>
      </c>
      <c r="N621" s="12">
        <v>373.26100000000002</v>
      </c>
      <c r="O621" s="12">
        <v>671.29</v>
      </c>
      <c r="P621" s="12">
        <v>30</v>
      </c>
      <c r="Q621" s="12">
        <v>30</v>
      </c>
      <c r="R621" s="12">
        <v>31</v>
      </c>
    </row>
    <row r="622" spans="1:18" ht="29.5" customHeight="1" x14ac:dyDescent="0.15">
      <c r="A622" s="8" t="s">
        <v>3302</v>
      </c>
      <c r="B622" s="9" t="s">
        <v>3303</v>
      </c>
      <c r="C622" s="8" t="s">
        <v>3304</v>
      </c>
      <c r="D622" s="8" t="s">
        <v>3304</v>
      </c>
      <c r="E622" s="8" t="s">
        <v>3305</v>
      </c>
      <c r="F622" s="8" t="s">
        <v>3306</v>
      </c>
      <c r="G622" s="8" t="s">
        <v>3256</v>
      </c>
      <c r="H622" s="8" t="s">
        <v>3257</v>
      </c>
      <c r="I622" s="8" t="str">
        <f>HYPERLINK("http://www.maxmarafashiongroup.com/","www.maxmarafashiongroup.com")</f>
        <v>www.maxmarafashiongroup.com</v>
      </c>
      <c r="J622" s="10">
        <v>12162.35</v>
      </c>
      <c r="K622" s="10">
        <v>12162.35</v>
      </c>
      <c r="L622" s="10">
        <v>11759.967000000001</v>
      </c>
      <c r="M622" s="10">
        <v>136.81299999999999</v>
      </c>
      <c r="N622" s="10">
        <v>136.81299999999999</v>
      </c>
      <c r="O622" s="10">
        <v>-370.88200000000001</v>
      </c>
      <c r="P622" s="10">
        <v>206</v>
      </c>
      <c r="Q622" s="10">
        <v>206</v>
      </c>
      <c r="R622" s="10">
        <v>209</v>
      </c>
    </row>
    <row r="623" spans="1:18" ht="17" customHeight="1" x14ac:dyDescent="0.15">
      <c r="A623" s="11" t="s">
        <v>3307</v>
      </c>
      <c r="B623" s="1" t="s">
        <v>3308</v>
      </c>
      <c r="C623" s="11" t="s">
        <v>3309</v>
      </c>
      <c r="D623" s="11" t="s">
        <v>3309</v>
      </c>
      <c r="E623" s="11" t="s">
        <v>3310</v>
      </c>
      <c r="F623" s="11" t="s">
        <v>3233</v>
      </c>
      <c r="G623" s="11" t="s">
        <v>3269</v>
      </c>
      <c r="H623" s="11" t="s">
        <v>3270</v>
      </c>
      <c r="I623" s="11" t="str">
        <f>HYPERLINK("http://www.manifatture-lgm.it/","www.manifatture-lgm.it")</f>
        <v>www.manifatture-lgm.it</v>
      </c>
      <c r="J623" s="12">
        <v>17168.039000000001</v>
      </c>
      <c r="K623" s="12">
        <v>17168.039000000001</v>
      </c>
      <c r="L623" s="13">
        <v>11733.745999999999</v>
      </c>
      <c r="M623" s="12">
        <v>693.37699999999995</v>
      </c>
      <c r="N623" s="12">
        <v>693.37699999999995</v>
      </c>
      <c r="O623" s="12">
        <v>291.42</v>
      </c>
      <c r="P623" s="12">
        <v>55</v>
      </c>
      <c r="Q623" s="12">
        <v>55</v>
      </c>
      <c r="R623" s="12">
        <v>27</v>
      </c>
    </row>
    <row r="624" spans="1:18" ht="17" customHeight="1" x14ac:dyDescent="0.15">
      <c r="A624" s="8" t="s">
        <v>3311</v>
      </c>
      <c r="B624" s="9" t="s">
        <v>3312</v>
      </c>
      <c r="C624" s="8" t="s">
        <v>3313</v>
      </c>
      <c r="D624" s="8" t="s">
        <v>3313</v>
      </c>
      <c r="E624" s="8" t="s">
        <v>3314</v>
      </c>
      <c r="F624" s="8" t="s">
        <v>3315</v>
      </c>
      <c r="G624" s="8" t="s">
        <v>3234</v>
      </c>
      <c r="H624" s="8" t="s">
        <v>3235</v>
      </c>
      <c r="I624" s="8" t="str">
        <f>HYPERLINK("http://www.sabry.it/","www.sabry.it")</f>
        <v>www.sabry.it</v>
      </c>
      <c r="J624" s="10">
        <v>12799.561</v>
      </c>
      <c r="K624" s="10">
        <v>12799.561</v>
      </c>
      <c r="L624" s="10">
        <v>11731.608</v>
      </c>
      <c r="M624" s="10">
        <v>3177.8220000000001</v>
      </c>
      <c r="N624" s="10">
        <v>3177.8220000000001</v>
      </c>
      <c r="O624" s="10">
        <v>2830.1379999999999</v>
      </c>
      <c r="P624" s="10">
        <v>60</v>
      </c>
      <c r="Q624" s="10">
        <v>60</v>
      </c>
      <c r="R624" s="10">
        <v>54</v>
      </c>
    </row>
    <row r="625" spans="1:18" ht="17" customHeight="1" x14ac:dyDescent="0.15">
      <c r="A625" s="11" t="s">
        <v>3316</v>
      </c>
      <c r="B625" s="1" t="s">
        <v>3317</v>
      </c>
      <c r="C625" s="11" t="s">
        <v>3318</v>
      </c>
      <c r="D625" s="11" t="s">
        <v>3318</v>
      </c>
      <c r="E625" s="11" t="s">
        <v>3319</v>
      </c>
      <c r="F625" s="11" t="s">
        <v>3320</v>
      </c>
      <c r="G625" s="11" t="s">
        <v>3249</v>
      </c>
      <c r="H625" s="11" t="s">
        <v>3250</v>
      </c>
      <c r="I625" s="11" t="str">
        <f>HYPERLINK("http://www.lavisconfezioni.it/","www.lavisconfezioni.it")</f>
        <v>www.lavisconfezioni.it</v>
      </c>
      <c r="J625" s="12">
        <v>16015.79</v>
      </c>
      <c r="K625" s="12">
        <v>16015.79</v>
      </c>
      <c r="L625" s="13">
        <v>11726.965</v>
      </c>
      <c r="M625" s="12">
        <v>97.659000000000006</v>
      </c>
      <c r="N625" s="12">
        <v>97.659000000000006</v>
      </c>
      <c r="O625" s="12">
        <v>193.828</v>
      </c>
      <c r="P625" s="12">
        <v>45</v>
      </c>
      <c r="Q625" s="12">
        <v>45</v>
      </c>
      <c r="R625" s="12">
        <v>40</v>
      </c>
    </row>
    <row r="626" spans="1:18" ht="17" customHeight="1" x14ac:dyDescent="0.15">
      <c r="A626" s="8" t="s">
        <v>3321</v>
      </c>
      <c r="B626" s="9" t="s">
        <v>3322</v>
      </c>
      <c r="C626" s="8" t="s">
        <v>3323</v>
      </c>
      <c r="D626" s="8" t="s">
        <v>3323</v>
      </c>
      <c r="E626" s="8" t="s">
        <v>3324</v>
      </c>
      <c r="F626" s="8" t="s">
        <v>3233</v>
      </c>
      <c r="G626" s="8" t="s">
        <v>3325</v>
      </c>
      <c r="H626" s="8" t="s">
        <v>3228</v>
      </c>
      <c r="I626" s="8" t="str">
        <f>HYPERLINK("http://www.ftg-safety.com/","www.ftg-safety.com")</f>
        <v>www.ftg-safety.com</v>
      </c>
      <c r="J626" s="10">
        <v>11345.120999999999</v>
      </c>
      <c r="K626" s="10">
        <v>11345.120999999999</v>
      </c>
      <c r="L626" s="10">
        <v>11717.146000000001</v>
      </c>
      <c r="M626" s="10">
        <v>17.811</v>
      </c>
      <c r="N626" s="10">
        <v>17.811</v>
      </c>
      <c r="O626" s="10">
        <v>307.476</v>
      </c>
      <c r="P626" s="10">
        <v>65</v>
      </c>
      <c r="Q626" s="10">
        <v>65</v>
      </c>
      <c r="R626" s="10">
        <v>53</v>
      </c>
    </row>
    <row r="627" spans="1:18" ht="17" customHeight="1" x14ac:dyDescent="0.15">
      <c r="A627" s="11" t="s">
        <v>3326</v>
      </c>
      <c r="B627" s="1" t="s">
        <v>3327</v>
      </c>
      <c r="C627" s="11" t="s">
        <v>3328</v>
      </c>
      <c r="D627" s="11" t="s">
        <v>3328</v>
      </c>
      <c r="E627" s="11" t="s">
        <v>3329</v>
      </c>
      <c r="F627" s="11" t="s">
        <v>3306</v>
      </c>
      <c r="G627" s="11" t="s">
        <v>3291</v>
      </c>
      <c r="H627" s="11" t="s">
        <v>3243</v>
      </c>
      <c r="I627" s="11" t="str">
        <f>HYPERLINK("http://bobcompany.it/","bobcompany.it")</f>
        <v>bobcompany.it</v>
      </c>
      <c r="J627" s="12">
        <v>12770.268</v>
      </c>
      <c r="K627" s="12">
        <v>12770.268</v>
      </c>
      <c r="L627" s="13">
        <v>11703.632</v>
      </c>
      <c r="M627" s="12">
        <v>333.4</v>
      </c>
      <c r="N627" s="12">
        <v>333.4</v>
      </c>
      <c r="O627" s="12">
        <v>147.35900000000001</v>
      </c>
      <c r="P627" s="12">
        <v>9</v>
      </c>
      <c r="Q627" s="12">
        <v>9</v>
      </c>
      <c r="R627" s="12">
        <v>15</v>
      </c>
    </row>
    <row r="628" spans="1:18" ht="17" customHeight="1" x14ac:dyDescent="0.15">
      <c r="A628" s="8" t="s">
        <v>3330</v>
      </c>
      <c r="B628" s="9" t="s">
        <v>3331</v>
      </c>
      <c r="C628" s="8" t="s">
        <v>3332</v>
      </c>
      <c r="D628" s="8" t="s">
        <v>3332</v>
      </c>
      <c r="E628" s="8" t="s">
        <v>3333</v>
      </c>
      <c r="F628" s="8" t="s">
        <v>3241</v>
      </c>
      <c r="G628" s="8" t="s">
        <v>3325</v>
      </c>
      <c r="H628" s="8" t="s">
        <v>3228</v>
      </c>
      <c r="I628" s="8" t="str">
        <f>HYPERLINK("http://www.wetblueraff.com/","www.wetblueraff.com")</f>
        <v>www.wetblueraff.com</v>
      </c>
      <c r="J628" s="10">
        <v>14307.392</v>
      </c>
      <c r="K628" s="10">
        <v>14307.392</v>
      </c>
      <c r="L628" s="10">
        <v>11695.732</v>
      </c>
      <c r="M628" s="10">
        <v>162.773</v>
      </c>
      <c r="N628" s="10">
        <v>162.773</v>
      </c>
      <c r="O628" s="10">
        <v>155.49299999999999</v>
      </c>
      <c r="P628" s="10">
        <v>14</v>
      </c>
      <c r="Q628" s="10">
        <v>14</v>
      </c>
      <c r="R628" s="10">
        <v>14</v>
      </c>
    </row>
    <row r="629" spans="1:18" ht="29.5" customHeight="1" x14ac:dyDescent="0.15">
      <c r="A629" s="11" t="s">
        <v>3334</v>
      </c>
      <c r="B629" s="1" t="s">
        <v>3335</v>
      </c>
      <c r="C629" s="11" t="s">
        <v>3336</v>
      </c>
      <c r="D629" s="11" t="s">
        <v>3336</v>
      </c>
      <c r="E629" s="11" t="s">
        <v>3337</v>
      </c>
      <c r="F629" s="11" t="s">
        <v>3233</v>
      </c>
      <c r="G629" s="11" t="s">
        <v>3338</v>
      </c>
      <c r="H629" s="11" t="s">
        <v>3257</v>
      </c>
      <c r="I629" s="11" t="str">
        <f>HYPERLINK("http://www.modaita.it/","www.modaita.it")</f>
        <v>www.modaita.it</v>
      </c>
      <c r="J629" s="12">
        <v>9547.1</v>
      </c>
      <c r="K629" s="12">
        <v>9547.1</v>
      </c>
      <c r="L629" s="13">
        <v>11668.727000000001</v>
      </c>
      <c r="M629" s="12">
        <v>711.57600000000002</v>
      </c>
      <c r="N629" s="12">
        <v>711.57600000000002</v>
      </c>
      <c r="O629" s="12">
        <v>1475.057</v>
      </c>
      <c r="P629" s="12">
        <v>41</v>
      </c>
      <c r="Q629" s="12">
        <v>41</v>
      </c>
      <c r="R629" s="12">
        <v>47</v>
      </c>
    </row>
    <row r="630" spans="1:18" ht="17" customHeight="1" x14ac:dyDescent="0.15">
      <c r="A630" s="8" t="s">
        <v>3339</v>
      </c>
      <c r="B630" s="9" t="s">
        <v>3340</v>
      </c>
      <c r="C630" s="8" t="s">
        <v>3341</v>
      </c>
      <c r="D630" s="8" t="s">
        <v>3341</v>
      </c>
      <c r="E630" s="8" t="s">
        <v>3342</v>
      </c>
      <c r="F630" s="8" t="s">
        <v>3241</v>
      </c>
      <c r="G630" s="8" t="s">
        <v>3242</v>
      </c>
      <c r="H630" s="8" t="s">
        <v>3243</v>
      </c>
      <c r="I630" s="8" t="str">
        <f>HYPERLINK("http://conceriailcigno.com/","conceriailcigno.com")</f>
        <v>conceriailcigno.com</v>
      </c>
      <c r="J630" s="10">
        <v>9505.6749999999993</v>
      </c>
      <c r="K630" s="10">
        <v>9505.6749999999993</v>
      </c>
      <c r="L630" s="10">
        <v>11656.954</v>
      </c>
      <c r="M630" s="10">
        <v>227.50800000000001</v>
      </c>
      <c r="N630" s="10">
        <v>227.50800000000001</v>
      </c>
      <c r="O630" s="10">
        <v>713.26499999999999</v>
      </c>
      <c r="P630" s="10">
        <v>22</v>
      </c>
      <c r="Q630" s="10">
        <v>22</v>
      </c>
      <c r="R630" s="10">
        <v>21</v>
      </c>
    </row>
    <row r="631" spans="1:18" ht="55.75" customHeight="1" x14ac:dyDescent="0.15">
      <c r="A631" s="11" t="s">
        <v>3343</v>
      </c>
      <c r="B631" s="1" t="s">
        <v>3344</v>
      </c>
      <c r="C631" s="11" t="s">
        <v>3345</v>
      </c>
      <c r="D631" s="11" t="s">
        <v>3345</v>
      </c>
      <c r="E631" s="11" t="s">
        <v>3346</v>
      </c>
      <c r="F631" s="11" t="s">
        <v>3233</v>
      </c>
      <c r="G631" s="11" t="s">
        <v>3347</v>
      </c>
      <c r="H631" s="11" t="s">
        <v>3235</v>
      </c>
      <c r="I631" s="11" t="str">
        <f>HYPERLINK("http://effemme.it/","effemme.it")</f>
        <v>effemme.it</v>
      </c>
      <c r="J631" s="12">
        <v>14863.518</v>
      </c>
      <c r="K631" s="12">
        <v>14863.518</v>
      </c>
      <c r="L631" s="13">
        <v>11650.295</v>
      </c>
      <c r="M631" s="12">
        <v>130.40100000000001</v>
      </c>
      <c r="N631" s="12">
        <v>130.40100000000001</v>
      </c>
      <c r="O631" s="12">
        <v>43.758000000000003</v>
      </c>
      <c r="P631" s="12">
        <v>49</v>
      </c>
      <c r="Q631" s="12">
        <v>49</v>
      </c>
      <c r="R631" s="12">
        <v>44</v>
      </c>
    </row>
    <row r="632" spans="1:18" ht="17" customHeight="1" x14ac:dyDescent="0.15">
      <c r="A632" s="8" t="s">
        <v>3348</v>
      </c>
      <c r="B632" s="9" t="s">
        <v>3349</v>
      </c>
      <c r="C632" s="8" t="s">
        <v>3350</v>
      </c>
      <c r="D632" s="8" t="s">
        <v>3350</v>
      </c>
      <c r="E632" s="8" t="s">
        <v>3351</v>
      </c>
      <c r="F632" s="8" t="s">
        <v>3352</v>
      </c>
      <c r="G632" s="8" t="s">
        <v>3353</v>
      </c>
      <c r="H632" s="8" t="s">
        <v>3228</v>
      </c>
      <c r="I632" s="8" t="str">
        <f>HYPERLINK("http://mara-bini.it/","mara-bini.it")</f>
        <v>mara-bini.it</v>
      </c>
      <c r="J632" s="10">
        <v>7920.5280000000002</v>
      </c>
      <c r="K632" s="10">
        <v>7920.5280000000002</v>
      </c>
      <c r="L632" s="10">
        <v>11635.522999999999</v>
      </c>
      <c r="M632" s="10">
        <v>442.12099999999998</v>
      </c>
      <c r="N632" s="10">
        <v>442.12099999999998</v>
      </c>
      <c r="O632" s="10">
        <v>763.71900000000005</v>
      </c>
      <c r="P632" s="10">
        <v>28</v>
      </c>
      <c r="Q632" s="10">
        <v>28</v>
      </c>
      <c r="R632" s="10">
        <v>27</v>
      </c>
    </row>
    <row r="633" spans="1:18" ht="17" customHeight="1" x14ac:dyDescent="0.15">
      <c r="A633" s="11" t="s">
        <v>3354</v>
      </c>
      <c r="B633" s="1" t="s">
        <v>3355</v>
      </c>
      <c r="C633" s="11" t="s">
        <v>3356</v>
      </c>
      <c r="D633" s="11" t="s">
        <v>3356</v>
      </c>
      <c r="E633" s="11" t="s">
        <v>3357</v>
      </c>
      <c r="F633" s="11" t="s">
        <v>3241</v>
      </c>
      <c r="G633" s="11" t="s">
        <v>3325</v>
      </c>
      <c r="H633" s="11" t="s">
        <v>3228</v>
      </c>
      <c r="I633" s="11" t="str">
        <f>HYPERLINK("http://www.conceriabenetti.com/","http://www.conceriabenetti.com")</f>
        <v>http://www.conceriabenetti.com</v>
      </c>
      <c r="J633" s="12">
        <v>4944.7489999999998</v>
      </c>
      <c r="K633" s="12">
        <v>4944.7489999999998</v>
      </c>
      <c r="L633" s="13">
        <v>11620.975</v>
      </c>
      <c r="M633" s="12">
        <v>55.314</v>
      </c>
      <c r="N633" s="12">
        <v>55.314</v>
      </c>
      <c r="O633" s="12">
        <v>53.008000000000003</v>
      </c>
      <c r="P633" s="14" t="s">
        <v>3236</v>
      </c>
      <c r="Q633" s="14" t="s">
        <v>3236</v>
      </c>
      <c r="R633" s="12">
        <v>19</v>
      </c>
    </row>
    <row r="634" spans="1:18" ht="17" customHeight="1" x14ac:dyDescent="0.15">
      <c r="A634" s="8" t="s">
        <v>3358</v>
      </c>
      <c r="B634" s="9" t="s">
        <v>3359</v>
      </c>
      <c r="C634" s="8" t="s">
        <v>3360</v>
      </c>
      <c r="D634" s="8" t="s">
        <v>3360</v>
      </c>
      <c r="E634" s="8" t="s">
        <v>3361</v>
      </c>
      <c r="F634" s="8" t="s">
        <v>3306</v>
      </c>
      <c r="G634" s="8" t="s">
        <v>3362</v>
      </c>
      <c r="H634" s="8" t="s">
        <v>3270</v>
      </c>
      <c r="I634" s="8" t="str">
        <f>HYPERLINK("http://www.bengysrl.com/","www.bengysrl.com")</f>
        <v>www.bengysrl.com</v>
      </c>
      <c r="J634" s="10">
        <v>9144.66</v>
      </c>
      <c r="K634" s="10">
        <v>9144.66</v>
      </c>
      <c r="L634" s="10">
        <v>11603.492</v>
      </c>
      <c r="M634" s="10">
        <v>309.34800000000001</v>
      </c>
      <c r="N634" s="10">
        <v>309.34800000000001</v>
      </c>
      <c r="O634" s="10">
        <v>405.48399999999998</v>
      </c>
      <c r="P634" s="10">
        <v>26</v>
      </c>
      <c r="Q634" s="10">
        <v>26</v>
      </c>
      <c r="R634" s="10">
        <v>24</v>
      </c>
    </row>
    <row r="635" spans="1:18" ht="17" customHeight="1" x14ac:dyDescent="0.15">
      <c r="A635" s="11" t="s">
        <v>3363</v>
      </c>
      <c r="B635" s="1" t="s">
        <v>3364</v>
      </c>
      <c r="C635" s="11" t="s">
        <v>3365</v>
      </c>
      <c r="D635" s="11" t="s">
        <v>3366</v>
      </c>
      <c r="E635" s="11" t="s">
        <v>3367</v>
      </c>
      <c r="F635" s="11" t="s">
        <v>3248</v>
      </c>
      <c r="G635" s="11" t="s">
        <v>3368</v>
      </c>
      <c r="H635" s="11" t="s">
        <v>3257</v>
      </c>
      <c r="I635" s="11" t="str">
        <f>HYPERLINK("http://120percento.com/","120percento.com")</f>
        <v>120percento.com</v>
      </c>
      <c r="J635" s="12">
        <v>11790.476000000001</v>
      </c>
      <c r="K635" s="12">
        <v>11790.476000000001</v>
      </c>
      <c r="L635" s="13">
        <v>11595.474</v>
      </c>
      <c r="M635" s="12">
        <v>-584.06200000000001</v>
      </c>
      <c r="N635" s="12">
        <v>-584.06200000000001</v>
      </c>
      <c r="O635" s="12">
        <v>-196.88499999999999</v>
      </c>
      <c r="P635" s="12">
        <v>37</v>
      </c>
      <c r="Q635" s="12">
        <v>37</v>
      </c>
      <c r="R635" s="12">
        <v>34</v>
      </c>
    </row>
    <row r="636" spans="1:18" ht="17" customHeight="1" x14ac:dyDescent="0.15">
      <c r="A636" s="8" t="s">
        <v>3369</v>
      </c>
      <c r="B636" s="9" t="s">
        <v>3370</v>
      </c>
      <c r="C636" s="8" t="s">
        <v>3371</v>
      </c>
      <c r="D636" s="8" t="s">
        <v>3371</v>
      </c>
      <c r="E636" s="8" t="s">
        <v>3372</v>
      </c>
      <c r="F636" s="8" t="s">
        <v>3248</v>
      </c>
      <c r="G636" s="8" t="s">
        <v>3373</v>
      </c>
      <c r="H636" s="8" t="s">
        <v>3228</v>
      </c>
      <c r="I636" s="8" t="str">
        <f>HYPERLINK("http://www.pierco.it/","www.pierco.it")</f>
        <v>www.pierco.it</v>
      </c>
      <c r="J636" s="10">
        <v>16676.802</v>
      </c>
      <c r="K636" s="10">
        <v>16676.802</v>
      </c>
      <c r="L636" s="10">
        <v>11548.923000000001</v>
      </c>
      <c r="M636" s="10">
        <v>1912.7539999999999</v>
      </c>
      <c r="N636" s="10">
        <v>1912.7539999999999</v>
      </c>
      <c r="O636" s="10">
        <v>393.15899999999999</v>
      </c>
      <c r="P636" s="10">
        <v>111</v>
      </c>
      <c r="Q636" s="10">
        <v>111</v>
      </c>
      <c r="R636" s="10">
        <v>98</v>
      </c>
    </row>
    <row r="637" spans="1:18" ht="17" customHeight="1" x14ac:dyDescent="0.15">
      <c r="A637" s="11" t="s">
        <v>3374</v>
      </c>
      <c r="B637" s="1" t="s">
        <v>3375</v>
      </c>
      <c r="C637" s="11" t="s">
        <v>3376</v>
      </c>
      <c r="D637" s="11" t="s">
        <v>3376</v>
      </c>
      <c r="E637" s="11" t="s">
        <v>3377</v>
      </c>
      <c r="F637" s="11" t="s">
        <v>3378</v>
      </c>
      <c r="G637" s="11" t="s">
        <v>3275</v>
      </c>
      <c r="H637" s="11" t="s">
        <v>3243</v>
      </c>
      <c r="I637" s="11" t="str">
        <f>HYPERLINK("http://www.lafrassineti.it/","www.lafrassineti.it")</f>
        <v>www.lafrassineti.it</v>
      </c>
      <c r="J637" s="12">
        <v>13655.066999999999</v>
      </c>
      <c r="K637" s="12">
        <v>13655.066999999999</v>
      </c>
      <c r="L637" s="13">
        <v>11532.532999999999</v>
      </c>
      <c r="M637" s="12">
        <v>980.298</v>
      </c>
      <c r="N637" s="12">
        <v>980.298</v>
      </c>
      <c r="O637" s="12">
        <v>608.16999999999996</v>
      </c>
      <c r="P637" s="12">
        <v>73</v>
      </c>
      <c r="Q637" s="12">
        <v>73</v>
      </c>
      <c r="R637" s="12">
        <v>68</v>
      </c>
    </row>
    <row r="638" spans="1:18" ht="17" customHeight="1" x14ac:dyDescent="0.15">
      <c r="A638" s="8" t="s">
        <v>3379</v>
      </c>
      <c r="B638" s="9" t="s">
        <v>3380</v>
      </c>
      <c r="C638" s="8" t="s">
        <v>3381</v>
      </c>
      <c r="D638" s="8" t="s">
        <v>3381</v>
      </c>
      <c r="E638" s="8" t="s">
        <v>3382</v>
      </c>
      <c r="F638" s="8" t="s">
        <v>3315</v>
      </c>
      <c r="G638" s="8" t="s">
        <v>3383</v>
      </c>
      <c r="H638" s="8" t="s">
        <v>3235</v>
      </c>
      <c r="I638" s="8" t="str">
        <f>HYPERLINK("http://www.pointtricot.it/","www.pointtricot.it")</f>
        <v>www.pointtricot.it</v>
      </c>
      <c r="J638" s="10">
        <v>10262.305</v>
      </c>
      <c r="K638" s="10">
        <v>10262.305</v>
      </c>
      <c r="L638" s="10">
        <v>11511.526</v>
      </c>
      <c r="M638" s="10">
        <v>207.80600000000001</v>
      </c>
      <c r="N638" s="10">
        <v>207.80600000000001</v>
      </c>
      <c r="O638" s="10">
        <v>163.05600000000001</v>
      </c>
      <c r="P638" s="10">
        <v>52</v>
      </c>
      <c r="Q638" s="10">
        <v>52</v>
      </c>
      <c r="R638" s="10">
        <v>45</v>
      </c>
    </row>
    <row r="639" spans="1:18" ht="17" customHeight="1" x14ac:dyDescent="0.15">
      <c r="A639" s="11" t="s">
        <v>3384</v>
      </c>
      <c r="B639" s="1" t="s">
        <v>3385</v>
      </c>
      <c r="C639" s="11" t="s">
        <v>3386</v>
      </c>
      <c r="D639" s="11" t="s">
        <v>3386</v>
      </c>
      <c r="E639" s="11" t="s">
        <v>3387</v>
      </c>
      <c r="F639" s="11" t="s">
        <v>3306</v>
      </c>
      <c r="G639" s="11" t="s">
        <v>3269</v>
      </c>
      <c r="H639" s="11" t="s">
        <v>3270</v>
      </c>
      <c r="I639" s="11" t="str">
        <f>HYPERLINK("http://www.spsmanifatture.it/","www.spsmanifatture.it")</f>
        <v>www.spsmanifatture.it</v>
      </c>
      <c r="J639" s="12">
        <v>14949.413</v>
      </c>
      <c r="K639" s="12">
        <v>14949.413</v>
      </c>
      <c r="L639" s="13">
        <v>11504.805</v>
      </c>
      <c r="M639" s="12">
        <v>1899.7670000000001</v>
      </c>
      <c r="N639" s="12">
        <v>1899.7670000000001</v>
      </c>
      <c r="O639" s="12">
        <v>681.66800000000001</v>
      </c>
      <c r="P639" s="12">
        <v>57</v>
      </c>
      <c r="Q639" s="12">
        <v>57</v>
      </c>
      <c r="R639" s="12">
        <v>53</v>
      </c>
    </row>
    <row r="640" spans="1:18" ht="17" customHeight="1" x14ac:dyDescent="0.15">
      <c r="A640" s="8" t="s">
        <v>3388</v>
      </c>
      <c r="B640" s="9" t="s">
        <v>3389</v>
      </c>
      <c r="C640" s="8" t="s">
        <v>3390</v>
      </c>
      <c r="D640" s="8" t="s">
        <v>3390</v>
      </c>
      <c r="E640" s="8" t="s">
        <v>3391</v>
      </c>
      <c r="F640" s="8" t="s">
        <v>3315</v>
      </c>
      <c r="G640" s="8" t="s">
        <v>3256</v>
      </c>
      <c r="H640" s="8" t="s">
        <v>3257</v>
      </c>
      <c r="I640" s="8" t="str">
        <f>HYPERLINK("http://www.knitaly.eu/","www.knitaly.eu")</f>
        <v>www.knitaly.eu</v>
      </c>
      <c r="J640" s="10">
        <v>11519.415999999999</v>
      </c>
      <c r="K640" s="10">
        <v>11519.415999999999</v>
      </c>
      <c r="L640" s="10">
        <v>11500.938</v>
      </c>
      <c r="M640" s="10">
        <v>245.59399999999999</v>
      </c>
      <c r="N640" s="10">
        <v>245.59399999999999</v>
      </c>
      <c r="O640" s="10">
        <v>416.50099999999998</v>
      </c>
      <c r="P640" s="10">
        <v>23</v>
      </c>
      <c r="Q640" s="10">
        <v>23</v>
      </c>
      <c r="R640" s="10">
        <v>21</v>
      </c>
    </row>
    <row r="641" spans="1:18" ht="17" customHeight="1" x14ac:dyDescent="0.15">
      <c r="A641" s="11" t="s">
        <v>3392</v>
      </c>
      <c r="B641" s="1" t="s">
        <v>3393</v>
      </c>
      <c r="C641" s="11" t="s">
        <v>3394</v>
      </c>
      <c r="D641" s="11" t="s">
        <v>3394</v>
      </c>
      <c r="E641" s="11" t="s">
        <v>3395</v>
      </c>
      <c r="F641" s="11" t="s">
        <v>3396</v>
      </c>
      <c r="G641" s="11" t="s">
        <v>3397</v>
      </c>
      <c r="H641" s="11" t="s">
        <v>3398</v>
      </c>
      <c r="I641" s="11" t="str">
        <f>HYPERLINK("http://camaleonteconceria.it/","camaleonteconceria.it")</f>
        <v>camaleonteconceria.it</v>
      </c>
      <c r="J641" s="12">
        <v>5900.1970000000001</v>
      </c>
      <c r="K641" s="12">
        <v>5900.1970000000001</v>
      </c>
      <c r="L641" s="13">
        <v>11490.386</v>
      </c>
      <c r="M641" s="12">
        <v>-1450.835</v>
      </c>
      <c r="N641" s="12">
        <v>-1450.835</v>
      </c>
      <c r="O641" s="12">
        <v>113.797</v>
      </c>
      <c r="P641" s="12">
        <v>36</v>
      </c>
      <c r="Q641" s="12">
        <v>36</v>
      </c>
      <c r="R641" s="12">
        <v>44</v>
      </c>
    </row>
    <row r="642" spans="1:18" ht="17" customHeight="1" x14ac:dyDescent="0.15">
      <c r="A642" s="8" t="s">
        <v>3399</v>
      </c>
      <c r="B642" s="9" t="s">
        <v>3400</v>
      </c>
      <c r="C642" s="8" t="s">
        <v>3401</v>
      </c>
      <c r="D642" s="8" t="s">
        <v>3401</v>
      </c>
      <c r="E642" s="8" t="s">
        <v>3402</v>
      </c>
      <c r="F642" s="8" t="s">
        <v>3403</v>
      </c>
      <c r="G642" s="8" t="s">
        <v>3404</v>
      </c>
      <c r="H642" s="8" t="s">
        <v>3405</v>
      </c>
      <c r="I642" s="8" t="str">
        <f>HYPERLINK("http://www.maglificioinnocenti.it/","http://www.maglificioinnocenti.it")</f>
        <v>http://www.maglificioinnocenti.it</v>
      </c>
      <c r="J642" s="10">
        <v>11591.116</v>
      </c>
      <c r="K642" s="10">
        <v>11591.116</v>
      </c>
      <c r="L642" s="10">
        <v>11462.072</v>
      </c>
      <c r="M642" s="10">
        <v>1690.8209999999999</v>
      </c>
      <c r="N642" s="10">
        <v>1690.8209999999999</v>
      </c>
      <c r="O642" s="10">
        <v>1577.3910000000001</v>
      </c>
      <c r="P642" s="10">
        <v>96</v>
      </c>
      <c r="Q642" s="10">
        <v>96</v>
      </c>
      <c r="R642" s="10">
        <v>91</v>
      </c>
    </row>
    <row r="643" spans="1:18" ht="17" customHeight="1" x14ac:dyDescent="0.15">
      <c r="A643" s="11" t="s">
        <v>3406</v>
      </c>
      <c r="B643" s="1" t="s">
        <v>3407</v>
      </c>
      <c r="C643" s="11" t="s">
        <v>3408</v>
      </c>
      <c r="D643" s="11" t="s">
        <v>3408</v>
      </c>
      <c r="E643" s="11" t="s">
        <v>3409</v>
      </c>
      <c r="F643" s="11" t="s">
        <v>3410</v>
      </c>
      <c r="G643" s="11" t="s">
        <v>3411</v>
      </c>
      <c r="H643" s="11" t="s">
        <v>3398</v>
      </c>
      <c r="I643" s="11" t="str">
        <f>HYPERLINK("http://www.most-srl.com/","www.most-srl.com")</f>
        <v>www.most-srl.com</v>
      </c>
      <c r="J643" s="12">
        <v>10619.95</v>
      </c>
      <c r="K643" s="12">
        <v>10619.95</v>
      </c>
      <c r="L643" s="13">
        <v>11456.404</v>
      </c>
      <c r="M643" s="12">
        <v>65.581999999999994</v>
      </c>
      <c r="N643" s="12">
        <v>65.581999999999994</v>
      </c>
      <c r="O643" s="12">
        <v>749.76</v>
      </c>
      <c r="P643" s="12">
        <v>81</v>
      </c>
      <c r="Q643" s="12">
        <v>81</v>
      </c>
      <c r="R643" s="12">
        <v>76</v>
      </c>
    </row>
    <row r="644" spans="1:18" ht="17" customHeight="1" x14ac:dyDescent="0.15">
      <c r="A644" s="8" t="s">
        <v>3412</v>
      </c>
      <c r="B644" s="9" t="s">
        <v>3413</v>
      </c>
      <c r="C644" s="8" t="s">
        <v>3414</v>
      </c>
      <c r="D644" s="8" t="s">
        <v>3415</v>
      </c>
      <c r="E644" s="8" t="s">
        <v>3416</v>
      </c>
      <c r="F644" s="8" t="s">
        <v>3417</v>
      </c>
      <c r="G644" s="8" t="s">
        <v>3418</v>
      </c>
      <c r="H644" s="8" t="s">
        <v>3419</v>
      </c>
      <c r="I644" s="8" t="str">
        <f>HYPERLINK("http://www.brooksfield.com/","www.brooksfield.com")</f>
        <v>www.brooksfield.com</v>
      </c>
      <c r="J644" s="10">
        <v>11281.214</v>
      </c>
      <c r="K644" s="10">
        <v>11281.214</v>
      </c>
      <c r="L644" s="10">
        <v>11434.450999999999</v>
      </c>
      <c r="M644" s="10">
        <v>-2533.4169999999999</v>
      </c>
      <c r="N644" s="10">
        <v>-2533.4169999999999</v>
      </c>
      <c r="O644" s="10">
        <v>-2330.6370000000002</v>
      </c>
      <c r="P644" s="10">
        <v>55</v>
      </c>
      <c r="Q644" s="10">
        <v>55</v>
      </c>
      <c r="R644" s="10">
        <v>61</v>
      </c>
    </row>
    <row r="645" spans="1:18" ht="17" customHeight="1" x14ac:dyDescent="0.15">
      <c r="A645" s="11" t="s">
        <v>3420</v>
      </c>
      <c r="B645" s="1" t="s">
        <v>3421</v>
      </c>
      <c r="C645" s="11" t="s">
        <v>3422</v>
      </c>
      <c r="D645" s="11" t="s">
        <v>3422</v>
      </c>
      <c r="E645" s="11" t="s">
        <v>3423</v>
      </c>
      <c r="F645" s="11" t="s">
        <v>3424</v>
      </c>
      <c r="G645" s="11" t="s">
        <v>3404</v>
      </c>
      <c r="H645" s="11" t="s">
        <v>3405</v>
      </c>
      <c r="I645" s="11" t="str">
        <f>HYPERLINK("http://www.o-three.eu/","www.o-three.eu")</f>
        <v>www.o-three.eu</v>
      </c>
      <c r="J645" s="12">
        <v>14658.960999999999</v>
      </c>
      <c r="K645" s="12">
        <v>14658.960999999999</v>
      </c>
      <c r="L645" s="13">
        <v>11418.16</v>
      </c>
      <c r="M645" s="12">
        <v>57.207000000000001</v>
      </c>
      <c r="N645" s="12">
        <v>57.207000000000001</v>
      </c>
      <c r="O645" s="12">
        <v>229.488</v>
      </c>
      <c r="P645" s="12">
        <v>9</v>
      </c>
      <c r="Q645" s="12">
        <v>9</v>
      </c>
      <c r="R645" s="12">
        <v>8</v>
      </c>
    </row>
    <row r="646" spans="1:18" ht="17" customHeight="1" x14ac:dyDescent="0.15">
      <c r="A646" s="8" t="s">
        <v>3425</v>
      </c>
      <c r="B646" s="9" t="s">
        <v>3426</v>
      </c>
      <c r="C646" s="8" t="s">
        <v>3427</v>
      </c>
      <c r="D646" s="8" t="s">
        <v>3427</v>
      </c>
      <c r="E646" s="8" t="s">
        <v>3428</v>
      </c>
      <c r="F646" s="8" t="s">
        <v>3410</v>
      </c>
      <c r="G646" s="8" t="s">
        <v>3429</v>
      </c>
      <c r="H646" s="8" t="s">
        <v>3430</v>
      </c>
      <c r="I646" s="8" t="str">
        <f>HYPERLINK("http://www.orciani.com/","www.orciani.com")</f>
        <v>www.orciani.com</v>
      </c>
      <c r="J646" s="10">
        <v>11551.960999999999</v>
      </c>
      <c r="K646" s="10">
        <v>11551.960999999999</v>
      </c>
      <c r="L646" s="10">
        <v>11410.878000000001</v>
      </c>
      <c r="M646" s="10">
        <v>1381.6579999999999</v>
      </c>
      <c r="N646" s="10">
        <v>1381.6579999999999</v>
      </c>
      <c r="O646" s="10">
        <v>1073.3579999999999</v>
      </c>
      <c r="P646" s="10">
        <v>54</v>
      </c>
      <c r="Q646" s="10">
        <v>54</v>
      </c>
      <c r="R646" s="10">
        <v>54</v>
      </c>
    </row>
    <row r="647" spans="1:18" ht="17" customHeight="1" x14ac:dyDescent="0.15">
      <c r="A647" s="11" t="s">
        <v>3431</v>
      </c>
      <c r="B647" s="1" t="s">
        <v>3432</v>
      </c>
      <c r="C647" s="11" t="s">
        <v>3433</v>
      </c>
      <c r="D647" s="11" t="s">
        <v>3433</v>
      </c>
      <c r="E647" s="11" t="s">
        <v>3434</v>
      </c>
      <c r="F647" s="11" t="s">
        <v>3435</v>
      </c>
      <c r="G647" s="11" t="s">
        <v>3436</v>
      </c>
      <c r="H647" s="11" t="s">
        <v>3437</v>
      </c>
      <c r="I647" s="11" t="str">
        <f>HYPERLINK("http://www.cardinalini.com/","www.cardinalini.com")</f>
        <v>www.cardinalini.com</v>
      </c>
      <c r="J647" s="12">
        <v>15116.736000000001</v>
      </c>
      <c r="K647" s="12">
        <v>15116.736000000001</v>
      </c>
      <c r="L647" s="13">
        <v>11387.597</v>
      </c>
      <c r="M647" s="12">
        <v>2107.6060000000002</v>
      </c>
      <c r="N647" s="12">
        <v>2107.6060000000002</v>
      </c>
      <c r="O647" s="12">
        <v>1075.4649999999999</v>
      </c>
      <c r="P647" s="12">
        <v>103</v>
      </c>
      <c r="Q647" s="12">
        <v>103</v>
      </c>
      <c r="R647" s="12">
        <v>75</v>
      </c>
    </row>
    <row r="648" spans="1:18" ht="17" customHeight="1" x14ac:dyDescent="0.15">
      <c r="A648" s="8" t="s">
        <v>3438</v>
      </c>
      <c r="B648" s="9" t="s">
        <v>3439</v>
      </c>
      <c r="C648" s="8" t="s">
        <v>3440</v>
      </c>
      <c r="D648" s="8" t="s">
        <v>3440</v>
      </c>
      <c r="E648" s="8" t="s">
        <v>3441</v>
      </c>
      <c r="F648" s="8" t="s">
        <v>3442</v>
      </c>
      <c r="G648" s="8" t="s">
        <v>3443</v>
      </c>
      <c r="H648" s="8" t="s">
        <v>3444</v>
      </c>
      <c r="I648" s="8" t="str">
        <f>HYPERLINK("http://carlaferroni.it/","carlaferroni.it")</f>
        <v>carlaferroni.it</v>
      </c>
      <c r="J648" s="10">
        <v>11115.263999999999</v>
      </c>
      <c r="K648" s="10">
        <v>11115.263999999999</v>
      </c>
      <c r="L648" s="10">
        <v>11385.916999999999</v>
      </c>
      <c r="M648" s="10">
        <v>77.227000000000004</v>
      </c>
      <c r="N648" s="10">
        <v>77.227000000000004</v>
      </c>
      <c r="O648" s="10">
        <v>117.74299999999999</v>
      </c>
      <c r="P648" s="10">
        <v>22</v>
      </c>
      <c r="Q648" s="10">
        <v>22</v>
      </c>
      <c r="R648" s="10">
        <v>22</v>
      </c>
    </row>
    <row r="649" spans="1:18" ht="17" customHeight="1" x14ac:dyDescent="0.15">
      <c r="A649" s="11" t="s">
        <v>3445</v>
      </c>
      <c r="B649" s="1" t="s">
        <v>3446</v>
      </c>
      <c r="C649" s="11" t="s">
        <v>3447</v>
      </c>
      <c r="D649" s="11" t="s">
        <v>3447</v>
      </c>
      <c r="E649" s="11" t="s">
        <v>3448</v>
      </c>
      <c r="F649" s="11" t="s">
        <v>3449</v>
      </c>
      <c r="G649" s="11" t="s">
        <v>3450</v>
      </c>
      <c r="H649" s="11" t="s">
        <v>3451</v>
      </c>
      <c r="I649" s="11" t="str">
        <f>HYPERLINK("http://www.angelasrl.com/","www.angelasrl.com")</f>
        <v>www.angelasrl.com</v>
      </c>
      <c r="J649" s="12">
        <v>11354.289000000001</v>
      </c>
      <c r="K649" s="14" t="s">
        <v>3452</v>
      </c>
      <c r="L649" s="13">
        <v>11354.289000000001</v>
      </c>
      <c r="M649" s="12">
        <v>16.815000000000001</v>
      </c>
      <c r="N649" s="14" t="s">
        <v>3452</v>
      </c>
      <c r="O649" s="12">
        <v>16.815000000000001</v>
      </c>
      <c r="P649" s="12">
        <v>392</v>
      </c>
      <c r="Q649" s="14" t="s">
        <v>3452</v>
      </c>
      <c r="R649" s="12">
        <v>392</v>
      </c>
    </row>
    <row r="650" spans="1:18" ht="17" customHeight="1" x14ac:dyDescent="0.15">
      <c r="A650" s="8" t="s">
        <v>3453</v>
      </c>
      <c r="B650" s="9" t="s">
        <v>3454</v>
      </c>
      <c r="C650" s="8" t="s">
        <v>3455</v>
      </c>
      <c r="D650" s="8" t="s">
        <v>3455</v>
      </c>
      <c r="E650" s="8" t="s">
        <v>3456</v>
      </c>
      <c r="F650" s="8" t="s">
        <v>3424</v>
      </c>
      <c r="G650" s="8" t="s">
        <v>3457</v>
      </c>
      <c r="H650" s="8" t="s">
        <v>3458</v>
      </c>
      <c r="I650" s="8" t="str">
        <f>HYPERLINK("http://www.antoniofilograna.it/","www.antoniofilograna.it")</f>
        <v>www.antoniofilograna.it</v>
      </c>
      <c r="J650" s="10">
        <v>13759.111999999999</v>
      </c>
      <c r="K650" s="10">
        <v>13759.111999999999</v>
      </c>
      <c r="L650" s="10">
        <v>11352.72</v>
      </c>
      <c r="M650" s="10">
        <v>744.85699999999997</v>
      </c>
      <c r="N650" s="10">
        <v>744.85699999999997</v>
      </c>
      <c r="O650" s="10">
        <v>584.79399999999998</v>
      </c>
      <c r="P650" s="10">
        <v>293</v>
      </c>
      <c r="Q650" s="10">
        <v>293</v>
      </c>
      <c r="R650" s="10">
        <v>272</v>
      </c>
    </row>
    <row r="651" spans="1:18" ht="17" customHeight="1" x14ac:dyDescent="0.15">
      <c r="A651" s="11" t="s">
        <v>3459</v>
      </c>
      <c r="B651" s="1" t="s">
        <v>3460</v>
      </c>
      <c r="C651" s="11" t="s">
        <v>3461</v>
      </c>
      <c r="D651" s="11" t="s">
        <v>3461</v>
      </c>
      <c r="E651" s="11" t="s">
        <v>3462</v>
      </c>
      <c r="F651" s="11" t="s">
        <v>3396</v>
      </c>
      <c r="G651" s="11" t="s">
        <v>3463</v>
      </c>
      <c r="H651" s="11" t="s">
        <v>3405</v>
      </c>
      <c r="I651" s="11" t="str">
        <f>HYPERLINK("http://geatechsrl.it/","geatechsrl.it")</f>
        <v>geatechsrl.it</v>
      </c>
      <c r="J651" s="12">
        <v>10908.507</v>
      </c>
      <c r="K651" s="12">
        <v>10908.507</v>
      </c>
      <c r="L651" s="13">
        <v>11333.555</v>
      </c>
      <c r="M651" s="12">
        <v>88.17</v>
      </c>
      <c r="N651" s="12">
        <v>88.17</v>
      </c>
      <c r="O651" s="12">
        <v>145.09100000000001</v>
      </c>
      <c r="P651" s="12">
        <v>47</v>
      </c>
      <c r="Q651" s="12">
        <v>47</v>
      </c>
      <c r="R651" s="12">
        <v>48</v>
      </c>
    </row>
    <row r="652" spans="1:18" ht="17" customHeight="1" x14ac:dyDescent="0.15">
      <c r="A652" s="8" t="s">
        <v>3464</v>
      </c>
      <c r="B652" s="9" t="s">
        <v>3465</v>
      </c>
      <c r="C652" s="8" t="s">
        <v>3466</v>
      </c>
      <c r="D652" s="8" t="s">
        <v>3466</v>
      </c>
      <c r="E652" s="8" t="s">
        <v>3467</v>
      </c>
      <c r="F652" s="8" t="s">
        <v>3396</v>
      </c>
      <c r="G652" s="8" t="s">
        <v>3468</v>
      </c>
      <c r="H652" s="8" t="s">
        <v>3430</v>
      </c>
      <c r="I652" s="8" t="str">
        <f>HYPERLINK("http://www.trio-italia.it/","www.trio-italia.it")</f>
        <v>www.trio-italia.it</v>
      </c>
      <c r="J652" s="10">
        <v>8151.2240000000002</v>
      </c>
      <c r="K652" s="10">
        <v>8151.2240000000002</v>
      </c>
      <c r="L652" s="10">
        <v>11311.045</v>
      </c>
      <c r="M652" s="10">
        <v>344.529</v>
      </c>
      <c r="N652" s="10">
        <v>344.529</v>
      </c>
      <c r="O652" s="10">
        <v>434.95800000000003</v>
      </c>
      <c r="P652" s="10">
        <v>32</v>
      </c>
      <c r="Q652" s="10">
        <v>32</v>
      </c>
      <c r="R652" s="10">
        <v>33</v>
      </c>
    </row>
    <row r="653" spans="1:18" ht="17" customHeight="1" x14ac:dyDescent="0.15">
      <c r="A653" s="11" t="s">
        <v>3469</v>
      </c>
      <c r="B653" s="1" t="s">
        <v>3470</v>
      </c>
      <c r="C653" s="11" t="s">
        <v>3471</v>
      </c>
      <c r="D653" s="11" t="s">
        <v>3471</v>
      </c>
      <c r="E653" s="11" t="s">
        <v>3472</v>
      </c>
      <c r="F653" s="11" t="s">
        <v>3435</v>
      </c>
      <c r="G653" s="11" t="s">
        <v>3473</v>
      </c>
      <c r="H653" s="11" t="s">
        <v>3474</v>
      </c>
      <c r="I653" s="11" t="str">
        <f>HYPERLINK("http://www.bfbmaglieria.com/","www.bfbmaglieria.com")</f>
        <v>www.bfbmaglieria.com</v>
      </c>
      <c r="J653" s="12">
        <v>10961.620999999999</v>
      </c>
      <c r="K653" s="12">
        <v>10961.620999999999</v>
      </c>
      <c r="L653" s="13">
        <v>11295.498</v>
      </c>
      <c r="M653" s="12">
        <v>2228.02</v>
      </c>
      <c r="N653" s="12">
        <v>2228.02</v>
      </c>
      <c r="O653" s="12">
        <v>2171.9679999999998</v>
      </c>
      <c r="P653" s="12">
        <v>88</v>
      </c>
      <c r="Q653" s="12">
        <v>88</v>
      </c>
      <c r="R653" s="12">
        <v>82</v>
      </c>
    </row>
    <row r="654" spans="1:18" ht="17" customHeight="1" x14ac:dyDescent="0.15">
      <c r="A654" s="8" t="s">
        <v>3475</v>
      </c>
      <c r="B654" s="9" t="s">
        <v>3476</v>
      </c>
      <c r="C654" s="8" t="s">
        <v>3477</v>
      </c>
      <c r="D654" s="8" t="s">
        <v>3477</v>
      </c>
      <c r="E654" s="8" t="s">
        <v>3478</v>
      </c>
      <c r="F654" s="8" t="s">
        <v>3479</v>
      </c>
      <c r="G654" s="8" t="s">
        <v>3463</v>
      </c>
      <c r="H654" s="8" t="s">
        <v>3405</v>
      </c>
      <c r="I654" s="8" t="str">
        <f>HYPERLINK("http://www.erreplus.com/","www.erreplus.com")</f>
        <v>www.erreplus.com</v>
      </c>
      <c r="J654" s="10">
        <v>11514.763999999999</v>
      </c>
      <c r="K654" s="10">
        <v>11514.763999999999</v>
      </c>
      <c r="L654" s="10">
        <v>11289.073</v>
      </c>
      <c r="M654" s="10">
        <v>2479.8470000000002</v>
      </c>
      <c r="N654" s="10">
        <v>2479.8470000000002</v>
      </c>
      <c r="O654" s="10">
        <v>2157.12</v>
      </c>
      <c r="P654" s="10">
        <v>51</v>
      </c>
      <c r="Q654" s="10">
        <v>51</v>
      </c>
      <c r="R654" s="10">
        <v>50</v>
      </c>
    </row>
    <row r="655" spans="1:18" ht="17" customHeight="1" x14ac:dyDescent="0.15">
      <c r="A655" s="11" t="s">
        <v>3480</v>
      </c>
      <c r="B655" s="1" t="s">
        <v>3481</v>
      </c>
      <c r="C655" s="11" t="s">
        <v>3482</v>
      </c>
      <c r="D655" s="11" t="s">
        <v>3482</v>
      </c>
      <c r="E655" s="11" t="s">
        <v>3483</v>
      </c>
      <c r="F655" s="11" t="s">
        <v>3396</v>
      </c>
      <c r="G655" s="11" t="s">
        <v>3463</v>
      </c>
      <c r="H655" s="11" t="s">
        <v>3405</v>
      </c>
      <c r="I655" s="11" t="str">
        <f>HYPERLINK("http://www.conceriabelvedere.com/","http://www.conceriabelvedere.com")</f>
        <v>http://www.conceriabelvedere.com</v>
      </c>
      <c r="J655" s="12">
        <v>11776.554</v>
      </c>
      <c r="K655" s="12">
        <v>11776.554</v>
      </c>
      <c r="L655" s="13">
        <v>11280.041999999999</v>
      </c>
      <c r="M655" s="12">
        <v>1348.9480000000001</v>
      </c>
      <c r="N655" s="12">
        <v>1348.9480000000001</v>
      </c>
      <c r="O655" s="12">
        <v>945.75300000000004</v>
      </c>
      <c r="P655" s="12">
        <v>29</v>
      </c>
      <c r="Q655" s="12">
        <v>29</v>
      </c>
      <c r="R655" s="12">
        <v>27</v>
      </c>
    </row>
    <row r="656" spans="1:18" ht="17" customHeight="1" x14ac:dyDescent="0.15">
      <c r="A656" s="8" t="s">
        <v>3484</v>
      </c>
      <c r="B656" s="9" t="s">
        <v>3485</v>
      </c>
      <c r="C656" s="8" t="s">
        <v>3486</v>
      </c>
      <c r="D656" s="8" t="s">
        <v>3486</v>
      </c>
      <c r="E656" s="8" t="s">
        <v>3487</v>
      </c>
      <c r="F656" s="8" t="s">
        <v>3488</v>
      </c>
      <c r="G656" s="8" t="s">
        <v>3473</v>
      </c>
      <c r="H656" s="8" t="s">
        <v>3474</v>
      </c>
      <c r="I656" s="8" t="str">
        <f>HYPERLINK("http://www.condorpelli.it/","www.condorpelli.it")</f>
        <v>www.condorpelli.it</v>
      </c>
      <c r="J656" s="10">
        <v>13965.127</v>
      </c>
      <c r="K656" s="10">
        <v>13965.127</v>
      </c>
      <c r="L656" s="10">
        <v>11272.120999999999</v>
      </c>
      <c r="M656" s="10">
        <v>798.08100000000002</v>
      </c>
      <c r="N656" s="10">
        <v>798.08100000000002</v>
      </c>
      <c r="O656" s="10">
        <v>405.26900000000001</v>
      </c>
      <c r="P656" s="10">
        <v>25</v>
      </c>
      <c r="Q656" s="10">
        <v>25</v>
      </c>
      <c r="R656" s="10">
        <v>25</v>
      </c>
    </row>
    <row r="657" spans="1:18" ht="17" customHeight="1" x14ac:dyDescent="0.15">
      <c r="A657" s="11" t="s">
        <v>3489</v>
      </c>
      <c r="B657" s="1" t="s">
        <v>3490</v>
      </c>
      <c r="C657" s="11" t="s">
        <v>3491</v>
      </c>
      <c r="D657" s="11" t="s">
        <v>3491</v>
      </c>
      <c r="E657" s="11" t="s">
        <v>3492</v>
      </c>
      <c r="F657" s="11" t="s">
        <v>3424</v>
      </c>
      <c r="G657" s="11" t="s">
        <v>3468</v>
      </c>
      <c r="H657" s="11" t="s">
        <v>3430</v>
      </c>
      <c r="I657" s="11" t="str">
        <f>HYPERLINK("http://www.lunashoes.it/","www.lunashoes.it")</f>
        <v>www.lunashoes.it</v>
      </c>
      <c r="J657" s="12">
        <v>13723.773999999999</v>
      </c>
      <c r="K657" s="12">
        <v>13723.773999999999</v>
      </c>
      <c r="L657" s="13">
        <v>11238.111000000001</v>
      </c>
      <c r="M657" s="12">
        <v>1078.8030000000001</v>
      </c>
      <c r="N657" s="12">
        <v>1078.8030000000001</v>
      </c>
      <c r="O657" s="12">
        <v>792.596</v>
      </c>
      <c r="P657" s="14" t="s">
        <v>3452</v>
      </c>
      <c r="Q657" s="14" t="s">
        <v>3452</v>
      </c>
      <c r="R657" s="12">
        <v>92</v>
      </c>
    </row>
    <row r="658" spans="1:18" ht="17" customHeight="1" x14ac:dyDescent="0.15">
      <c r="A658" s="8" t="s">
        <v>3493</v>
      </c>
      <c r="B658" s="9" t="s">
        <v>3494</v>
      </c>
      <c r="C658" s="8" t="s">
        <v>3495</v>
      </c>
      <c r="D658" s="8" t="s">
        <v>3495</v>
      </c>
      <c r="E658" s="8" t="s">
        <v>3496</v>
      </c>
      <c r="F658" s="8" t="s">
        <v>3396</v>
      </c>
      <c r="G658" s="8" t="s">
        <v>3497</v>
      </c>
      <c r="H658" s="8" t="s">
        <v>3474</v>
      </c>
      <c r="I658" s="8" t="str">
        <f>HYPERLINK("http://prodottialfa.eu/","prodottialfa.eu")</f>
        <v>prodottialfa.eu</v>
      </c>
      <c r="J658" s="10">
        <v>8747.5650000000005</v>
      </c>
      <c r="K658" s="10">
        <v>8747.5650000000005</v>
      </c>
      <c r="L658" s="10">
        <v>11236.210999999999</v>
      </c>
      <c r="M658" s="10">
        <v>19.905000000000001</v>
      </c>
      <c r="N658" s="10">
        <v>19.905000000000001</v>
      </c>
      <c r="O658" s="10">
        <v>378.63900000000001</v>
      </c>
      <c r="P658" s="10">
        <v>58</v>
      </c>
      <c r="Q658" s="10">
        <v>58</v>
      </c>
      <c r="R658" s="10">
        <v>62</v>
      </c>
    </row>
    <row r="659" spans="1:18" ht="17" customHeight="1" x14ac:dyDescent="0.15">
      <c r="A659" s="11" t="s">
        <v>3498</v>
      </c>
      <c r="B659" s="1" t="s">
        <v>3499</v>
      </c>
      <c r="C659" s="11" t="s">
        <v>3500</v>
      </c>
      <c r="D659" s="11" t="s">
        <v>3500</v>
      </c>
      <c r="E659" s="11" t="s">
        <v>3501</v>
      </c>
      <c r="F659" s="11" t="s">
        <v>3442</v>
      </c>
      <c r="G659" s="11" t="s">
        <v>3502</v>
      </c>
      <c r="H659" s="11" t="s">
        <v>3503</v>
      </c>
      <c r="I659" s="11" t="str">
        <f>HYPERLINK("http://www.tescon.it/","www.tescon.it")</f>
        <v>www.tescon.it</v>
      </c>
      <c r="J659" s="12">
        <v>11347.296</v>
      </c>
      <c r="K659" s="12">
        <v>11347.296</v>
      </c>
      <c r="L659" s="13">
        <v>11216.4</v>
      </c>
      <c r="M659" s="12">
        <v>914.71199999999999</v>
      </c>
      <c r="N659" s="12">
        <v>914.71199999999999</v>
      </c>
      <c r="O659" s="12">
        <v>1199.942</v>
      </c>
      <c r="P659" s="12">
        <v>47</v>
      </c>
      <c r="Q659" s="12">
        <v>47</v>
      </c>
      <c r="R659" s="12">
        <v>47</v>
      </c>
    </row>
    <row r="660" spans="1:18" ht="17" customHeight="1" x14ac:dyDescent="0.15">
      <c r="A660" s="8" t="s">
        <v>3504</v>
      </c>
      <c r="B660" s="9" t="s">
        <v>3505</v>
      </c>
      <c r="C660" s="8" t="s">
        <v>3506</v>
      </c>
      <c r="D660" s="8" t="s">
        <v>3506</v>
      </c>
      <c r="E660" s="8" t="s">
        <v>3507</v>
      </c>
      <c r="F660" s="8" t="s">
        <v>3508</v>
      </c>
      <c r="G660" s="8" t="s">
        <v>3497</v>
      </c>
      <c r="H660" s="8" t="s">
        <v>3474</v>
      </c>
      <c r="I660" s="8" t="str">
        <f>HYPERLINK("http://www.stprotect.it/","www.stprotect.it")</f>
        <v>www.stprotect.it</v>
      </c>
      <c r="J660" s="10">
        <v>10136.761</v>
      </c>
      <c r="K660" s="10">
        <v>10136.761</v>
      </c>
      <c r="L660" s="10">
        <v>11213.208000000001</v>
      </c>
      <c r="M660" s="10">
        <v>11.262</v>
      </c>
      <c r="N660" s="10">
        <v>11.262</v>
      </c>
      <c r="O660" s="10">
        <v>166.64599999999999</v>
      </c>
      <c r="P660" s="10">
        <v>30</v>
      </c>
      <c r="Q660" s="10">
        <v>30</v>
      </c>
      <c r="R660" s="10">
        <v>26</v>
      </c>
    </row>
    <row r="661" spans="1:18" ht="17" customHeight="1" x14ac:dyDescent="0.15">
      <c r="A661" s="11" t="s">
        <v>3509</v>
      </c>
      <c r="B661" s="1" t="s">
        <v>3510</v>
      </c>
      <c r="C661" s="11" t="s">
        <v>3511</v>
      </c>
      <c r="D661" s="11" t="s">
        <v>3511</v>
      </c>
      <c r="E661" s="11" t="s">
        <v>3512</v>
      </c>
      <c r="F661" s="11" t="s">
        <v>3442</v>
      </c>
      <c r="G661" s="11" t="s">
        <v>3513</v>
      </c>
      <c r="H661" s="11" t="s">
        <v>3444</v>
      </c>
      <c r="I661" s="11" t="str">
        <f>HYPERLINK("http://www.kiton.it/","www.kiton.it")</f>
        <v>www.kiton.it</v>
      </c>
      <c r="J661" s="12">
        <v>12705.584000000001</v>
      </c>
      <c r="K661" s="12">
        <v>12705.584000000001</v>
      </c>
      <c r="L661" s="13">
        <v>11205.835999999999</v>
      </c>
      <c r="M661" s="12">
        <v>1000.9059999999999</v>
      </c>
      <c r="N661" s="12">
        <v>1000.9059999999999</v>
      </c>
      <c r="O661" s="12">
        <v>600.79300000000001</v>
      </c>
      <c r="P661" s="12">
        <v>30</v>
      </c>
      <c r="Q661" s="12">
        <v>30</v>
      </c>
      <c r="R661" s="12">
        <v>31</v>
      </c>
    </row>
    <row r="662" spans="1:18" ht="17" customHeight="1" x14ac:dyDescent="0.15">
      <c r="A662" s="8" t="s">
        <v>3514</v>
      </c>
      <c r="B662" s="9" t="s">
        <v>3515</v>
      </c>
      <c r="C662" s="8" t="s">
        <v>3516</v>
      </c>
      <c r="D662" s="8" t="s">
        <v>3516</v>
      </c>
      <c r="E662" s="8" t="s">
        <v>3517</v>
      </c>
      <c r="F662" s="8" t="s">
        <v>3410</v>
      </c>
      <c r="G662" s="8" t="s">
        <v>3450</v>
      </c>
      <c r="H662" s="8" t="s">
        <v>3451</v>
      </c>
      <c r="I662" s="8" t="str">
        <f>HYPERLINK("http://www.agbcompany.com/","www.agbcompany.com")</f>
        <v>www.agbcompany.com</v>
      </c>
      <c r="J662" s="10">
        <v>10538.661</v>
      </c>
      <c r="K662" s="10">
        <v>10538.661</v>
      </c>
      <c r="L662" s="10">
        <v>11180.335999999999</v>
      </c>
      <c r="M662" s="10">
        <v>15.137</v>
      </c>
      <c r="N662" s="10">
        <v>15.137</v>
      </c>
      <c r="O662" s="10">
        <v>80.584000000000003</v>
      </c>
      <c r="P662" s="10">
        <v>95</v>
      </c>
      <c r="Q662" s="10">
        <v>95</v>
      </c>
      <c r="R662" s="10">
        <v>96</v>
      </c>
    </row>
    <row r="663" spans="1:18" ht="17" customHeight="1" x14ac:dyDescent="0.15">
      <c r="A663" s="11" t="s">
        <v>3518</v>
      </c>
      <c r="B663" s="1" t="s">
        <v>3519</v>
      </c>
      <c r="C663" s="11" t="s">
        <v>3520</v>
      </c>
      <c r="D663" s="11" t="s">
        <v>3520</v>
      </c>
      <c r="E663" s="11" t="s">
        <v>3521</v>
      </c>
      <c r="F663" s="11" t="s">
        <v>3435</v>
      </c>
      <c r="G663" s="11" t="s">
        <v>3522</v>
      </c>
      <c r="H663" s="11" t="s">
        <v>3444</v>
      </c>
      <c r="I663" s="11" t="str">
        <f>HYPERLINK("http://www.angelicafashion.it/","www.angelicafashion.it")</f>
        <v>www.angelicafashion.it</v>
      </c>
      <c r="J663" s="12">
        <v>11866.804</v>
      </c>
      <c r="K663" s="12">
        <v>11866.804</v>
      </c>
      <c r="L663" s="13">
        <v>11159.856</v>
      </c>
      <c r="M663" s="12">
        <v>226.529</v>
      </c>
      <c r="N663" s="12">
        <v>226.529</v>
      </c>
      <c r="O663" s="12">
        <v>392.28899999999999</v>
      </c>
      <c r="P663" s="12">
        <v>21</v>
      </c>
      <c r="Q663" s="12">
        <v>21</v>
      </c>
      <c r="R663" s="12">
        <v>23</v>
      </c>
    </row>
    <row r="664" spans="1:18" ht="17" customHeight="1" x14ac:dyDescent="0.15">
      <c r="A664" s="8" t="s">
        <v>3523</v>
      </c>
      <c r="B664" s="9" t="s">
        <v>3524</v>
      </c>
      <c r="C664" s="8" t="s">
        <v>3525</v>
      </c>
      <c r="D664" s="8" t="s">
        <v>3525</v>
      </c>
      <c r="E664" s="8" t="s">
        <v>3526</v>
      </c>
      <c r="F664" s="8" t="s">
        <v>3435</v>
      </c>
      <c r="G664" s="8" t="s">
        <v>3404</v>
      </c>
      <c r="H664" s="8" t="s">
        <v>3405</v>
      </c>
      <c r="I664" s="8" t="str">
        <f>HYPERLINK("http://en.venturasrl.it/","en.venturasrl.it")</f>
        <v>en.venturasrl.it</v>
      </c>
      <c r="J664" s="10">
        <v>8964.9830000000002</v>
      </c>
      <c r="K664" s="10">
        <v>8964.9830000000002</v>
      </c>
      <c r="L664" s="10">
        <v>11149.319</v>
      </c>
      <c r="M664" s="10">
        <v>322.322</v>
      </c>
      <c r="N664" s="10">
        <v>322.322</v>
      </c>
      <c r="O664" s="10">
        <v>634.23699999999997</v>
      </c>
      <c r="P664" s="10">
        <v>13</v>
      </c>
      <c r="Q664" s="10">
        <v>13</v>
      </c>
      <c r="R664" s="10">
        <v>13</v>
      </c>
    </row>
    <row r="665" spans="1:18" ht="17" customHeight="1" x14ac:dyDescent="0.15">
      <c r="A665" s="11" t="s">
        <v>3527</v>
      </c>
      <c r="B665" s="1" t="s">
        <v>3528</v>
      </c>
      <c r="C665" s="11" t="s">
        <v>3529</v>
      </c>
      <c r="D665" s="11" t="s">
        <v>3529</v>
      </c>
      <c r="E665" s="11" t="s">
        <v>3530</v>
      </c>
      <c r="F665" s="11" t="s">
        <v>3410</v>
      </c>
      <c r="G665" s="11" t="s">
        <v>3531</v>
      </c>
      <c r="H665" s="11" t="s">
        <v>3430</v>
      </c>
      <c r="I665" s="11" t="str">
        <f>HYPERLINK("http://feelblue.it/","feelblue.it")</f>
        <v>feelblue.it</v>
      </c>
      <c r="J665" s="12">
        <v>10850.335999999999</v>
      </c>
      <c r="K665" s="12">
        <v>10850.335999999999</v>
      </c>
      <c r="L665" s="13">
        <v>11125.173000000001</v>
      </c>
      <c r="M665" s="12">
        <v>625.35900000000004</v>
      </c>
      <c r="N665" s="12">
        <v>625.35900000000004</v>
      </c>
      <c r="O665" s="12">
        <v>412.93400000000003</v>
      </c>
      <c r="P665" s="12">
        <v>34</v>
      </c>
      <c r="Q665" s="12">
        <v>34</v>
      </c>
      <c r="R665" s="12">
        <v>32</v>
      </c>
    </row>
    <row r="666" spans="1:18" ht="17" customHeight="1" x14ac:dyDescent="0.15">
      <c r="A666" s="8" t="s">
        <v>3532</v>
      </c>
      <c r="B666" s="9" t="s">
        <v>3533</v>
      </c>
      <c r="C666" s="8" t="s">
        <v>3534</v>
      </c>
      <c r="D666" s="8" t="s">
        <v>3534</v>
      </c>
      <c r="E666" s="8" t="s">
        <v>3535</v>
      </c>
      <c r="F666" s="8" t="s">
        <v>3403</v>
      </c>
      <c r="G666" s="8" t="s">
        <v>3536</v>
      </c>
      <c r="H666" s="8" t="s">
        <v>3444</v>
      </c>
      <c r="I666" s="8" t="str">
        <f>HYPERLINK("http://www.massrl.net/","www.massrl.net")</f>
        <v>www.massrl.net</v>
      </c>
      <c r="J666" s="10">
        <v>12158.503000000001</v>
      </c>
      <c r="K666" s="10">
        <v>12158.503000000001</v>
      </c>
      <c r="L666" s="10">
        <v>11103.659</v>
      </c>
      <c r="M666" s="10">
        <v>1931.252</v>
      </c>
      <c r="N666" s="10">
        <v>1931.252</v>
      </c>
      <c r="O666" s="10">
        <v>1185.3699999999999</v>
      </c>
      <c r="P666" s="10">
        <v>43</v>
      </c>
      <c r="Q666" s="10">
        <v>43</v>
      </c>
      <c r="R666" s="10">
        <v>40</v>
      </c>
    </row>
    <row r="667" spans="1:18" ht="17" customHeight="1" x14ac:dyDescent="0.15">
      <c r="A667" s="11" t="s">
        <v>3537</v>
      </c>
      <c r="B667" s="1" t="s">
        <v>3538</v>
      </c>
      <c r="C667" s="11" t="s">
        <v>3539</v>
      </c>
      <c r="D667" s="11" t="s">
        <v>3539</v>
      </c>
      <c r="E667" s="11" t="s">
        <v>3540</v>
      </c>
      <c r="F667" s="11" t="s">
        <v>3541</v>
      </c>
      <c r="G667" s="11" t="s">
        <v>3542</v>
      </c>
      <c r="H667" s="11" t="s">
        <v>3474</v>
      </c>
      <c r="I667" s="11" t="str">
        <f>HYPERLINK("http://bianconelly.it/","bianconelly.it")</f>
        <v>bianconelly.it</v>
      </c>
      <c r="J667" s="12">
        <v>9049.3330000000005</v>
      </c>
      <c r="K667" s="12">
        <v>9049.3330000000005</v>
      </c>
      <c r="L667" s="13">
        <v>11103.5</v>
      </c>
      <c r="M667" s="12">
        <v>1016.925</v>
      </c>
      <c r="N667" s="12">
        <v>1016.925</v>
      </c>
      <c r="O667" s="12">
        <v>482.73099999999999</v>
      </c>
      <c r="P667" s="12">
        <v>32</v>
      </c>
      <c r="Q667" s="12">
        <v>32</v>
      </c>
      <c r="R667" s="12">
        <v>30</v>
      </c>
    </row>
    <row r="668" spans="1:18" ht="17" customHeight="1" x14ac:dyDescent="0.15">
      <c r="A668" s="8" t="s">
        <v>3543</v>
      </c>
      <c r="B668" s="9" t="s">
        <v>3544</v>
      </c>
      <c r="C668" s="8" t="s">
        <v>3545</v>
      </c>
      <c r="D668" s="8" t="s">
        <v>3545</v>
      </c>
      <c r="E668" s="8" t="s">
        <v>3546</v>
      </c>
      <c r="F668" s="8" t="s">
        <v>3435</v>
      </c>
      <c r="G668" s="8" t="s">
        <v>3547</v>
      </c>
      <c r="H668" s="8" t="s">
        <v>3398</v>
      </c>
      <c r="I668" s="8" t="str">
        <f>HYPERLINK("http://floreymoda.com/","floreymoda.com")</f>
        <v>floreymoda.com</v>
      </c>
      <c r="J668" s="10">
        <v>10570.986999999999</v>
      </c>
      <c r="K668" s="10">
        <v>10570.986999999999</v>
      </c>
      <c r="L668" s="10">
        <v>11094.620999999999</v>
      </c>
      <c r="M668" s="10">
        <v>359.48399999999998</v>
      </c>
      <c r="N668" s="10">
        <v>359.48399999999998</v>
      </c>
      <c r="O668" s="10">
        <v>375.05500000000001</v>
      </c>
      <c r="P668" s="10">
        <v>13</v>
      </c>
      <c r="Q668" s="10">
        <v>13</v>
      </c>
      <c r="R668" s="10">
        <v>10</v>
      </c>
    </row>
    <row r="669" spans="1:18" ht="17" customHeight="1" x14ac:dyDescent="0.15">
      <c r="A669" s="11" t="s">
        <v>3548</v>
      </c>
      <c r="B669" s="1" t="s">
        <v>3549</v>
      </c>
      <c r="C669" s="11" t="s">
        <v>3550</v>
      </c>
      <c r="D669" s="11" t="s">
        <v>3550</v>
      </c>
      <c r="E669" s="11" t="s">
        <v>3551</v>
      </c>
      <c r="F669" s="11" t="s">
        <v>3435</v>
      </c>
      <c r="G669" s="11" t="s">
        <v>3473</v>
      </c>
      <c r="H669" s="11" t="s">
        <v>3474</v>
      </c>
      <c r="I669" s="11" t="str">
        <f>HYPERLINK("http://www.agnona.com/","www.agnona.com")</f>
        <v>www.agnona.com</v>
      </c>
      <c r="J669" s="12">
        <v>12025.22</v>
      </c>
      <c r="K669" s="12">
        <v>12025.22</v>
      </c>
      <c r="L669" s="13">
        <v>11081.045</v>
      </c>
      <c r="M669" s="12">
        <v>-3618.7660000000001</v>
      </c>
      <c r="N669" s="12">
        <v>-3618.7660000000001</v>
      </c>
      <c r="O669" s="12">
        <v>-2984.3890000000001</v>
      </c>
      <c r="P669" s="12">
        <v>53</v>
      </c>
      <c r="Q669" s="12">
        <v>53</v>
      </c>
      <c r="R669" s="12">
        <v>46</v>
      </c>
    </row>
    <row r="670" spans="1:18" ht="17" customHeight="1" x14ac:dyDescent="0.15">
      <c r="A670" s="8" t="s">
        <v>3552</v>
      </c>
      <c r="B670" s="9" t="s">
        <v>3553</v>
      </c>
      <c r="C670" s="8" t="s">
        <v>3554</v>
      </c>
      <c r="D670" s="8" t="s">
        <v>3554</v>
      </c>
      <c r="E670" s="8" t="s">
        <v>3555</v>
      </c>
      <c r="F670" s="8" t="s">
        <v>3435</v>
      </c>
      <c r="G670" s="8" t="s">
        <v>3463</v>
      </c>
      <c r="H670" s="8" t="s">
        <v>3405</v>
      </c>
      <c r="I670" s="8" t="str">
        <f>HYPERLINK("http://capehorn.it/","capehorn.it")</f>
        <v>capehorn.it</v>
      </c>
      <c r="J670" s="10">
        <v>11544.647999999999</v>
      </c>
      <c r="K670" s="10">
        <v>11544.647999999999</v>
      </c>
      <c r="L670" s="10">
        <v>11069.061</v>
      </c>
      <c r="M670" s="10">
        <v>515.625</v>
      </c>
      <c r="N670" s="10">
        <v>515.625</v>
      </c>
      <c r="O670" s="10">
        <v>281.69799999999998</v>
      </c>
      <c r="P670" s="10">
        <v>23</v>
      </c>
      <c r="Q670" s="10">
        <v>23</v>
      </c>
      <c r="R670" s="10">
        <v>22</v>
      </c>
    </row>
    <row r="671" spans="1:18" ht="17" customHeight="1" x14ac:dyDescent="0.15">
      <c r="A671" s="11" t="s">
        <v>3556</v>
      </c>
      <c r="B671" s="1" t="s">
        <v>3557</v>
      </c>
      <c r="C671" s="11" t="s">
        <v>3558</v>
      </c>
      <c r="D671" s="11" t="s">
        <v>3558</v>
      </c>
      <c r="E671" s="11" t="s">
        <v>3559</v>
      </c>
      <c r="F671" s="11" t="s">
        <v>3424</v>
      </c>
      <c r="G671" s="11" t="s">
        <v>3560</v>
      </c>
      <c r="H671" s="11" t="s">
        <v>3444</v>
      </c>
      <c r="I671" s="11" t="str">
        <f>HYPERLINK("http://giovagnolisrl.com/","giovagnolisrl.com")</f>
        <v>giovagnolisrl.com</v>
      </c>
      <c r="J671" s="12">
        <v>10656.968999999999</v>
      </c>
      <c r="K671" s="12">
        <v>10656.968999999999</v>
      </c>
      <c r="L671" s="13">
        <v>11057.59</v>
      </c>
      <c r="M671" s="12">
        <v>779.99099999999999</v>
      </c>
      <c r="N671" s="12">
        <v>779.99099999999999</v>
      </c>
      <c r="O671" s="12">
        <v>573.10799999999995</v>
      </c>
      <c r="P671" s="12">
        <v>71</v>
      </c>
      <c r="Q671" s="12">
        <v>71</v>
      </c>
      <c r="R671" s="12">
        <v>70</v>
      </c>
    </row>
    <row r="672" spans="1:18" ht="17" customHeight="1" x14ac:dyDescent="0.15">
      <c r="A672" s="8" t="s">
        <v>3561</v>
      </c>
      <c r="B672" s="9" t="s">
        <v>3562</v>
      </c>
      <c r="C672" s="8" t="s">
        <v>3563</v>
      </c>
      <c r="D672" s="8" t="s">
        <v>3563</v>
      </c>
      <c r="E672" s="8" t="s">
        <v>3564</v>
      </c>
      <c r="F672" s="8" t="s">
        <v>3442</v>
      </c>
      <c r="G672" s="8" t="s">
        <v>3565</v>
      </c>
      <c r="H672" s="8" t="s">
        <v>3405</v>
      </c>
      <c r="I672" s="8" t="str">
        <f>HYPERLINK("http://www.telarosa.com/","www.telarosa.com")</f>
        <v>www.telarosa.com</v>
      </c>
      <c r="J672" s="10">
        <v>8673.99</v>
      </c>
      <c r="K672" s="10">
        <v>8673.99</v>
      </c>
      <c r="L672" s="10">
        <v>11040.214</v>
      </c>
      <c r="M672" s="10">
        <v>-174.56200000000001</v>
      </c>
      <c r="N672" s="10">
        <v>-174.56200000000001</v>
      </c>
      <c r="O672" s="10">
        <v>181.70699999999999</v>
      </c>
      <c r="P672" s="10">
        <v>32</v>
      </c>
      <c r="Q672" s="10">
        <v>32</v>
      </c>
      <c r="R672" s="10">
        <v>32</v>
      </c>
    </row>
    <row r="673" spans="1:18" ht="17" customHeight="1" x14ac:dyDescent="0.15">
      <c r="A673" s="11" t="s">
        <v>3566</v>
      </c>
      <c r="B673" s="1" t="s">
        <v>3567</v>
      </c>
      <c r="C673" s="11" t="s">
        <v>3568</v>
      </c>
      <c r="D673" s="11" t="s">
        <v>3568</v>
      </c>
      <c r="E673" s="11" t="s">
        <v>3569</v>
      </c>
      <c r="F673" s="11" t="s">
        <v>3570</v>
      </c>
      <c r="G673" s="11" t="s">
        <v>3571</v>
      </c>
      <c r="H673" s="11" t="s">
        <v>3572</v>
      </c>
      <c r="I673" s="11" t="str">
        <f>HYPERLINK("http://www.texitalia.it/","www.texitalia.it")</f>
        <v>www.texitalia.it</v>
      </c>
      <c r="J673" s="12">
        <v>12109.347</v>
      </c>
      <c r="K673" s="12">
        <v>12109.347</v>
      </c>
      <c r="L673" s="13">
        <v>11023.004000000001</v>
      </c>
      <c r="M673" s="12">
        <v>956.41300000000001</v>
      </c>
      <c r="N673" s="12">
        <v>956.41300000000001</v>
      </c>
      <c r="O673" s="12">
        <v>521.47900000000004</v>
      </c>
      <c r="P673" s="12">
        <v>34</v>
      </c>
      <c r="Q673" s="12">
        <v>34</v>
      </c>
      <c r="R673" s="12">
        <v>34</v>
      </c>
    </row>
    <row r="674" spans="1:18" ht="29.5" customHeight="1" x14ac:dyDescent="0.15">
      <c r="A674" s="8" t="s">
        <v>3573</v>
      </c>
      <c r="B674" s="9" t="s">
        <v>3574</v>
      </c>
      <c r="C674" s="8" t="s">
        <v>3575</v>
      </c>
      <c r="D674" s="8" t="s">
        <v>3575</v>
      </c>
      <c r="E674" s="8" t="s">
        <v>3576</v>
      </c>
      <c r="F674" s="8" t="s">
        <v>3577</v>
      </c>
      <c r="G674" s="8" t="s">
        <v>3578</v>
      </c>
      <c r="H674" s="8" t="s">
        <v>3579</v>
      </c>
      <c r="I674" s="8" t="str">
        <f>HYPERLINK("http://www.leatherlinesrl.it/","www.leatherlinesrl.it")</f>
        <v>www.leatherlinesrl.it</v>
      </c>
      <c r="J674" s="10">
        <v>12998.116</v>
      </c>
      <c r="K674" s="10">
        <v>12998.116</v>
      </c>
      <c r="L674" s="10">
        <v>10992.941999999999</v>
      </c>
      <c r="M674" s="10">
        <v>57.142000000000003</v>
      </c>
      <c r="N674" s="10">
        <v>57.142000000000003</v>
      </c>
      <c r="O674" s="10">
        <v>53.805999999999997</v>
      </c>
      <c r="P674" s="10">
        <v>24</v>
      </c>
      <c r="Q674" s="10">
        <v>24</v>
      </c>
      <c r="R674" s="10">
        <v>25</v>
      </c>
    </row>
    <row r="675" spans="1:18" ht="17" customHeight="1" x14ac:dyDescent="0.15">
      <c r="A675" s="11" t="s">
        <v>3580</v>
      </c>
      <c r="B675" s="1" t="s">
        <v>3581</v>
      </c>
      <c r="C675" s="11" t="s">
        <v>3582</v>
      </c>
      <c r="D675" s="11" t="s">
        <v>3582</v>
      </c>
      <c r="E675" s="11" t="s">
        <v>3583</v>
      </c>
      <c r="F675" s="11" t="s">
        <v>3584</v>
      </c>
      <c r="G675" s="11" t="s">
        <v>3585</v>
      </c>
      <c r="H675" s="11" t="s">
        <v>3586</v>
      </c>
      <c r="I675" s="11" t="str">
        <f>HYPERLINK("http://www.manfraitalia.it/","www.manfraitalia.it")</f>
        <v>www.manfraitalia.it</v>
      </c>
      <c r="J675" s="12">
        <v>15573.581</v>
      </c>
      <c r="K675" s="12">
        <v>15573.581</v>
      </c>
      <c r="L675" s="13">
        <v>10983.644</v>
      </c>
      <c r="M675" s="12">
        <v>2826.5360000000001</v>
      </c>
      <c r="N675" s="12">
        <v>2826.5360000000001</v>
      </c>
      <c r="O675" s="12">
        <v>1361.96</v>
      </c>
      <c r="P675" s="12">
        <v>25</v>
      </c>
      <c r="Q675" s="12">
        <v>25</v>
      </c>
      <c r="R675" s="12">
        <v>26</v>
      </c>
    </row>
    <row r="676" spans="1:18" ht="17" customHeight="1" x14ac:dyDescent="0.15">
      <c r="A676" s="8" t="s">
        <v>3587</v>
      </c>
      <c r="B676" s="9" t="s">
        <v>3588</v>
      </c>
      <c r="C676" s="8" t="s">
        <v>3589</v>
      </c>
      <c r="D676" s="8" t="s">
        <v>3590</v>
      </c>
      <c r="E676" s="8" t="s">
        <v>3591</v>
      </c>
      <c r="F676" s="8" t="s">
        <v>3577</v>
      </c>
      <c r="G676" s="8" t="s">
        <v>3578</v>
      </c>
      <c r="H676" s="8" t="s">
        <v>3579</v>
      </c>
      <c r="I676" s="8" t="str">
        <f>HYPERLINK("http://www.thimeco.it/","www.thimeco.it")</f>
        <v>www.thimeco.it</v>
      </c>
      <c r="J676" s="10">
        <v>6447.89</v>
      </c>
      <c r="K676" s="10">
        <v>6447.89</v>
      </c>
      <c r="L676" s="10">
        <v>10969.976000000001</v>
      </c>
      <c r="M676" s="10">
        <v>-534.48299999999995</v>
      </c>
      <c r="N676" s="10">
        <v>-534.48299999999995</v>
      </c>
      <c r="O676" s="10">
        <v>-4057.7429999999999</v>
      </c>
      <c r="P676" s="10">
        <v>6</v>
      </c>
      <c r="Q676" s="10">
        <v>6</v>
      </c>
      <c r="R676" s="10">
        <v>10</v>
      </c>
    </row>
    <row r="677" spans="1:18" ht="17" customHeight="1" x14ac:dyDescent="0.15">
      <c r="A677" s="11" t="s">
        <v>3592</v>
      </c>
      <c r="B677" s="1" t="s">
        <v>3593</v>
      </c>
      <c r="C677" s="11" t="s">
        <v>3594</v>
      </c>
      <c r="D677" s="11" t="s">
        <v>3594</v>
      </c>
      <c r="E677" s="11" t="s">
        <v>3595</v>
      </c>
      <c r="F677" s="11" t="s">
        <v>3596</v>
      </c>
      <c r="G677" s="11" t="s">
        <v>3597</v>
      </c>
      <c r="H677" s="11" t="s">
        <v>3598</v>
      </c>
      <c r="I677" s="11" t="str">
        <f>HYPERLINK("http://www.canapecalzature.it/","www.canapecalzature.it")</f>
        <v>www.canapecalzature.it</v>
      </c>
      <c r="J677" s="12">
        <v>9860.8629999999994</v>
      </c>
      <c r="K677" s="12">
        <v>9860.8629999999994</v>
      </c>
      <c r="L677" s="13">
        <v>10933.002</v>
      </c>
      <c r="M677" s="12">
        <v>115.86799999999999</v>
      </c>
      <c r="N677" s="12">
        <v>115.86799999999999</v>
      </c>
      <c r="O677" s="12">
        <v>377.81700000000001</v>
      </c>
      <c r="P677" s="12">
        <v>58</v>
      </c>
      <c r="Q677" s="12">
        <v>58</v>
      </c>
      <c r="R677" s="12">
        <v>49</v>
      </c>
    </row>
    <row r="678" spans="1:18" ht="17" customHeight="1" x14ac:dyDescent="0.15">
      <c r="A678" s="8" t="s">
        <v>3599</v>
      </c>
      <c r="B678" s="9" t="s">
        <v>3600</v>
      </c>
      <c r="C678" s="8" t="s">
        <v>3601</v>
      </c>
      <c r="D678" s="8" t="s">
        <v>3601</v>
      </c>
      <c r="E678" s="8" t="s">
        <v>3602</v>
      </c>
      <c r="F678" s="8" t="s">
        <v>3596</v>
      </c>
      <c r="G678" s="8" t="s">
        <v>3603</v>
      </c>
      <c r="H678" s="8" t="s">
        <v>3604</v>
      </c>
      <c r="I678" s="8" t="str">
        <f>HYPERLINK("http://www.ilariasrl.com/","www.ilariasrl.com")</f>
        <v>www.ilariasrl.com</v>
      </c>
      <c r="J678" s="10">
        <v>9899.8680000000004</v>
      </c>
      <c r="K678" s="10">
        <v>9899.8680000000004</v>
      </c>
      <c r="L678" s="10">
        <v>10879.927</v>
      </c>
      <c r="M678" s="10">
        <v>457.572</v>
      </c>
      <c r="N678" s="10">
        <v>457.572</v>
      </c>
      <c r="O678" s="10">
        <v>485.459</v>
      </c>
      <c r="P678" s="10">
        <v>45</v>
      </c>
      <c r="Q678" s="10">
        <v>45</v>
      </c>
      <c r="R678" s="10">
        <v>45</v>
      </c>
    </row>
    <row r="679" spans="1:18" ht="17" customHeight="1" x14ac:dyDescent="0.15">
      <c r="A679" s="11" t="s">
        <v>3605</v>
      </c>
      <c r="B679" s="1" t="s">
        <v>3606</v>
      </c>
      <c r="C679" s="11" t="s">
        <v>3607</v>
      </c>
      <c r="D679" s="11" t="s">
        <v>3607</v>
      </c>
      <c r="E679" s="11" t="s">
        <v>3608</v>
      </c>
      <c r="F679" s="11" t="s">
        <v>3584</v>
      </c>
      <c r="G679" s="11" t="s">
        <v>3609</v>
      </c>
      <c r="H679" s="11" t="s">
        <v>3604</v>
      </c>
      <c r="I679" s="11" t="str">
        <f>HYPERLINK("http://malo.it/","malo.it")</f>
        <v>malo.it</v>
      </c>
      <c r="J679" s="12">
        <v>11002.306</v>
      </c>
      <c r="K679" s="12">
        <v>11002.306</v>
      </c>
      <c r="L679" s="13">
        <v>10876.173000000001</v>
      </c>
      <c r="M679" s="12">
        <v>1227.098</v>
      </c>
      <c r="N679" s="12">
        <v>1227.098</v>
      </c>
      <c r="O679" s="12">
        <v>-33.561999999999998</v>
      </c>
      <c r="P679" s="12">
        <v>92</v>
      </c>
      <c r="Q679" s="12">
        <v>92</v>
      </c>
      <c r="R679" s="12">
        <v>102</v>
      </c>
    </row>
    <row r="680" spans="1:18" ht="17" customHeight="1" x14ac:dyDescent="0.15">
      <c r="A680" s="8" t="s">
        <v>3610</v>
      </c>
      <c r="B680" s="9" t="s">
        <v>3611</v>
      </c>
      <c r="C680" s="8" t="s">
        <v>3612</v>
      </c>
      <c r="D680" s="8" t="s">
        <v>3612</v>
      </c>
      <c r="E680" s="8" t="s">
        <v>3613</v>
      </c>
      <c r="F680" s="8" t="s">
        <v>3614</v>
      </c>
      <c r="G680" s="8" t="s">
        <v>3615</v>
      </c>
      <c r="H680" s="8" t="s">
        <v>3616</v>
      </c>
      <c r="I680" s="8" t="str">
        <f>HYPERLINK("http://www.st-santandrea.it/","www.st-santandrea.it")</f>
        <v>www.st-santandrea.it</v>
      </c>
      <c r="J680" s="10">
        <v>13383.915999999999</v>
      </c>
      <c r="K680" s="10">
        <v>13383.915999999999</v>
      </c>
      <c r="L680" s="10">
        <v>10868.816000000001</v>
      </c>
      <c r="M680" s="10">
        <v>560.95399999999995</v>
      </c>
      <c r="N680" s="10">
        <v>560.95399999999995</v>
      </c>
      <c r="O680" s="10">
        <v>607.91099999999994</v>
      </c>
      <c r="P680" s="10">
        <v>209</v>
      </c>
      <c r="Q680" s="10">
        <v>209</v>
      </c>
      <c r="R680" s="10">
        <v>183</v>
      </c>
    </row>
    <row r="681" spans="1:18" ht="17" customHeight="1" x14ac:dyDescent="0.15">
      <c r="A681" s="11" t="s">
        <v>3617</v>
      </c>
      <c r="B681" s="1" t="s">
        <v>3618</v>
      </c>
      <c r="C681" s="11" t="s">
        <v>3619</v>
      </c>
      <c r="D681" s="11" t="s">
        <v>3619</v>
      </c>
      <c r="E681" s="11" t="s">
        <v>3620</v>
      </c>
      <c r="F681" s="11" t="s">
        <v>3614</v>
      </c>
      <c r="G681" s="11" t="s">
        <v>3578</v>
      </c>
      <c r="H681" s="11" t="s">
        <v>3579</v>
      </c>
      <c r="I681" s="11" t="str">
        <f>HYPERLINK("http://www.gasjeans.it/","www.gasjeans.it")</f>
        <v>www.gasjeans.it</v>
      </c>
      <c r="J681" s="12">
        <v>0</v>
      </c>
      <c r="K681" s="12">
        <v>0</v>
      </c>
      <c r="L681" s="13">
        <v>10857.11</v>
      </c>
      <c r="M681" s="12">
        <v>-332.50400000000002</v>
      </c>
      <c r="N681" s="12">
        <v>-332.50400000000002</v>
      </c>
      <c r="O681" s="12">
        <v>42076.487000000001</v>
      </c>
      <c r="P681" s="14" t="s">
        <v>3621</v>
      </c>
      <c r="Q681" s="14" t="s">
        <v>3621</v>
      </c>
      <c r="R681" s="12">
        <v>35</v>
      </c>
    </row>
    <row r="682" spans="1:18" ht="17" customHeight="1" x14ac:dyDescent="0.15">
      <c r="A682" s="8" t="s">
        <v>3622</v>
      </c>
      <c r="B682" s="9" t="s">
        <v>3623</v>
      </c>
      <c r="C682" s="8" t="s">
        <v>3624</v>
      </c>
      <c r="D682" s="8" t="s">
        <v>3624</v>
      </c>
      <c r="E682" s="8" t="s">
        <v>3625</v>
      </c>
      <c r="F682" s="8" t="s">
        <v>3584</v>
      </c>
      <c r="G682" s="8" t="s">
        <v>3626</v>
      </c>
      <c r="H682" s="8" t="s">
        <v>3627</v>
      </c>
      <c r="I682" s="8" t="str">
        <f>HYPERLINK("http://ombrettasrl.com/","ombrettasrl.com")</f>
        <v>ombrettasrl.com</v>
      </c>
      <c r="J682" s="10">
        <v>11815.861000000001</v>
      </c>
      <c r="K682" s="10">
        <v>11815.861000000001</v>
      </c>
      <c r="L682" s="10">
        <v>10855.882</v>
      </c>
      <c r="M682" s="10">
        <v>197.65799999999999</v>
      </c>
      <c r="N682" s="10">
        <v>197.65799999999999</v>
      </c>
      <c r="O682" s="10">
        <v>336.76799999999997</v>
      </c>
      <c r="P682" s="10">
        <v>27</v>
      </c>
      <c r="Q682" s="10">
        <v>27</v>
      </c>
      <c r="R682" s="10">
        <v>32</v>
      </c>
    </row>
    <row r="683" spans="1:18" ht="17" customHeight="1" x14ac:dyDescent="0.15">
      <c r="A683" s="11" t="s">
        <v>3628</v>
      </c>
      <c r="B683" s="1" t="s">
        <v>3629</v>
      </c>
      <c r="C683" s="11" t="s">
        <v>3630</v>
      </c>
      <c r="D683" s="11" t="s">
        <v>3630</v>
      </c>
      <c r="E683" s="11" t="s">
        <v>3631</v>
      </c>
      <c r="F683" s="11" t="s">
        <v>3570</v>
      </c>
      <c r="G683" s="11" t="s">
        <v>3632</v>
      </c>
      <c r="H683" s="11" t="s">
        <v>3586</v>
      </c>
      <c r="I683" s="11" t="str">
        <f>HYPERLINK("http://shop.pierantoniogaspari.com/","shop.pierantoniogaspari.com")</f>
        <v>shop.pierantoniogaspari.com</v>
      </c>
      <c r="J683" s="12">
        <v>13273.439</v>
      </c>
      <c r="K683" s="12">
        <v>13273.439</v>
      </c>
      <c r="L683" s="13">
        <v>10841.812</v>
      </c>
      <c r="M683" s="12">
        <v>2647</v>
      </c>
      <c r="N683" s="12">
        <v>2647</v>
      </c>
      <c r="O683" s="12">
        <v>1958.2860000000001</v>
      </c>
      <c r="P683" s="12">
        <v>31</v>
      </c>
      <c r="Q683" s="12">
        <v>31</v>
      </c>
      <c r="R683" s="12">
        <v>31</v>
      </c>
    </row>
    <row r="684" spans="1:18" ht="17" customHeight="1" x14ac:dyDescent="0.15">
      <c r="A684" s="8" t="s">
        <v>3633</v>
      </c>
      <c r="B684" s="9" t="s">
        <v>3634</v>
      </c>
      <c r="C684" s="8" t="s">
        <v>3635</v>
      </c>
      <c r="D684" s="8" t="s">
        <v>3636</v>
      </c>
      <c r="E684" s="8" t="s">
        <v>3637</v>
      </c>
      <c r="F684" s="8" t="s">
        <v>3638</v>
      </c>
      <c r="G684" s="8" t="s">
        <v>3639</v>
      </c>
      <c r="H684" s="8" t="s">
        <v>3640</v>
      </c>
      <c r="I684" s="8" t="str">
        <f>HYPERLINK("http://www.reversesrl.com/","www.reversesrl.com")</f>
        <v>www.reversesrl.com</v>
      </c>
      <c r="J684" s="10">
        <v>8521.107</v>
      </c>
      <c r="K684" s="10">
        <v>8521.107</v>
      </c>
      <c r="L684" s="10">
        <v>10831.184999999999</v>
      </c>
      <c r="M684" s="10">
        <v>421.90199999999999</v>
      </c>
      <c r="N684" s="10">
        <v>421.90199999999999</v>
      </c>
      <c r="O684" s="10">
        <v>676.66200000000003</v>
      </c>
      <c r="P684" s="10">
        <v>19</v>
      </c>
      <c r="Q684" s="10">
        <v>19</v>
      </c>
      <c r="R684" s="10">
        <v>19</v>
      </c>
    </row>
    <row r="685" spans="1:18" ht="29.5" customHeight="1" x14ac:dyDescent="0.15">
      <c r="A685" s="11" t="s">
        <v>3641</v>
      </c>
      <c r="B685" s="1" t="s">
        <v>3642</v>
      </c>
      <c r="C685" s="11" t="s">
        <v>3643</v>
      </c>
      <c r="D685" s="11" t="s">
        <v>3643</v>
      </c>
      <c r="E685" s="11" t="s">
        <v>3644</v>
      </c>
      <c r="F685" s="11" t="s">
        <v>3584</v>
      </c>
      <c r="G685" s="11" t="s">
        <v>3615</v>
      </c>
      <c r="H685" s="11" t="s">
        <v>3616</v>
      </c>
      <c r="I685" s="11" t="str">
        <f>HYPERLINK("http://officina36.com/","officina36.com")</f>
        <v>officina36.com</v>
      </c>
      <c r="J685" s="12">
        <v>11387.954</v>
      </c>
      <c r="K685" s="12">
        <v>11387.954</v>
      </c>
      <c r="L685" s="13">
        <v>10813.793</v>
      </c>
      <c r="M685" s="12">
        <v>81.204999999999998</v>
      </c>
      <c r="N685" s="12">
        <v>81.204999999999998</v>
      </c>
      <c r="O685" s="12">
        <v>69.284999999999997</v>
      </c>
      <c r="P685" s="12">
        <v>42</v>
      </c>
      <c r="Q685" s="12">
        <v>42</v>
      </c>
      <c r="R685" s="12">
        <v>42</v>
      </c>
    </row>
    <row r="686" spans="1:18" ht="29.5" customHeight="1" x14ac:dyDescent="0.15">
      <c r="A686" s="8" t="s">
        <v>3645</v>
      </c>
      <c r="B686" s="9" t="s">
        <v>3646</v>
      </c>
      <c r="C686" s="8" t="s">
        <v>3647</v>
      </c>
      <c r="D686" s="8" t="s">
        <v>3647</v>
      </c>
      <c r="E686" s="8" t="s">
        <v>3648</v>
      </c>
      <c r="F686" s="8" t="s">
        <v>3577</v>
      </c>
      <c r="G686" s="8" t="s">
        <v>3649</v>
      </c>
      <c r="H686" s="8" t="s">
        <v>3604</v>
      </c>
      <c r="I686" s="8" t="str">
        <f>HYPERLINK("http://www.conceriabertini.it/","www.conceriabertini.it")</f>
        <v>www.conceriabertini.it</v>
      </c>
      <c r="J686" s="10">
        <v>8597.2260000000006</v>
      </c>
      <c r="K686" s="10">
        <v>8597.2260000000006</v>
      </c>
      <c r="L686" s="10">
        <v>10786.59</v>
      </c>
      <c r="M686" s="10">
        <v>201.988</v>
      </c>
      <c r="N686" s="10">
        <v>201.988</v>
      </c>
      <c r="O686" s="10">
        <v>240.346</v>
      </c>
      <c r="P686" s="10">
        <v>11</v>
      </c>
      <c r="Q686" s="10">
        <v>11</v>
      </c>
      <c r="R686" s="10">
        <v>10</v>
      </c>
    </row>
    <row r="687" spans="1:18" ht="17" customHeight="1" x14ac:dyDescent="0.15">
      <c r="A687" s="11" t="s">
        <v>3650</v>
      </c>
      <c r="B687" s="1" t="s">
        <v>3651</v>
      </c>
      <c r="C687" s="11" t="s">
        <v>3652</v>
      </c>
      <c r="D687" s="11" t="s">
        <v>3652</v>
      </c>
      <c r="E687" s="11" t="s">
        <v>3653</v>
      </c>
      <c r="F687" s="11" t="s">
        <v>3570</v>
      </c>
      <c r="G687" s="11" t="s">
        <v>3654</v>
      </c>
      <c r="H687" s="11" t="s">
        <v>3604</v>
      </c>
      <c r="I687" s="11" t="str">
        <f>HYPERLINK("http://www.diana.studio/","www.diana.studio")</f>
        <v>www.diana.studio</v>
      </c>
      <c r="J687" s="12">
        <v>5055.6130000000003</v>
      </c>
      <c r="K687" s="12">
        <v>5055.6130000000003</v>
      </c>
      <c r="L687" s="13">
        <v>10753.011</v>
      </c>
      <c r="M687" s="12">
        <v>-295.02300000000002</v>
      </c>
      <c r="N687" s="12">
        <v>-295.02300000000002</v>
      </c>
      <c r="O687" s="12">
        <v>-744.91300000000001</v>
      </c>
      <c r="P687" s="12">
        <v>15</v>
      </c>
      <c r="Q687" s="12">
        <v>15</v>
      </c>
      <c r="R687" s="12">
        <v>17</v>
      </c>
    </row>
    <row r="688" spans="1:18" ht="17" customHeight="1" x14ac:dyDescent="0.15">
      <c r="A688" s="8" t="s">
        <v>3655</v>
      </c>
      <c r="B688" s="9" t="s">
        <v>3656</v>
      </c>
      <c r="C688" s="8" t="s">
        <v>3657</v>
      </c>
      <c r="D688" s="8" t="s">
        <v>3657</v>
      </c>
      <c r="E688" s="8" t="s">
        <v>3658</v>
      </c>
      <c r="F688" s="8" t="s">
        <v>3570</v>
      </c>
      <c r="G688" s="8" t="s">
        <v>3639</v>
      </c>
      <c r="H688" s="8" t="s">
        <v>3640</v>
      </c>
      <c r="I688" s="8" t="str">
        <f>HYPERLINK("http://www.02tandem.it/","www.02tandem.it")</f>
        <v>www.02tandem.it</v>
      </c>
      <c r="J688" s="10">
        <v>9019.0149999999994</v>
      </c>
      <c r="K688" s="10">
        <v>9019.0149999999994</v>
      </c>
      <c r="L688" s="10">
        <v>10745.8</v>
      </c>
      <c r="M688" s="10">
        <v>457.36799999999999</v>
      </c>
      <c r="N688" s="10">
        <v>457.36799999999999</v>
      </c>
      <c r="O688" s="10">
        <v>452.58499999999998</v>
      </c>
      <c r="P688" s="10">
        <v>13</v>
      </c>
      <c r="Q688" s="10">
        <v>13</v>
      </c>
      <c r="R688" s="10">
        <v>14</v>
      </c>
    </row>
    <row r="689" spans="1:18" ht="17" customHeight="1" x14ac:dyDescent="0.15">
      <c r="A689" s="11" t="s">
        <v>3659</v>
      </c>
      <c r="B689" s="1" t="s">
        <v>3660</v>
      </c>
      <c r="C689" s="11" t="s">
        <v>3661</v>
      </c>
      <c r="D689" s="11" t="s">
        <v>3661</v>
      </c>
      <c r="E689" s="11" t="s">
        <v>3662</v>
      </c>
      <c r="F689" s="11" t="s">
        <v>3584</v>
      </c>
      <c r="G689" s="11" t="s">
        <v>3626</v>
      </c>
      <c r="H689" s="11" t="s">
        <v>3627</v>
      </c>
      <c r="I689" s="11" t="str">
        <f>HYPERLINK("http://www.folliesgroup.it/","www.folliesgroup.it")</f>
        <v>www.folliesgroup.it</v>
      </c>
      <c r="J689" s="12">
        <v>9629.9670000000006</v>
      </c>
      <c r="K689" s="12">
        <v>9629.9670000000006</v>
      </c>
      <c r="L689" s="13">
        <v>10721.757</v>
      </c>
      <c r="M689" s="12">
        <v>107.03400000000001</v>
      </c>
      <c r="N689" s="12">
        <v>107.03400000000001</v>
      </c>
      <c r="O689" s="12">
        <v>133.32400000000001</v>
      </c>
      <c r="P689" s="12">
        <v>37</v>
      </c>
      <c r="Q689" s="12">
        <v>37</v>
      </c>
      <c r="R689" s="12">
        <v>35</v>
      </c>
    </row>
    <row r="690" spans="1:18" ht="29.5" customHeight="1" x14ac:dyDescent="0.15">
      <c r="A690" s="8" t="s">
        <v>3663</v>
      </c>
      <c r="B690" s="9" t="s">
        <v>3664</v>
      </c>
      <c r="C690" s="8" t="s">
        <v>3665</v>
      </c>
      <c r="D690" s="8" t="s">
        <v>3665</v>
      </c>
      <c r="E690" s="8" t="s">
        <v>3666</v>
      </c>
      <c r="F690" s="8" t="s">
        <v>3584</v>
      </c>
      <c r="G690" s="8" t="s">
        <v>3667</v>
      </c>
      <c r="H690" s="8" t="s">
        <v>3640</v>
      </c>
      <c r="I690" s="8" t="str">
        <f>HYPERLINK("http://us.duvetica.com/","us.duvetica.com")</f>
        <v>us.duvetica.com</v>
      </c>
      <c r="J690" s="10">
        <v>9207.1119999999992</v>
      </c>
      <c r="K690" s="10">
        <v>9207.1119999999992</v>
      </c>
      <c r="L690" s="10">
        <v>10710.86</v>
      </c>
      <c r="M690" s="10">
        <v>15879.525</v>
      </c>
      <c r="N690" s="10">
        <v>15879.525</v>
      </c>
      <c r="O690" s="10">
        <v>-3321.5659999999998</v>
      </c>
      <c r="P690" s="10">
        <v>16</v>
      </c>
      <c r="Q690" s="10">
        <v>16</v>
      </c>
      <c r="R690" s="10">
        <v>18</v>
      </c>
    </row>
    <row r="691" spans="1:18" ht="17" customHeight="1" x14ac:dyDescent="0.15">
      <c r="A691" s="11" t="s">
        <v>3668</v>
      </c>
      <c r="B691" s="1" t="s">
        <v>3669</v>
      </c>
      <c r="C691" s="11" t="s">
        <v>3670</v>
      </c>
      <c r="D691" s="11" t="s">
        <v>3670</v>
      </c>
      <c r="E691" s="11" t="s">
        <v>3671</v>
      </c>
      <c r="F691" s="11" t="s">
        <v>3584</v>
      </c>
      <c r="G691" s="11" t="s">
        <v>3672</v>
      </c>
      <c r="H691" s="11" t="s">
        <v>3598</v>
      </c>
      <c r="I691" s="11" t="str">
        <f>HYPERLINK("http://gimel.it/","gimel.it")</f>
        <v>gimel.it</v>
      </c>
      <c r="J691" s="12">
        <v>14148</v>
      </c>
      <c r="K691" s="12">
        <v>14148</v>
      </c>
      <c r="L691" s="13">
        <v>10706</v>
      </c>
      <c r="M691" s="12">
        <v>7</v>
      </c>
      <c r="N691" s="12">
        <v>7</v>
      </c>
      <c r="O691" s="12">
        <v>-261</v>
      </c>
      <c r="P691" s="12">
        <v>58</v>
      </c>
      <c r="Q691" s="12">
        <v>58</v>
      </c>
      <c r="R691" s="12">
        <v>42</v>
      </c>
    </row>
    <row r="692" spans="1:18" ht="43" customHeight="1" x14ac:dyDescent="0.15">
      <c r="A692" s="8" t="s">
        <v>3673</v>
      </c>
      <c r="B692" s="9" t="s">
        <v>3674</v>
      </c>
      <c r="C692" s="8" t="s">
        <v>3675</v>
      </c>
      <c r="D692" s="8" t="s">
        <v>3675</v>
      </c>
      <c r="E692" s="8" t="s">
        <v>3676</v>
      </c>
      <c r="F692" s="8" t="s">
        <v>3677</v>
      </c>
      <c r="G692" s="8" t="s">
        <v>3678</v>
      </c>
      <c r="H692" s="8" t="s">
        <v>3586</v>
      </c>
      <c r="I692" s="8" t="str">
        <f>HYPERLINK("http://www.silcea.com/","www.silcea.com")</f>
        <v>www.silcea.com</v>
      </c>
      <c r="J692" s="10">
        <v>11284.797</v>
      </c>
      <c r="K692" s="10">
        <v>11284.797</v>
      </c>
      <c r="L692" s="10">
        <v>10700.942999999999</v>
      </c>
      <c r="M692" s="10">
        <v>181.11699999999999</v>
      </c>
      <c r="N692" s="10">
        <v>181.11699999999999</v>
      </c>
      <c r="O692" s="10">
        <v>207.351</v>
      </c>
      <c r="P692" s="10">
        <v>53</v>
      </c>
      <c r="Q692" s="10">
        <v>53</v>
      </c>
      <c r="R692" s="10">
        <v>61</v>
      </c>
    </row>
    <row r="693" spans="1:18" ht="29.5" customHeight="1" x14ac:dyDescent="0.15">
      <c r="A693" s="11" t="s">
        <v>3679</v>
      </c>
      <c r="B693" s="1" t="s">
        <v>3680</v>
      </c>
      <c r="C693" s="11" t="s">
        <v>3681</v>
      </c>
      <c r="D693" s="11" t="s">
        <v>3681</v>
      </c>
      <c r="E693" s="11" t="s">
        <v>3682</v>
      </c>
      <c r="F693" s="11" t="s">
        <v>3683</v>
      </c>
      <c r="G693" s="11" t="s">
        <v>3649</v>
      </c>
      <c r="H693" s="11" t="s">
        <v>3604</v>
      </c>
      <c r="I693" s="11" t="str">
        <f>HYPERLINK("http://www.augustashoes.it/","http://www.augustashoes.it")</f>
        <v>http://www.augustashoes.it</v>
      </c>
      <c r="J693" s="12">
        <v>10025.675999999999</v>
      </c>
      <c r="K693" s="12">
        <v>10025.675999999999</v>
      </c>
      <c r="L693" s="13">
        <v>10675.844999999999</v>
      </c>
      <c r="M693" s="12">
        <v>641.03399999999999</v>
      </c>
      <c r="N693" s="12">
        <v>641.03399999999999</v>
      </c>
      <c r="O693" s="12">
        <v>217.78299999999999</v>
      </c>
      <c r="P693" s="14" t="s">
        <v>3621</v>
      </c>
      <c r="Q693" s="14" t="s">
        <v>3621</v>
      </c>
      <c r="R693" s="12">
        <v>46</v>
      </c>
    </row>
    <row r="694" spans="1:18" ht="29.5" customHeight="1" x14ac:dyDescent="0.15">
      <c r="A694" s="8" t="s">
        <v>3684</v>
      </c>
      <c r="B694" s="9" t="s">
        <v>3685</v>
      </c>
      <c r="C694" s="8" t="s">
        <v>3686</v>
      </c>
      <c r="D694" s="8" t="s">
        <v>3686</v>
      </c>
      <c r="E694" s="8" t="s">
        <v>3687</v>
      </c>
      <c r="F694" s="8" t="s">
        <v>3596</v>
      </c>
      <c r="G694" s="8" t="s">
        <v>3578</v>
      </c>
      <c r="H694" s="8" t="s">
        <v>3579</v>
      </c>
      <c r="I694" s="8" t="str">
        <f>HYPERLINK("http://stephen.it/","stephen.it")</f>
        <v>stephen.it</v>
      </c>
      <c r="J694" s="10">
        <v>12597.43</v>
      </c>
      <c r="K694" s="10">
        <v>12597.43</v>
      </c>
      <c r="L694" s="10">
        <v>10668.736999999999</v>
      </c>
      <c r="M694" s="10">
        <v>319.971</v>
      </c>
      <c r="N694" s="10">
        <v>319.971</v>
      </c>
      <c r="O694" s="10">
        <v>174.369</v>
      </c>
      <c r="P694" s="10">
        <v>66</v>
      </c>
      <c r="Q694" s="10">
        <v>66</v>
      </c>
      <c r="R694" s="10">
        <v>61</v>
      </c>
    </row>
    <row r="695" spans="1:18" ht="17" customHeight="1" x14ac:dyDescent="0.15">
      <c r="A695" s="11" t="s">
        <v>3688</v>
      </c>
      <c r="B695" s="1" t="s">
        <v>3689</v>
      </c>
      <c r="C695" s="11" t="s">
        <v>3690</v>
      </c>
      <c r="D695" s="11" t="s">
        <v>3690</v>
      </c>
      <c r="E695" s="11" t="s">
        <v>3691</v>
      </c>
      <c r="F695" s="11" t="s">
        <v>3577</v>
      </c>
      <c r="G695" s="11" t="s">
        <v>3692</v>
      </c>
      <c r="H695" s="11" t="s">
        <v>3627</v>
      </c>
      <c r="I695" s="11" t="str">
        <f>HYPERLINK("http://www.dlleather.it/","www.dlleather.it")</f>
        <v>www.dlleather.it</v>
      </c>
      <c r="J695" s="12">
        <v>14355.839</v>
      </c>
      <c r="K695" s="12">
        <v>14355.839</v>
      </c>
      <c r="L695" s="13">
        <v>10666.352000000001</v>
      </c>
      <c r="M695" s="12">
        <v>411.01600000000002</v>
      </c>
      <c r="N695" s="12">
        <v>411.01600000000002</v>
      </c>
      <c r="O695" s="12">
        <v>292.053</v>
      </c>
      <c r="P695" s="14" t="s">
        <v>3621</v>
      </c>
      <c r="Q695" s="14" t="s">
        <v>3621</v>
      </c>
      <c r="R695" s="12">
        <v>23</v>
      </c>
    </row>
    <row r="696" spans="1:18" ht="17" customHeight="1" x14ac:dyDescent="0.15">
      <c r="A696" s="8" t="s">
        <v>3693</v>
      </c>
      <c r="B696" s="9" t="s">
        <v>3694</v>
      </c>
      <c r="C696" s="8" t="s">
        <v>3695</v>
      </c>
      <c r="D696" s="8" t="s">
        <v>3695</v>
      </c>
      <c r="E696" s="8" t="s">
        <v>3696</v>
      </c>
      <c r="F696" s="8" t="s">
        <v>3697</v>
      </c>
      <c r="G696" s="8" t="s">
        <v>3698</v>
      </c>
      <c r="H696" s="8" t="s">
        <v>3699</v>
      </c>
      <c r="I696" s="8" t="str">
        <f>HYPERLINK("http://www.metalservice.net/","www.metalservice.net")</f>
        <v>www.metalservice.net</v>
      </c>
      <c r="J696" s="10">
        <v>7613.8720000000003</v>
      </c>
      <c r="K696" s="10">
        <v>7613.8720000000003</v>
      </c>
      <c r="L696" s="10">
        <v>10662.625</v>
      </c>
      <c r="M696" s="10">
        <v>-527.53800000000001</v>
      </c>
      <c r="N696" s="10">
        <v>-527.53800000000001</v>
      </c>
      <c r="O696" s="10">
        <v>848.96799999999996</v>
      </c>
      <c r="P696" s="10">
        <v>46</v>
      </c>
      <c r="Q696" s="10">
        <v>46</v>
      </c>
      <c r="R696" s="10">
        <v>44</v>
      </c>
    </row>
    <row r="697" spans="1:18" ht="17" customHeight="1" x14ac:dyDescent="0.15">
      <c r="A697" s="11" t="s">
        <v>3700</v>
      </c>
      <c r="B697" s="1" t="s">
        <v>3701</v>
      </c>
      <c r="C697" s="11" t="s">
        <v>3702</v>
      </c>
      <c r="D697" s="11" t="s">
        <v>3702</v>
      </c>
      <c r="E697" s="11" t="s">
        <v>3703</v>
      </c>
      <c r="F697" s="11" t="s">
        <v>3704</v>
      </c>
      <c r="G697" s="11" t="s">
        <v>3705</v>
      </c>
      <c r="H697" s="11" t="s">
        <v>3579</v>
      </c>
      <c r="I697" s="11" t="str">
        <f>HYPERLINK("http://www.intersocks.com/","www.intersocks.com")</f>
        <v>www.intersocks.com</v>
      </c>
      <c r="J697" s="12">
        <v>10700.012000000001</v>
      </c>
      <c r="K697" s="12">
        <v>10700.012000000001</v>
      </c>
      <c r="L697" s="13">
        <v>10630.754000000001</v>
      </c>
      <c r="M697" s="12">
        <v>3521.4870000000001</v>
      </c>
      <c r="N697" s="12">
        <v>3521.4870000000001</v>
      </c>
      <c r="O697" s="12">
        <v>2201.5659999999998</v>
      </c>
      <c r="P697" s="12">
        <v>84</v>
      </c>
      <c r="Q697" s="12">
        <v>84</v>
      </c>
      <c r="R697" s="12">
        <v>72</v>
      </c>
    </row>
    <row r="698" spans="1:18" ht="43" customHeight="1" x14ac:dyDescent="0.15">
      <c r="A698" s="8" t="s">
        <v>3706</v>
      </c>
      <c r="B698" s="9" t="s">
        <v>3707</v>
      </c>
      <c r="C698" s="8" t="s">
        <v>3708</v>
      </c>
      <c r="D698" s="8" t="s">
        <v>3708</v>
      </c>
      <c r="E698" s="8" t="s">
        <v>3709</v>
      </c>
      <c r="F698" s="8" t="s">
        <v>3614</v>
      </c>
      <c r="G698" s="8" t="s">
        <v>3667</v>
      </c>
      <c r="H698" s="8" t="s">
        <v>3640</v>
      </c>
      <c r="I698" s="8" t="str">
        <f>HYPERLINK("http://www.baguttanos.net/","www.baguttanos.net")</f>
        <v>www.baguttanos.net</v>
      </c>
      <c r="J698" s="10">
        <v>4320.7079999999996</v>
      </c>
      <c r="K698" s="10">
        <v>4320.7079999999996</v>
      </c>
      <c r="L698" s="10">
        <v>10607.483</v>
      </c>
      <c r="M698" s="10">
        <v>-1511.606</v>
      </c>
      <c r="N698" s="10">
        <v>-1511.606</v>
      </c>
      <c r="O698" s="10">
        <v>-6148.7529999999997</v>
      </c>
      <c r="P698" s="10">
        <v>29</v>
      </c>
      <c r="Q698" s="10">
        <v>29</v>
      </c>
      <c r="R698" s="10">
        <v>72</v>
      </c>
    </row>
    <row r="699" spans="1:18" ht="17" customHeight="1" x14ac:dyDescent="0.15">
      <c r="A699" s="11" t="s">
        <v>3710</v>
      </c>
      <c r="B699" s="1" t="s">
        <v>3711</v>
      </c>
      <c r="C699" s="11" t="s">
        <v>3712</v>
      </c>
      <c r="D699" s="11" t="s">
        <v>3712</v>
      </c>
      <c r="E699" s="11" t="s">
        <v>3713</v>
      </c>
      <c r="F699" s="11" t="s">
        <v>3714</v>
      </c>
      <c r="G699" s="11" t="s">
        <v>3609</v>
      </c>
      <c r="H699" s="11" t="s">
        <v>3604</v>
      </c>
      <c r="I699" s="11" t="str">
        <f>HYPERLINK("http://www.corisacchettificio.com/","www.corisacchettificio.com")</f>
        <v>www.corisacchettificio.com</v>
      </c>
      <c r="J699" s="12">
        <v>11515.442999999999</v>
      </c>
      <c r="K699" s="12">
        <v>11515.442999999999</v>
      </c>
      <c r="L699" s="13">
        <v>10606.754000000001</v>
      </c>
      <c r="M699" s="12">
        <v>1360.2940000000001</v>
      </c>
      <c r="N699" s="12">
        <v>1360.2940000000001</v>
      </c>
      <c r="O699" s="12">
        <v>1400.903</v>
      </c>
      <c r="P699" s="12">
        <v>34</v>
      </c>
      <c r="Q699" s="12">
        <v>34</v>
      </c>
      <c r="R699" s="12">
        <v>20</v>
      </c>
    </row>
    <row r="700" spans="1:18" ht="17" customHeight="1" x14ac:dyDescent="0.15">
      <c r="A700" s="8" t="s">
        <v>3715</v>
      </c>
      <c r="B700" s="9" t="s">
        <v>3716</v>
      </c>
      <c r="C700" s="8" t="s">
        <v>3717</v>
      </c>
      <c r="D700" s="8" t="s">
        <v>3717</v>
      </c>
      <c r="E700" s="8" t="s">
        <v>3718</v>
      </c>
      <c r="F700" s="8" t="s">
        <v>3697</v>
      </c>
      <c r="G700" s="8" t="s">
        <v>3609</v>
      </c>
      <c r="H700" s="8" t="s">
        <v>3604</v>
      </c>
      <c r="I700" s="8" t="str">
        <f>HYPERLINK("http://www.lustampa.it/","www.lustampa.it")</f>
        <v>www.lustampa.it</v>
      </c>
      <c r="J700" s="10">
        <v>9629.0959999999995</v>
      </c>
      <c r="K700" s="10">
        <v>9629.0959999999995</v>
      </c>
      <c r="L700" s="10">
        <v>10605.222</v>
      </c>
      <c r="M700" s="10">
        <v>-1666.4190000000001</v>
      </c>
      <c r="N700" s="10">
        <v>-1666.4190000000001</v>
      </c>
      <c r="O700" s="10">
        <v>76.927999999999997</v>
      </c>
      <c r="P700" s="10">
        <v>35</v>
      </c>
      <c r="Q700" s="10">
        <v>35</v>
      </c>
      <c r="R700" s="10">
        <v>39</v>
      </c>
    </row>
    <row r="701" spans="1:18" ht="17" customHeight="1" x14ac:dyDescent="0.15">
      <c r="A701" s="11" t="s">
        <v>3719</v>
      </c>
      <c r="B701" s="1" t="s">
        <v>3720</v>
      </c>
      <c r="C701" s="11" t="s">
        <v>3721</v>
      </c>
      <c r="D701" s="11" t="s">
        <v>3722</v>
      </c>
      <c r="E701" s="11" t="s">
        <v>3723</v>
      </c>
      <c r="F701" s="11" t="s">
        <v>3714</v>
      </c>
      <c r="G701" s="11" t="s">
        <v>3724</v>
      </c>
      <c r="H701" s="11" t="s">
        <v>3640</v>
      </c>
      <c r="I701" s="11" t="str">
        <f>HYPERLINK("http://gavazzeni.eu/","gavazzeni.eu")</f>
        <v>gavazzeni.eu</v>
      </c>
      <c r="J701" s="12">
        <v>9540.4290000000001</v>
      </c>
      <c r="K701" s="12">
        <v>9540.4290000000001</v>
      </c>
      <c r="L701" s="13">
        <v>10586.455</v>
      </c>
      <c r="M701" s="12">
        <v>371.52</v>
      </c>
      <c r="N701" s="12">
        <v>371.52</v>
      </c>
      <c r="O701" s="12">
        <v>433.71499999999997</v>
      </c>
      <c r="P701" s="12">
        <v>35</v>
      </c>
      <c r="Q701" s="12">
        <v>35</v>
      </c>
      <c r="R701" s="12">
        <v>32</v>
      </c>
    </row>
    <row r="702" spans="1:18" ht="29.5" customHeight="1" x14ac:dyDescent="0.15">
      <c r="A702" s="8" t="s">
        <v>3725</v>
      </c>
      <c r="B702" s="9" t="s">
        <v>3726</v>
      </c>
      <c r="C702" s="8" t="s">
        <v>3727</v>
      </c>
      <c r="D702" s="8" t="s">
        <v>3727</v>
      </c>
      <c r="E702" s="8" t="s">
        <v>3728</v>
      </c>
      <c r="F702" s="8" t="s">
        <v>3614</v>
      </c>
      <c r="G702" s="8" t="s">
        <v>3609</v>
      </c>
      <c r="H702" s="8" t="s">
        <v>3604</v>
      </c>
      <c r="I702" s="8" t="str">
        <f>HYPERLINK("http://d-duno.it/","d-duno.it")</f>
        <v>d-duno.it</v>
      </c>
      <c r="J702" s="10">
        <v>14255.403</v>
      </c>
      <c r="K702" s="10">
        <v>14255.403</v>
      </c>
      <c r="L702" s="10">
        <v>10583.734</v>
      </c>
      <c r="M702" s="10">
        <v>530.45100000000002</v>
      </c>
      <c r="N702" s="10">
        <v>530.45100000000002</v>
      </c>
      <c r="O702" s="10">
        <v>239.554</v>
      </c>
      <c r="P702" s="10">
        <v>12</v>
      </c>
      <c r="Q702" s="10">
        <v>12</v>
      </c>
      <c r="R702" s="10">
        <v>12</v>
      </c>
    </row>
    <row r="703" spans="1:18" ht="17" customHeight="1" x14ac:dyDescent="0.15">
      <c r="A703" s="11" t="s">
        <v>3729</v>
      </c>
      <c r="B703" s="1" t="s">
        <v>3730</v>
      </c>
      <c r="C703" s="11" t="s">
        <v>3731</v>
      </c>
      <c r="D703" s="11" t="s">
        <v>3731</v>
      </c>
      <c r="E703" s="11" t="s">
        <v>3732</v>
      </c>
      <c r="F703" s="11" t="s">
        <v>3570</v>
      </c>
      <c r="G703" s="11" t="s">
        <v>3733</v>
      </c>
      <c r="H703" s="11" t="s">
        <v>3579</v>
      </c>
      <c r="I703" s="11" t="str">
        <f>HYPERLINK("http://ihes.it/","ihes.it")</f>
        <v>ihes.it</v>
      </c>
      <c r="J703" s="12">
        <v>8232.8340000000007</v>
      </c>
      <c r="K703" s="12">
        <v>8232.8340000000007</v>
      </c>
      <c r="L703" s="13">
        <v>10530.513000000001</v>
      </c>
      <c r="M703" s="12">
        <v>157.68700000000001</v>
      </c>
      <c r="N703" s="12">
        <v>157.68700000000001</v>
      </c>
      <c r="O703" s="12">
        <v>290.44299999999998</v>
      </c>
      <c r="P703" s="12">
        <v>41</v>
      </c>
      <c r="Q703" s="12">
        <v>41</v>
      </c>
      <c r="R703" s="12">
        <v>41</v>
      </c>
    </row>
    <row r="704" spans="1:18" ht="17" customHeight="1" x14ac:dyDescent="0.15">
      <c r="A704" s="8" t="s">
        <v>3734</v>
      </c>
      <c r="B704" s="9" t="s">
        <v>3735</v>
      </c>
      <c r="C704" s="8" t="s">
        <v>3736</v>
      </c>
      <c r="D704" s="8" t="s">
        <v>3736</v>
      </c>
      <c r="E704" s="8" t="s">
        <v>3737</v>
      </c>
      <c r="F704" s="8" t="s">
        <v>3596</v>
      </c>
      <c r="G704" s="8" t="s">
        <v>3705</v>
      </c>
      <c r="H704" s="8" t="s">
        <v>3579</v>
      </c>
      <c r="I704" s="8" t="str">
        <f>HYPERLINK("http://www.antis.it/","www.antis.it")</f>
        <v>www.antis.it</v>
      </c>
      <c r="J704" s="10">
        <v>7714.2749999999996</v>
      </c>
      <c r="K704" s="10">
        <v>7714.2749999999996</v>
      </c>
      <c r="L704" s="10">
        <v>10523.017</v>
      </c>
      <c r="M704" s="10">
        <v>-484.99200000000002</v>
      </c>
      <c r="N704" s="10">
        <v>-484.99200000000002</v>
      </c>
      <c r="O704" s="10">
        <v>181.18</v>
      </c>
      <c r="P704" s="10">
        <v>19</v>
      </c>
      <c r="Q704" s="10">
        <v>19</v>
      </c>
      <c r="R704" s="10">
        <v>35</v>
      </c>
    </row>
    <row r="705" spans="1:18" ht="17" customHeight="1" x14ac:dyDescent="0.15">
      <c r="A705" s="11" t="s">
        <v>3738</v>
      </c>
      <c r="B705" s="1" t="s">
        <v>3739</v>
      </c>
      <c r="C705" s="11" t="s">
        <v>3740</v>
      </c>
      <c r="D705" s="11" t="s">
        <v>3741</v>
      </c>
      <c r="E705" s="11" t="s">
        <v>3742</v>
      </c>
      <c r="F705" s="11" t="s">
        <v>3743</v>
      </c>
      <c r="G705" s="11" t="s">
        <v>3744</v>
      </c>
      <c r="H705" s="11" t="s">
        <v>3745</v>
      </c>
      <c r="I705" s="11" t="str">
        <f>HYPERLINK("http://www.maglificiobartolini.com/","www.maglificiobartolini.com")</f>
        <v>www.maglificiobartolini.com</v>
      </c>
      <c r="J705" s="12">
        <v>10288.834999999999</v>
      </c>
      <c r="K705" s="12">
        <v>10288.834999999999</v>
      </c>
      <c r="L705" s="13">
        <v>10517.656000000001</v>
      </c>
      <c r="M705" s="12">
        <v>1133.357</v>
      </c>
      <c r="N705" s="12">
        <v>1133.357</v>
      </c>
      <c r="O705" s="12">
        <v>1218.1099999999999</v>
      </c>
      <c r="P705" s="12">
        <v>27</v>
      </c>
      <c r="Q705" s="12">
        <v>27</v>
      </c>
      <c r="R705" s="12">
        <v>24</v>
      </c>
    </row>
    <row r="706" spans="1:18" ht="17" customHeight="1" x14ac:dyDescent="0.15">
      <c r="A706" s="8" t="s">
        <v>3746</v>
      </c>
      <c r="B706" s="9" t="s">
        <v>3747</v>
      </c>
      <c r="C706" s="8" t="s">
        <v>3748</v>
      </c>
      <c r="D706" s="8" t="s">
        <v>3748</v>
      </c>
      <c r="E706" s="8" t="s">
        <v>3749</v>
      </c>
      <c r="F706" s="8" t="s">
        <v>3750</v>
      </c>
      <c r="G706" s="8" t="s">
        <v>3751</v>
      </c>
      <c r="H706" s="8" t="s">
        <v>3752</v>
      </c>
      <c r="I706" s="8" t="str">
        <f>HYPERLINK("http://www.zetabispa.it/","www.zetabispa.it")</f>
        <v>www.zetabispa.it</v>
      </c>
      <c r="J706" s="10">
        <v>14104.831</v>
      </c>
      <c r="K706" s="10">
        <v>14104.831</v>
      </c>
      <c r="L706" s="10">
        <v>10513.754000000001</v>
      </c>
      <c r="M706" s="10">
        <v>1100.4929999999999</v>
      </c>
      <c r="N706" s="10">
        <v>1100.4929999999999</v>
      </c>
      <c r="O706" s="10">
        <v>228.44499999999999</v>
      </c>
      <c r="P706" s="10">
        <v>64</v>
      </c>
      <c r="Q706" s="10">
        <v>64</v>
      </c>
      <c r="R706" s="10">
        <v>57</v>
      </c>
    </row>
    <row r="707" spans="1:18" ht="17" customHeight="1" x14ac:dyDescent="0.15">
      <c r="A707" s="11" t="s">
        <v>3753</v>
      </c>
      <c r="B707" s="1" t="s">
        <v>3754</v>
      </c>
      <c r="C707" s="11" t="s">
        <v>3755</v>
      </c>
      <c r="D707" s="11" t="s">
        <v>3755</v>
      </c>
      <c r="E707" s="11" t="s">
        <v>3756</v>
      </c>
      <c r="F707" s="11" t="s">
        <v>3757</v>
      </c>
      <c r="G707" s="11" t="s">
        <v>3758</v>
      </c>
      <c r="H707" s="11" t="s">
        <v>3745</v>
      </c>
      <c r="I707" s="11" t="str">
        <f>HYPERLINK("http://www.guidirosellini.com/","www.guidirosellini.com")</f>
        <v>www.guidirosellini.com</v>
      </c>
      <c r="J707" s="12">
        <v>8342.1569999999992</v>
      </c>
      <c r="K707" s="12">
        <v>8342.1569999999992</v>
      </c>
      <c r="L707" s="13">
        <v>10497.473</v>
      </c>
      <c r="M707" s="12">
        <v>-2946.8589999999999</v>
      </c>
      <c r="N707" s="12">
        <v>-2946.8589999999999</v>
      </c>
      <c r="O707" s="12">
        <v>110.09399999999999</v>
      </c>
      <c r="P707" s="12">
        <v>35</v>
      </c>
      <c r="Q707" s="12">
        <v>35</v>
      </c>
      <c r="R707" s="12">
        <v>52</v>
      </c>
    </row>
    <row r="708" spans="1:18" ht="17" customHeight="1" x14ac:dyDescent="0.15">
      <c r="A708" s="8" t="s">
        <v>3759</v>
      </c>
      <c r="B708" s="9" t="s">
        <v>3760</v>
      </c>
      <c r="C708" s="8" t="s">
        <v>3761</v>
      </c>
      <c r="D708" s="8" t="s">
        <v>3761</v>
      </c>
      <c r="E708" s="8" t="s">
        <v>3762</v>
      </c>
      <c r="F708" s="8" t="s">
        <v>3763</v>
      </c>
      <c r="G708" s="8" t="s">
        <v>3764</v>
      </c>
      <c r="H708" s="8" t="s">
        <v>3765</v>
      </c>
      <c r="I708" s="8" t="str">
        <f>HYPERLINK("http://www.concatogilberto.com/","www.concatogilberto.com")</f>
        <v>www.concatogilberto.com</v>
      </c>
      <c r="J708" s="10">
        <v>11228.298000000001</v>
      </c>
      <c r="K708" s="10">
        <v>11228.298000000001</v>
      </c>
      <c r="L708" s="10">
        <v>10473.311</v>
      </c>
      <c r="M708" s="10">
        <v>33.279000000000003</v>
      </c>
      <c r="N708" s="10">
        <v>33.279000000000003</v>
      </c>
      <c r="O708" s="10">
        <v>125.79600000000001</v>
      </c>
      <c r="P708" s="10">
        <v>16</v>
      </c>
      <c r="Q708" s="10">
        <v>16</v>
      </c>
      <c r="R708" s="10">
        <v>19</v>
      </c>
    </row>
    <row r="709" spans="1:18" ht="17" customHeight="1" x14ac:dyDescent="0.15">
      <c r="A709" s="11" t="s">
        <v>3766</v>
      </c>
      <c r="B709" s="1" t="s">
        <v>3767</v>
      </c>
      <c r="C709" s="11" t="s">
        <v>3768</v>
      </c>
      <c r="D709" s="11" t="s">
        <v>3768</v>
      </c>
      <c r="E709" s="11" t="s">
        <v>3769</v>
      </c>
      <c r="F709" s="11" t="s">
        <v>3743</v>
      </c>
      <c r="G709" s="11" t="s">
        <v>3770</v>
      </c>
      <c r="H709" s="11" t="s">
        <v>3771</v>
      </c>
      <c r="I709" s="11" t="str">
        <f>HYPERLINK("http://www.vneck.it/","www.vneck.it")</f>
        <v>www.vneck.it</v>
      </c>
      <c r="J709" s="12">
        <v>7100.7659999999996</v>
      </c>
      <c r="K709" s="12">
        <v>7100.7659999999996</v>
      </c>
      <c r="L709" s="13">
        <v>10457.655000000001</v>
      </c>
      <c r="M709" s="12">
        <v>1056.1949999999999</v>
      </c>
      <c r="N709" s="12">
        <v>1056.1949999999999</v>
      </c>
      <c r="O709" s="12">
        <v>2092.4110000000001</v>
      </c>
      <c r="P709" s="12">
        <v>21</v>
      </c>
      <c r="Q709" s="12">
        <v>21</v>
      </c>
      <c r="R709" s="12">
        <v>19</v>
      </c>
    </row>
    <row r="710" spans="1:18" ht="17" customHeight="1" x14ac:dyDescent="0.15">
      <c r="A710" s="8" t="s">
        <v>3772</v>
      </c>
      <c r="B710" s="9" t="s">
        <v>3773</v>
      </c>
      <c r="C710" s="8" t="s">
        <v>3774</v>
      </c>
      <c r="D710" s="8" t="s">
        <v>3774</v>
      </c>
      <c r="E710" s="8" t="s">
        <v>3775</v>
      </c>
      <c r="F710" s="8" t="s">
        <v>3757</v>
      </c>
      <c r="G710" s="8" t="s">
        <v>3776</v>
      </c>
      <c r="H710" s="8" t="s">
        <v>3765</v>
      </c>
      <c r="I710" s="8" t="str">
        <f>HYPERLINK("http://zencalzature.it/","zencalzature.it")</f>
        <v>zencalzature.it</v>
      </c>
      <c r="J710" s="10">
        <v>22655.542000000001</v>
      </c>
      <c r="K710" s="10">
        <v>22655.542000000001</v>
      </c>
      <c r="L710" s="10">
        <v>10405.565000000001</v>
      </c>
      <c r="M710" s="10">
        <v>101.65300000000001</v>
      </c>
      <c r="N710" s="10">
        <v>101.65300000000001</v>
      </c>
      <c r="O710" s="10">
        <v>52.811</v>
      </c>
      <c r="P710" s="10">
        <v>19</v>
      </c>
      <c r="Q710" s="10">
        <v>19</v>
      </c>
      <c r="R710" s="10">
        <v>27</v>
      </c>
    </row>
    <row r="711" spans="1:18" ht="17" customHeight="1" x14ac:dyDescent="0.15">
      <c r="A711" s="11" t="s">
        <v>3777</v>
      </c>
      <c r="B711" s="1" t="s">
        <v>3778</v>
      </c>
      <c r="C711" s="11" t="s">
        <v>3779</v>
      </c>
      <c r="D711" s="11" t="s">
        <v>3779</v>
      </c>
      <c r="E711" s="11" t="s">
        <v>3780</v>
      </c>
      <c r="F711" s="11" t="s">
        <v>3781</v>
      </c>
      <c r="G711" s="11" t="s">
        <v>3782</v>
      </c>
      <c r="H711" s="11" t="s">
        <v>3783</v>
      </c>
      <c r="I711" s="11" t="str">
        <f>HYPERLINK("http://www.calzificiobram.it/","http://www.calzificiobram.it")</f>
        <v>http://www.calzificiobram.it</v>
      </c>
      <c r="J711" s="12">
        <v>15805.897999999999</v>
      </c>
      <c r="K711" s="12">
        <v>15805.897999999999</v>
      </c>
      <c r="L711" s="13">
        <v>10405.078</v>
      </c>
      <c r="M711" s="12">
        <v>305.39499999999998</v>
      </c>
      <c r="N711" s="12">
        <v>305.39499999999998</v>
      </c>
      <c r="O711" s="12">
        <v>202.727</v>
      </c>
      <c r="P711" s="12">
        <v>39</v>
      </c>
      <c r="Q711" s="12">
        <v>39</v>
      </c>
      <c r="R711" s="12">
        <v>43</v>
      </c>
    </row>
    <row r="712" spans="1:18" ht="17" customHeight="1" x14ac:dyDescent="0.15">
      <c r="A712" s="8" t="s">
        <v>3784</v>
      </c>
      <c r="B712" s="9" t="s">
        <v>3785</v>
      </c>
      <c r="C712" s="8" t="s">
        <v>3786</v>
      </c>
      <c r="D712" s="8" t="s">
        <v>3786</v>
      </c>
      <c r="E712" s="8" t="s">
        <v>3787</v>
      </c>
      <c r="F712" s="8" t="s">
        <v>3757</v>
      </c>
      <c r="G712" s="8" t="s">
        <v>3758</v>
      </c>
      <c r="H712" s="8" t="s">
        <v>3745</v>
      </c>
      <c r="I712" s="8" t="str">
        <f>HYPERLINK("http://stokton.it/","stokton.it")</f>
        <v>stokton.it</v>
      </c>
      <c r="J712" s="10">
        <v>7953.0420000000004</v>
      </c>
      <c r="K712" s="10">
        <v>7953.0420000000004</v>
      </c>
      <c r="L712" s="10">
        <v>10401.52</v>
      </c>
      <c r="M712" s="10">
        <v>-95.043999999999997</v>
      </c>
      <c r="N712" s="10">
        <v>-95.043999999999997</v>
      </c>
      <c r="O712" s="10">
        <v>369.96699999999998</v>
      </c>
      <c r="P712" s="10">
        <v>31</v>
      </c>
      <c r="Q712" s="10">
        <v>31</v>
      </c>
      <c r="R712" s="10">
        <v>32</v>
      </c>
    </row>
    <row r="713" spans="1:18" ht="17" customHeight="1" x14ac:dyDescent="0.15">
      <c r="A713" s="11" t="s">
        <v>3788</v>
      </c>
      <c r="B713" s="1" t="s">
        <v>3789</v>
      </c>
      <c r="C713" s="11" t="s">
        <v>3790</v>
      </c>
      <c r="D713" s="11" t="s">
        <v>3791</v>
      </c>
      <c r="E713" s="11" t="s">
        <v>3792</v>
      </c>
      <c r="F713" s="11" t="s">
        <v>3763</v>
      </c>
      <c r="G713" s="11" t="s">
        <v>3793</v>
      </c>
      <c r="H713" s="11" t="s">
        <v>3783</v>
      </c>
      <c r="I713" s="11" t="str">
        <f>HYPERLINK("http://whiteline.it/","whiteline.it")</f>
        <v>whiteline.it</v>
      </c>
      <c r="J713" s="12">
        <v>10327.67</v>
      </c>
      <c r="K713" s="12">
        <v>10327.67</v>
      </c>
      <c r="L713" s="13">
        <v>10397.654</v>
      </c>
      <c r="M713" s="12">
        <v>1550.248</v>
      </c>
      <c r="N713" s="12">
        <v>1550.248</v>
      </c>
      <c r="O713" s="12">
        <v>1147.386</v>
      </c>
      <c r="P713" s="12">
        <v>26</v>
      </c>
      <c r="Q713" s="12">
        <v>26</v>
      </c>
      <c r="R713" s="12">
        <v>25</v>
      </c>
    </row>
    <row r="714" spans="1:18" ht="29.5" customHeight="1" x14ac:dyDescent="0.15">
      <c r="A714" s="8" t="s">
        <v>3794</v>
      </c>
      <c r="B714" s="9" t="s">
        <v>3795</v>
      </c>
      <c r="C714" s="8" t="s">
        <v>3796</v>
      </c>
      <c r="D714" s="8" t="s">
        <v>3796</v>
      </c>
      <c r="E714" s="8" t="s">
        <v>3797</v>
      </c>
      <c r="F714" s="8" t="s">
        <v>3798</v>
      </c>
      <c r="G714" s="8" t="s">
        <v>3799</v>
      </c>
      <c r="H714" s="8" t="s">
        <v>3745</v>
      </c>
      <c r="I714" s="8" t="str">
        <f>HYPERLINK("http://www.radar1957.it/","www.radar1957.it")</f>
        <v>www.radar1957.it</v>
      </c>
      <c r="J714" s="10">
        <v>10697.633</v>
      </c>
      <c r="K714" s="10">
        <v>10697.633</v>
      </c>
      <c r="L714" s="10">
        <v>10394.456</v>
      </c>
      <c r="M714" s="10">
        <v>671.58699999999999</v>
      </c>
      <c r="N714" s="10">
        <v>671.58699999999999</v>
      </c>
      <c r="O714" s="10">
        <v>138.91999999999999</v>
      </c>
      <c r="P714" s="10">
        <v>41</v>
      </c>
      <c r="Q714" s="10">
        <v>41</v>
      </c>
      <c r="R714" s="10">
        <v>43</v>
      </c>
    </row>
    <row r="715" spans="1:18" ht="17" customHeight="1" x14ac:dyDescent="0.15">
      <c r="A715" s="11" t="s">
        <v>3800</v>
      </c>
      <c r="B715" s="1" t="s">
        <v>3801</v>
      </c>
      <c r="C715" s="11" t="s">
        <v>3802</v>
      </c>
      <c r="D715" s="11" t="s">
        <v>3802</v>
      </c>
      <c r="E715" s="11" t="s">
        <v>3803</v>
      </c>
      <c r="F715" s="11" t="s">
        <v>3750</v>
      </c>
      <c r="G715" s="11" t="s">
        <v>3804</v>
      </c>
      <c r="H715" s="11" t="s">
        <v>3805</v>
      </c>
      <c r="I715" s="11" t="str">
        <f>HYPERLINK("http://marcopescarolo.it/","marcopescarolo.it")</f>
        <v>marcopescarolo.it</v>
      </c>
      <c r="J715" s="12">
        <v>13787.295</v>
      </c>
      <c r="K715" s="12">
        <v>13787.295</v>
      </c>
      <c r="L715" s="13">
        <v>10373.226000000001</v>
      </c>
      <c r="M715" s="12">
        <v>2074.248</v>
      </c>
      <c r="N715" s="12">
        <v>2074.248</v>
      </c>
      <c r="O715" s="12">
        <v>1247.902</v>
      </c>
      <c r="P715" s="12">
        <v>15</v>
      </c>
      <c r="Q715" s="12">
        <v>15</v>
      </c>
      <c r="R715" s="12">
        <v>15</v>
      </c>
    </row>
    <row r="716" spans="1:18" ht="17" customHeight="1" x14ac:dyDescent="0.15">
      <c r="A716" s="8" t="s">
        <v>3806</v>
      </c>
      <c r="B716" s="9" t="s">
        <v>3807</v>
      </c>
      <c r="C716" s="8" t="s">
        <v>3808</v>
      </c>
      <c r="D716" s="8" t="s">
        <v>3808</v>
      </c>
      <c r="E716" s="8" t="s">
        <v>3809</v>
      </c>
      <c r="F716" s="8" t="s">
        <v>3757</v>
      </c>
      <c r="G716" s="8" t="s">
        <v>3810</v>
      </c>
      <c r="H716" s="8" t="s">
        <v>3745</v>
      </c>
      <c r="I716" s="8" t="str">
        <f>HYPERLINK("http://www.tiglioshoes.it/","www.tiglioshoes.it")</f>
        <v>www.tiglioshoes.it</v>
      </c>
      <c r="J716" s="10">
        <v>8791.6910000000007</v>
      </c>
      <c r="K716" s="10">
        <v>8791.6910000000007</v>
      </c>
      <c r="L716" s="10">
        <v>10332.494000000001</v>
      </c>
      <c r="M716" s="10">
        <v>23.001999999999999</v>
      </c>
      <c r="N716" s="10">
        <v>23.001999999999999</v>
      </c>
      <c r="O716" s="10">
        <v>27.18</v>
      </c>
      <c r="P716" s="10">
        <v>12</v>
      </c>
      <c r="Q716" s="10">
        <v>12</v>
      </c>
      <c r="R716" s="10">
        <v>10</v>
      </c>
    </row>
    <row r="717" spans="1:18" ht="17" customHeight="1" x14ac:dyDescent="0.15">
      <c r="A717" s="11" t="s">
        <v>3811</v>
      </c>
      <c r="B717" s="1" t="s">
        <v>3812</v>
      </c>
      <c r="C717" s="11" t="s">
        <v>3813</v>
      </c>
      <c r="D717" s="11" t="s">
        <v>3813</v>
      </c>
      <c r="E717" s="11" t="s">
        <v>3814</v>
      </c>
      <c r="F717" s="11" t="s">
        <v>3815</v>
      </c>
      <c r="G717" s="11" t="s">
        <v>3816</v>
      </c>
      <c r="H717" s="11" t="s">
        <v>3771</v>
      </c>
      <c r="I717" s="11" t="str">
        <f>HYPERLINK("http://paten.it/","paten.it")</f>
        <v>paten.it</v>
      </c>
      <c r="J717" s="12">
        <v>8678.9419999999991</v>
      </c>
      <c r="K717" s="12">
        <v>8678.9419999999991</v>
      </c>
      <c r="L717" s="13">
        <v>10298.61</v>
      </c>
      <c r="M717" s="12">
        <v>227.214</v>
      </c>
      <c r="N717" s="12">
        <v>227.214</v>
      </c>
      <c r="O717" s="12">
        <v>44.194000000000003</v>
      </c>
      <c r="P717" s="14" t="s">
        <v>3817</v>
      </c>
      <c r="Q717" s="14" t="s">
        <v>3817</v>
      </c>
      <c r="R717" s="12">
        <v>13</v>
      </c>
    </row>
    <row r="718" spans="1:18" ht="68" customHeight="1" x14ac:dyDescent="0.15">
      <c r="A718" s="8" t="s">
        <v>3818</v>
      </c>
      <c r="B718" s="9" t="s">
        <v>3819</v>
      </c>
      <c r="C718" s="8" t="s">
        <v>3820</v>
      </c>
      <c r="D718" s="8" t="s">
        <v>3820</v>
      </c>
      <c r="E718" s="8" t="s">
        <v>3821</v>
      </c>
      <c r="F718" s="8" t="s">
        <v>3763</v>
      </c>
      <c r="G718" s="8" t="s">
        <v>3822</v>
      </c>
      <c r="H718" s="8" t="s">
        <v>3805</v>
      </c>
      <c r="I718" s="8" t="str">
        <f>HYPERLINK("http://www.delvacchioleather.it/","www.delvacchioleather.it")</f>
        <v>www.delvacchioleather.it</v>
      </c>
      <c r="J718" s="10">
        <v>10966.32</v>
      </c>
      <c r="K718" s="10">
        <v>10966.32</v>
      </c>
      <c r="L718" s="10">
        <v>10295.529</v>
      </c>
      <c r="M718" s="10">
        <v>247.03800000000001</v>
      </c>
      <c r="N718" s="10">
        <v>247.03800000000001</v>
      </c>
      <c r="O718" s="10">
        <v>444.529</v>
      </c>
      <c r="P718" s="10">
        <v>34</v>
      </c>
      <c r="Q718" s="10">
        <v>34</v>
      </c>
      <c r="R718" s="10">
        <v>66</v>
      </c>
    </row>
    <row r="719" spans="1:18" ht="29.5" customHeight="1" x14ac:dyDescent="0.15">
      <c r="A719" s="11" t="s">
        <v>3823</v>
      </c>
      <c r="B719" s="1" t="s">
        <v>3824</v>
      </c>
      <c r="C719" s="11" t="s">
        <v>3825</v>
      </c>
      <c r="D719" s="11" t="s">
        <v>3825</v>
      </c>
      <c r="E719" s="11" t="s">
        <v>3826</v>
      </c>
      <c r="F719" s="11" t="s">
        <v>3763</v>
      </c>
      <c r="G719" s="11" t="s">
        <v>3810</v>
      </c>
      <c r="H719" s="11" t="s">
        <v>3745</v>
      </c>
      <c r="I719" s="11" t="str">
        <f>HYPERLINK("http://www.conceriaalaska.it/","www.conceriaalaska.it")</f>
        <v>www.conceriaalaska.it</v>
      </c>
      <c r="J719" s="12">
        <v>1375.357</v>
      </c>
      <c r="K719" s="12">
        <v>1375.357</v>
      </c>
      <c r="L719" s="13">
        <v>10286.275</v>
      </c>
      <c r="M719" s="12">
        <v>-3334.6419999999998</v>
      </c>
      <c r="N719" s="12">
        <v>-3334.6419999999998</v>
      </c>
      <c r="O719" s="12">
        <v>-1164.7619999999999</v>
      </c>
      <c r="P719" s="14" t="s">
        <v>3817</v>
      </c>
      <c r="Q719" s="14" t="s">
        <v>3817</v>
      </c>
      <c r="R719" s="12">
        <v>23</v>
      </c>
    </row>
    <row r="720" spans="1:18" ht="17" customHeight="1" x14ac:dyDescent="0.15">
      <c r="A720" s="8" t="s">
        <v>3827</v>
      </c>
      <c r="B720" s="9" t="s">
        <v>3828</v>
      </c>
      <c r="C720" s="8" t="s">
        <v>3829</v>
      </c>
      <c r="D720" s="8" t="s">
        <v>3829</v>
      </c>
      <c r="E720" s="8" t="s">
        <v>3830</v>
      </c>
      <c r="F720" s="8" t="s">
        <v>3831</v>
      </c>
      <c r="G720" s="8" t="s">
        <v>3764</v>
      </c>
      <c r="H720" s="8" t="s">
        <v>3765</v>
      </c>
      <c r="I720" s="8" t="str">
        <f>HYPERLINK("http://www.quibos.com/","http://www.quibos.com")</f>
        <v>http://www.quibos.com</v>
      </c>
      <c r="J720" s="10">
        <v>8030.9979999999996</v>
      </c>
      <c r="K720" s="10">
        <v>8030.9979999999996</v>
      </c>
      <c r="L720" s="10">
        <v>10273.153</v>
      </c>
      <c r="M720" s="10">
        <v>385.51900000000001</v>
      </c>
      <c r="N720" s="10">
        <v>385.51900000000001</v>
      </c>
      <c r="O720" s="10">
        <v>743.33600000000001</v>
      </c>
      <c r="P720" s="10">
        <v>19</v>
      </c>
      <c r="Q720" s="10">
        <v>19</v>
      </c>
      <c r="R720" s="10">
        <v>21</v>
      </c>
    </row>
    <row r="721" spans="1:18" ht="17" customHeight="1" x14ac:dyDescent="0.15">
      <c r="A721" s="11" t="s">
        <v>3832</v>
      </c>
      <c r="B721" s="1" t="s">
        <v>3833</v>
      </c>
      <c r="C721" s="11" t="s">
        <v>3834</v>
      </c>
      <c r="D721" s="11" t="s">
        <v>3835</v>
      </c>
      <c r="E721" s="11" t="s">
        <v>3836</v>
      </c>
      <c r="F721" s="11" t="s">
        <v>3750</v>
      </c>
      <c r="G721" s="11" t="s">
        <v>3793</v>
      </c>
      <c r="H721" s="11" t="s">
        <v>3783</v>
      </c>
      <c r="I721" s="11" t="str">
        <f>HYPERLINK("http://www.acribiamilano.it/","www.acribiamilano.it")</f>
        <v>www.acribiamilano.it</v>
      </c>
      <c r="J721" s="12">
        <v>11062.924999999999</v>
      </c>
      <c r="K721" s="12">
        <v>11062.924999999999</v>
      </c>
      <c r="L721" s="13">
        <v>10249.859</v>
      </c>
      <c r="M721" s="12">
        <v>1007.6660000000001</v>
      </c>
      <c r="N721" s="12">
        <v>1007.6660000000001</v>
      </c>
      <c r="O721" s="12">
        <v>691.322</v>
      </c>
      <c r="P721" s="12">
        <v>38</v>
      </c>
      <c r="Q721" s="12">
        <v>38</v>
      </c>
      <c r="R721" s="12">
        <v>40</v>
      </c>
    </row>
    <row r="722" spans="1:18" ht="17" customHeight="1" x14ac:dyDescent="0.15">
      <c r="A722" s="8" t="s">
        <v>3837</v>
      </c>
      <c r="B722" s="9" t="s">
        <v>3838</v>
      </c>
      <c r="C722" s="8" t="s">
        <v>3839</v>
      </c>
      <c r="D722" s="8" t="s">
        <v>3839</v>
      </c>
      <c r="E722" s="8" t="s">
        <v>3840</v>
      </c>
      <c r="F722" s="8" t="s">
        <v>3750</v>
      </c>
      <c r="G722" s="8" t="s">
        <v>3841</v>
      </c>
      <c r="H722" s="8" t="s">
        <v>3842</v>
      </c>
      <c r="I722" s="8" t="str">
        <f>HYPERLINK("http://www.afcreations.it/","www.afcreations.it")</f>
        <v>www.afcreations.it</v>
      </c>
      <c r="J722" s="10">
        <v>10707.357</v>
      </c>
      <c r="K722" s="10">
        <v>10707.357</v>
      </c>
      <c r="L722" s="10">
        <v>10249.873</v>
      </c>
      <c r="M722" s="10">
        <v>348.49099999999999</v>
      </c>
      <c r="N722" s="10">
        <v>348.49099999999999</v>
      </c>
      <c r="O722" s="10">
        <v>754.24099999999999</v>
      </c>
      <c r="P722" s="10">
        <v>39</v>
      </c>
      <c r="Q722" s="10">
        <v>39</v>
      </c>
      <c r="R722" s="10">
        <v>29</v>
      </c>
    </row>
    <row r="723" spans="1:18" ht="17" customHeight="1" x14ac:dyDescent="0.15">
      <c r="A723" s="11" t="s">
        <v>3843</v>
      </c>
      <c r="B723" s="1" t="s">
        <v>3844</v>
      </c>
      <c r="C723" s="11" t="s">
        <v>3845</v>
      </c>
      <c r="D723" s="11" t="s">
        <v>3845</v>
      </c>
      <c r="E723" s="11" t="s">
        <v>3846</v>
      </c>
      <c r="F723" s="11" t="s">
        <v>3757</v>
      </c>
      <c r="G723" s="11" t="s">
        <v>3744</v>
      </c>
      <c r="H723" s="11" t="s">
        <v>3745</v>
      </c>
      <c r="I723" s="11" t="str">
        <f>HYPERLINK("http://www.jelkom.com/","www.jelkom.com")</f>
        <v>www.jelkom.com</v>
      </c>
      <c r="J723" s="12">
        <v>12474.541999999999</v>
      </c>
      <c r="K723" s="12">
        <v>12474.541999999999</v>
      </c>
      <c r="L723" s="13">
        <v>10245.394</v>
      </c>
      <c r="M723" s="12">
        <v>713.88</v>
      </c>
      <c r="N723" s="12">
        <v>713.88</v>
      </c>
      <c r="O723" s="12">
        <v>50.098999999999997</v>
      </c>
      <c r="P723" s="12">
        <v>14</v>
      </c>
      <c r="Q723" s="12">
        <v>14</v>
      </c>
      <c r="R723" s="12">
        <v>14</v>
      </c>
    </row>
    <row r="724" spans="1:18" ht="29.5" customHeight="1" x14ac:dyDescent="0.15">
      <c r="A724" s="8" t="s">
        <v>3847</v>
      </c>
      <c r="B724" s="9" t="s">
        <v>3848</v>
      </c>
      <c r="C724" s="8" t="s">
        <v>3849</v>
      </c>
      <c r="D724" s="8" t="s">
        <v>3849</v>
      </c>
      <c r="E724" s="8" t="s">
        <v>3850</v>
      </c>
      <c r="F724" s="8" t="s">
        <v>3757</v>
      </c>
      <c r="G724" s="8" t="s">
        <v>3851</v>
      </c>
      <c r="H724" s="8" t="s">
        <v>3765</v>
      </c>
      <c r="I724" s="8" t="str">
        <f>HYPERLINK("http://www.calzaturificiovalbrenta.com/","www.calzaturificiovalbrenta.com")</f>
        <v>www.calzaturificiovalbrenta.com</v>
      </c>
      <c r="J724" s="10">
        <v>8782.7129999999997</v>
      </c>
      <c r="K724" s="10">
        <v>8782.7129999999997</v>
      </c>
      <c r="L724" s="10">
        <v>10225.055</v>
      </c>
      <c r="M724" s="10">
        <v>40.889000000000003</v>
      </c>
      <c r="N724" s="10">
        <v>40.889000000000003</v>
      </c>
      <c r="O724" s="10">
        <v>51.103000000000002</v>
      </c>
      <c r="P724" s="10">
        <v>47</v>
      </c>
      <c r="Q724" s="10">
        <v>47</v>
      </c>
      <c r="R724" s="10">
        <v>48</v>
      </c>
    </row>
    <row r="725" spans="1:18" ht="17" customHeight="1" x14ac:dyDescent="0.15">
      <c r="A725" s="11" t="s">
        <v>3852</v>
      </c>
      <c r="B725" s="1" t="s">
        <v>3853</v>
      </c>
      <c r="C725" s="11" t="s">
        <v>3854</v>
      </c>
      <c r="D725" s="11" t="s">
        <v>3854</v>
      </c>
      <c r="E725" s="11" t="s">
        <v>3855</v>
      </c>
      <c r="F725" s="11" t="s">
        <v>3763</v>
      </c>
      <c r="G725" s="11" t="s">
        <v>3810</v>
      </c>
      <c r="H725" s="11" t="s">
        <v>3745</v>
      </c>
      <c r="I725" s="11" t="str">
        <f>HYPERLINK("http://tempesti.com/","tempesti.com")</f>
        <v>tempesti.com</v>
      </c>
      <c r="J725" s="12">
        <v>8372.9320000000007</v>
      </c>
      <c r="K725" s="12">
        <v>8372.9320000000007</v>
      </c>
      <c r="L725" s="13">
        <v>10207.763999999999</v>
      </c>
      <c r="M725" s="12">
        <v>172.547</v>
      </c>
      <c r="N725" s="12">
        <v>172.547</v>
      </c>
      <c r="O725" s="12">
        <v>729.654</v>
      </c>
      <c r="P725" s="12">
        <v>33</v>
      </c>
      <c r="Q725" s="12">
        <v>33</v>
      </c>
      <c r="R725" s="12">
        <v>31</v>
      </c>
    </row>
    <row r="726" spans="1:18" ht="17" customHeight="1" x14ac:dyDescent="0.15">
      <c r="A726" s="8" t="s">
        <v>3856</v>
      </c>
      <c r="B726" s="9" t="s">
        <v>3857</v>
      </c>
      <c r="C726" s="8" t="s">
        <v>3858</v>
      </c>
      <c r="D726" s="8" t="s">
        <v>3858</v>
      </c>
      <c r="E726" s="8" t="s">
        <v>3859</v>
      </c>
      <c r="F726" s="8" t="s">
        <v>3815</v>
      </c>
      <c r="G726" s="8" t="s">
        <v>3804</v>
      </c>
      <c r="H726" s="8" t="s">
        <v>3805</v>
      </c>
      <c r="I726" s="8" t="str">
        <f>HYPERLINK("http://miragroup.it/","miragroup.it")</f>
        <v>miragroup.it</v>
      </c>
      <c r="J726" s="10">
        <v>10695.279</v>
      </c>
      <c r="K726" s="10">
        <v>10695.279</v>
      </c>
      <c r="L726" s="10">
        <v>10197.118</v>
      </c>
      <c r="M726" s="10">
        <v>218.99</v>
      </c>
      <c r="N726" s="10">
        <v>218.99</v>
      </c>
      <c r="O726" s="10">
        <v>293.101</v>
      </c>
      <c r="P726" s="10">
        <v>31</v>
      </c>
      <c r="Q726" s="10">
        <v>31</v>
      </c>
      <c r="R726" s="10">
        <v>42</v>
      </c>
    </row>
    <row r="727" spans="1:18" ht="17" customHeight="1" x14ac:dyDescent="0.15">
      <c r="A727" s="11" t="s">
        <v>3860</v>
      </c>
      <c r="B727" s="1" t="s">
        <v>3861</v>
      </c>
      <c r="C727" s="11" t="s">
        <v>3862</v>
      </c>
      <c r="D727" s="11" t="s">
        <v>3862</v>
      </c>
      <c r="E727" s="11" t="s">
        <v>3863</v>
      </c>
      <c r="F727" s="11" t="s">
        <v>3743</v>
      </c>
      <c r="G727" s="11" t="s">
        <v>3864</v>
      </c>
      <c r="H727" s="11" t="s">
        <v>3842</v>
      </c>
      <c r="I727" s="11" t="str">
        <f>HYPERLINK("http://www.ferrante.it/","www.ferrante.it")</f>
        <v>www.ferrante.it</v>
      </c>
      <c r="J727" s="12">
        <v>11225.552</v>
      </c>
      <c r="K727" s="12">
        <v>11225.552</v>
      </c>
      <c r="L727" s="13">
        <v>10187.475</v>
      </c>
      <c r="M727" s="12">
        <v>246.65299999999999</v>
      </c>
      <c r="N727" s="12">
        <v>246.65299999999999</v>
      </c>
      <c r="O727" s="12">
        <v>338.22199999999998</v>
      </c>
      <c r="P727" s="12">
        <v>31</v>
      </c>
      <c r="Q727" s="12">
        <v>31</v>
      </c>
      <c r="R727" s="12">
        <v>27</v>
      </c>
    </row>
    <row r="728" spans="1:18" ht="17" customHeight="1" x14ac:dyDescent="0.15">
      <c r="A728" s="8" t="s">
        <v>3865</v>
      </c>
      <c r="B728" s="9" t="s">
        <v>3866</v>
      </c>
      <c r="C728" s="8" t="s">
        <v>3867</v>
      </c>
      <c r="D728" s="8" t="s">
        <v>3867</v>
      </c>
      <c r="E728" s="8" t="s">
        <v>3868</v>
      </c>
      <c r="F728" s="8" t="s">
        <v>3763</v>
      </c>
      <c r="G728" s="8" t="s">
        <v>3810</v>
      </c>
      <c r="H728" s="8" t="s">
        <v>3745</v>
      </c>
      <c r="I728" s="8" t="str">
        <f>HYPERLINK("http://www.nuovaantilope.it/","www.nuovaantilope.it")</f>
        <v>www.nuovaantilope.it</v>
      </c>
      <c r="J728" s="10">
        <v>11125.224</v>
      </c>
      <c r="K728" s="10">
        <v>11125.224</v>
      </c>
      <c r="L728" s="10">
        <v>10184.616</v>
      </c>
      <c r="M728" s="10">
        <v>223.18299999999999</v>
      </c>
      <c r="N728" s="10">
        <v>223.18299999999999</v>
      </c>
      <c r="O728" s="10">
        <v>227.08199999999999</v>
      </c>
      <c r="P728" s="10">
        <v>16</v>
      </c>
      <c r="Q728" s="10">
        <v>16</v>
      </c>
      <c r="R728" s="10">
        <v>14</v>
      </c>
    </row>
    <row r="729" spans="1:18" ht="17" customHeight="1" x14ac:dyDescent="0.15">
      <c r="A729" s="11" t="s">
        <v>3869</v>
      </c>
      <c r="B729" s="1" t="s">
        <v>3870</v>
      </c>
      <c r="C729" s="11" t="s">
        <v>3871</v>
      </c>
      <c r="D729" s="11" t="s">
        <v>3871</v>
      </c>
      <c r="E729" s="11" t="s">
        <v>3872</v>
      </c>
      <c r="F729" s="11" t="s">
        <v>3873</v>
      </c>
      <c r="G729" s="11" t="s">
        <v>3874</v>
      </c>
      <c r="H729" s="11" t="s">
        <v>3752</v>
      </c>
      <c r="I729" s="11" t="str">
        <f>HYPERLINK("http://www.delpapa.com/","www.delpapa.com")</f>
        <v>www.delpapa.com</v>
      </c>
      <c r="J729" s="12">
        <v>9288.2880000000005</v>
      </c>
      <c r="K729" s="12">
        <v>9288.2880000000005</v>
      </c>
      <c r="L729" s="13">
        <v>10182.114</v>
      </c>
      <c r="M729" s="12">
        <v>885.03499999999997</v>
      </c>
      <c r="N729" s="12">
        <v>885.03499999999997</v>
      </c>
      <c r="O729" s="12">
        <v>1118.1220000000001</v>
      </c>
      <c r="P729" s="12">
        <v>34</v>
      </c>
      <c r="Q729" s="12">
        <v>34</v>
      </c>
      <c r="R729" s="12">
        <v>33</v>
      </c>
    </row>
    <row r="730" spans="1:18" ht="17" customHeight="1" x14ac:dyDescent="0.15">
      <c r="A730" s="8" t="s">
        <v>3875</v>
      </c>
      <c r="B730" s="9" t="s">
        <v>3876</v>
      </c>
      <c r="C730" s="8" t="s">
        <v>3877</v>
      </c>
      <c r="D730" s="8" t="s">
        <v>3877</v>
      </c>
      <c r="E730" s="8" t="s">
        <v>3878</v>
      </c>
      <c r="F730" s="8" t="s">
        <v>3879</v>
      </c>
      <c r="G730" s="8" t="s">
        <v>3880</v>
      </c>
      <c r="H730" s="8" t="s">
        <v>3881</v>
      </c>
      <c r="I730" s="8" t="str">
        <f>HYPERLINK("http://truccotessile.it/","truccotessile.it")</f>
        <v>truccotessile.it</v>
      </c>
      <c r="J730" s="10">
        <v>9450.6290000000008</v>
      </c>
      <c r="K730" s="10">
        <v>9450.6290000000008</v>
      </c>
      <c r="L730" s="10">
        <v>10161.736000000001</v>
      </c>
      <c r="M730" s="10">
        <v>-45.741</v>
      </c>
      <c r="N730" s="10">
        <v>-45.741</v>
      </c>
      <c r="O730" s="10">
        <v>22.106999999999999</v>
      </c>
      <c r="P730" s="10">
        <v>61</v>
      </c>
      <c r="Q730" s="10">
        <v>61</v>
      </c>
      <c r="R730" s="10">
        <v>61</v>
      </c>
    </row>
    <row r="731" spans="1:18" ht="17" customHeight="1" x14ac:dyDescent="0.15">
      <c r="A731" s="11" t="s">
        <v>3882</v>
      </c>
      <c r="B731" s="1" t="s">
        <v>3883</v>
      </c>
      <c r="C731" s="11" t="s">
        <v>3884</v>
      </c>
      <c r="D731" s="11" t="s">
        <v>3884</v>
      </c>
      <c r="E731" s="11" t="s">
        <v>3885</v>
      </c>
      <c r="F731" s="11" t="s">
        <v>3781</v>
      </c>
      <c r="G731" s="11" t="s">
        <v>3782</v>
      </c>
      <c r="H731" s="11" t="s">
        <v>3783</v>
      </c>
      <c r="I731" s="11" t="str">
        <f>HYPERLINK("http://www.calzificiopezzini.com/","www.calzificiopezzini.com")</f>
        <v>www.calzificiopezzini.com</v>
      </c>
      <c r="J731" s="12">
        <v>8232.2919999999995</v>
      </c>
      <c r="K731" s="12">
        <v>8232.2919999999995</v>
      </c>
      <c r="L731" s="13">
        <v>10123.458000000001</v>
      </c>
      <c r="M731" s="12">
        <v>90.88</v>
      </c>
      <c r="N731" s="12">
        <v>90.88</v>
      </c>
      <c r="O731" s="12">
        <v>168.25700000000001</v>
      </c>
      <c r="P731" s="12">
        <v>15</v>
      </c>
      <c r="Q731" s="12">
        <v>15</v>
      </c>
      <c r="R731" s="12">
        <v>15</v>
      </c>
    </row>
    <row r="732" spans="1:18" ht="29.5" customHeight="1" x14ac:dyDescent="0.15">
      <c r="A732" s="8" t="s">
        <v>3886</v>
      </c>
      <c r="B732" s="9" t="s">
        <v>3887</v>
      </c>
      <c r="C732" s="8" t="s">
        <v>3888</v>
      </c>
      <c r="D732" s="8" t="s">
        <v>3889</v>
      </c>
      <c r="E732" s="8" t="s">
        <v>3890</v>
      </c>
      <c r="F732" s="8" t="s">
        <v>3757</v>
      </c>
      <c r="G732" s="8" t="s">
        <v>3851</v>
      </c>
      <c r="H732" s="8" t="s">
        <v>3765</v>
      </c>
      <c r="I732" s="8" t="str">
        <f>HYPERLINK("http://www.revolver-requeen.com/","www.revolver-requeen.com")</f>
        <v>www.revolver-requeen.com</v>
      </c>
      <c r="J732" s="10">
        <v>13243.733</v>
      </c>
      <c r="K732" s="10">
        <v>12113.55</v>
      </c>
      <c r="L732" s="10">
        <v>10061.615</v>
      </c>
      <c r="M732" s="10">
        <v>271.24900000000002</v>
      </c>
      <c r="N732" s="10">
        <v>156.15799999999999</v>
      </c>
      <c r="O732" s="10">
        <v>-168.69</v>
      </c>
      <c r="P732" s="15" t="s">
        <v>3817</v>
      </c>
      <c r="Q732" s="10">
        <v>56</v>
      </c>
      <c r="R732" s="10">
        <v>62</v>
      </c>
    </row>
    <row r="733" spans="1:18" ht="17" customHeight="1" x14ac:dyDescent="0.15">
      <c r="A733" s="11" t="s">
        <v>3891</v>
      </c>
      <c r="B733" s="1" t="s">
        <v>3892</v>
      </c>
      <c r="C733" s="11" t="s">
        <v>3893</v>
      </c>
      <c r="D733" s="11" t="s">
        <v>3893</v>
      </c>
      <c r="E733" s="11" t="s">
        <v>3894</v>
      </c>
      <c r="F733" s="11" t="s">
        <v>3815</v>
      </c>
      <c r="G733" s="11" t="s">
        <v>3841</v>
      </c>
      <c r="H733" s="11" t="s">
        <v>3842</v>
      </c>
      <c r="I733" s="11" t="str">
        <f>HYPERLINK("http://dcadenim.com/","dcadenim.com")</f>
        <v>dcadenim.com</v>
      </c>
      <c r="J733" s="12">
        <v>11479.656000000001</v>
      </c>
      <c r="K733" s="12">
        <v>11479.656000000001</v>
      </c>
      <c r="L733" s="13">
        <v>10059.785</v>
      </c>
      <c r="M733" s="12">
        <v>414.03399999999999</v>
      </c>
      <c r="N733" s="12">
        <v>414.03399999999999</v>
      </c>
      <c r="O733" s="12">
        <v>633.78300000000002</v>
      </c>
      <c r="P733" s="12">
        <v>39</v>
      </c>
      <c r="Q733" s="12">
        <v>39</v>
      </c>
      <c r="R733" s="12">
        <v>31</v>
      </c>
    </row>
    <row r="734" spans="1:18" ht="17" customHeight="1" x14ac:dyDescent="0.15">
      <c r="A734" s="8" t="s">
        <v>3895</v>
      </c>
      <c r="B734" s="9" t="s">
        <v>3896</v>
      </c>
      <c r="C734" s="8" t="s">
        <v>3897</v>
      </c>
      <c r="D734" s="8" t="s">
        <v>3897</v>
      </c>
      <c r="E734" s="8" t="s">
        <v>3898</v>
      </c>
      <c r="F734" s="8" t="s">
        <v>3815</v>
      </c>
      <c r="G734" s="8" t="s">
        <v>3874</v>
      </c>
      <c r="H734" s="8" t="s">
        <v>3752</v>
      </c>
      <c r="I734" s="8" t="str">
        <f>HYPERLINK("http://www.tmbfashiongroup.com/","www.tmbfashiongroup.com")</f>
        <v>www.tmbfashiongroup.com</v>
      </c>
      <c r="J734" s="10">
        <v>13553.575000000001</v>
      </c>
      <c r="K734" s="10">
        <v>13553.575000000001</v>
      </c>
      <c r="L734" s="10">
        <v>10055.266</v>
      </c>
      <c r="M734" s="10">
        <v>208.44200000000001</v>
      </c>
      <c r="N734" s="10">
        <v>208.44200000000001</v>
      </c>
      <c r="O734" s="10">
        <v>447.755</v>
      </c>
      <c r="P734" s="10">
        <v>105</v>
      </c>
      <c r="Q734" s="10">
        <v>105</v>
      </c>
      <c r="R734" s="10">
        <v>97</v>
      </c>
    </row>
    <row r="735" spans="1:18" ht="17" customHeight="1" x14ac:dyDescent="0.15">
      <c r="A735" s="11" t="s">
        <v>3899</v>
      </c>
      <c r="B735" s="1" t="s">
        <v>3900</v>
      </c>
      <c r="C735" s="11" t="s">
        <v>3901</v>
      </c>
      <c r="D735" s="11" t="s">
        <v>3901</v>
      </c>
      <c r="E735" s="11" t="s">
        <v>3902</v>
      </c>
      <c r="F735" s="11" t="s">
        <v>3815</v>
      </c>
      <c r="G735" s="11" t="s">
        <v>3793</v>
      </c>
      <c r="H735" s="11" t="s">
        <v>3783</v>
      </c>
      <c r="I735" s="11" t="str">
        <f>HYPERLINK("http://www.0brand.co.uk/","www.0brand.co.uk")</f>
        <v>www.0brand.co.uk</v>
      </c>
      <c r="J735" s="12">
        <v>10533.37</v>
      </c>
      <c r="K735" s="12">
        <v>10533.37</v>
      </c>
      <c r="L735" s="13">
        <v>10039.361000000001</v>
      </c>
      <c r="M735" s="12">
        <v>-789.04100000000005</v>
      </c>
      <c r="N735" s="12">
        <v>-789.04100000000005</v>
      </c>
      <c r="O735" s="12">
        <v>-1195.4839999999999</v>
      </c>
      <c r="P735" s="12">
        <v>27</v>
      </c>
      <c r="Q735" s="12">
        <v>27</v>
      </c>
      <c r="R735" s="12">
        <v>27</v>
      </c>
    </row>
    <row r="736" spans="1:18" ht="29.5" customHeight="1" x14ac:dyDescent="0.15">
      <c r="A736" s="8" t="s">
        <v>3903</v>
      </c>
      <c r="B736" s="9" t="s">
        <v>3904</v>
      </c>
      <c r="C736" s="8" t="s">
        <v>3905</v>
      </c>
      <c r="D736" s="8" t="s">
        <v>3905</v>
      </c>
      <c r="E736" s="8" t="s">
        <v>3906</v>
      </c>
      <c r="F736" s="8" t="s">
        <v>3750</v>
      </c>
      <c r="G736" s="8" t="s">
        <v>3907</v>
      </c>
      <c r="H736" s="8" t="s">
        <v>3908</v>
      </c>
      <c r="I736" s="8" t="str">
        <f>HYPERLINK("http://www.logama.gruppoflorence.it/","http://www.logama.gruppoflorence.it")</f>
        <v>http://www.logama.gruppoflorence.it</v>
      </c>
      <c r="J736" s="10">
        <v>10082.187</v>
      </c>
      <c r="K736" s="10">
        <v>11907.937</v>
      </c>
      <c r="L736" s="10">
        <v>10024.584000000001</v>
      </c>
      <c r="M736" s="10">
        <v>1013.115</v>
      </c>
      <c r="N736" s="10">
        <v>1768.2670000000001</v>
      </c>
      <c r="O736" s="10">
        <v>1702.5119999999999</v>
      </c>
      <c r="P736" s="10">
        <v>98</v>
      </c>
      <c r="Q736" s="10">
        <v>96</v>
      </c>
      <c r="R736" s="10">
        <v>114</v>
      </c>
    </row>
    <row r="737" spans="1:18" ht="17" customHeight="1" x14ac:dyDescent="0.15">
      <c r="A737" s="11" t="s">
        <v>3909</v>
      </c>
      <c r="B737" s="1" t="s">
        <v>3910</v>
      </c>
      <c r="C737" s="11" t="s">
        <v>3911</v>
      </c>
      <c r="D737" s="11" t="s">
        <v>3912</v>
      </c>
      <c r="E737" s="11" t="s">
        <v>3913</v>
      </c>
      <c r="F737" s="11" t="s">
        <v>3914</v>
      </c>
      <c r="G737" s="11" t="s">
        <v>3915</v>
      </c>
      <c r="H737" s="11" t="s">
        <v>3916</v>
      </c>
      <c r="I737" s="11" t="str">
        <f>HYPERLINK("http://www.marfur.it/","http://www.marfur.it")</f>
        <v>http://www.marfur.it</v>
      </c>
      <c r="J737" s="12">
        <v>14519.61</v>
      </c>
      <c r="K737" s="12">
        <v>14519.61</v>
      </c>
      <c r="L737" s="13">
        <v>9979.0550000000003</v>
      </c>
      <c r="M737" s="12">
        <v>2004.838</v>
      </c>
      <c r="N737" s="12">
        <v>2004.838</v>
      </c>
      <c r="O737" s="12">
        <v>1413.3910000000001</v>
      </c>
      <c r="P737" s="12">
        <v>40</v>
      </c>
      <c r="Q737" s="12">
        <v>40</v>
      </c>
      <c r="R737" s="12">
        <v>34</v>
      </c>
    </row>
    <row r="738" spans="1:18" ht="17" customHeight="1" x14ac:dyDescent="0.15">
      <c r="A738" s="8" t="s">
        <v>3917</v>
      </c>
      <c r="B738" s="9" t="s">
        <v>3918</v>
      </c>
      <c r="C738" s="8" t="s">
        <v>3919</v>
      </c>
      <c r="D738" s="8" t="s">
        <v>3919</v>
      </c>
      <c r="E738" s="8" t="s">
        <v>3920</v>
      </c>
      <c r="F738" s="8" t="s">
        <v>3921</v>
      </c>
      <c r="G738" s="8" t="s">
        <v>3922</v>
      </c>
      <c r="H738" s="8" t="s">
        <v>3923</v>
      </c>
      <c r="I738" s="8" t="str">
        <f>HYPERLINK("http://www.denirobootco.com/","www.denirobootco.com")</f>
        <v>www.denirobootco.com</v>
      </c>
      <c r="J738" s="10">
        <v>9933.3909999999996</v>
      </c>
      <c r="K738" s="10">
        <v>9933.3909999999996</v>
      </c>
      <c r="L738" s="10">
        <v>9977.8649999999998</v>
      </c>
      <c r="M738" s="10">
        <v>515.38499999999999</v>
      </c>
      <c r="N738" s="10">
        <v>515.38499999999999</v>
      </c>
      <c r="O738" s="10">
        <v>231.54</v>
      </c>
      <c r="P738" s="10">
        <v>27</v>
      </c>
      <c r="Q738" s="10">
        <v>27</v>
      </c>
      <c r="R738" s="10">
        <v>27</v>
      </c>
    </row>
    <row r="739" spans="1:18" ht="17" customHeight="1" x14ac:dyDescent="0.15">
      <c r="A739" s="11" t="s">
        <v>3924</v>
      </c>
      <c r="B739" s="1" t="s">
        <v>3925</v>
      </c>
      <c r="C739" s="11" t="s">
        <v>3926</v>
      </c>
      <c r="D739" s="11" t="s">
        <v>3926</v>
      </c>
      <c r="E739" s="11" t="s">
        <v>3927</v>
      </c>
      <c r="F739" s="11" t="s">
        <v>3928</v>
      </c>
      <c r="G739" s="11" t="s">
        <v>3929</v>
      </c>
      <c r="H739" s="11" t="s">
        <v>3930</v>
      </c>
      <c r="I739" s="11" t="str">
        <f>HYPERLINK("http://www.bittosrl.it/","www.bittosrl.it")</f>
        <v>www.bittosrl.it</v>
      </c>
      <c r="J739" s="12">
        <v>7760.8720000000003</v>
      </c>
      <c r="K739" s="12">
        <v>7760.8720000000003</v>
      </c>
      <c r="L739" s="13">
        <v>9976.6129999999994</v>
      </c>
      <c r="M739" s="12">
        <v>232.03899999999999</v>
      </c>
      <c r="N739" s="12">
        <v>232.03899999999999</v>
      </c>
      <c r="O739" s="12">
        <v>-21.564</v>
      </c>
      <c r="P739" s="12">
        <v>48</v>
      </c>
      <c r="Q739" s="12">
        <v>48</v>
      </c>
      <c r="R739" s="12">
        <v>49</v>
      </c>
    </row>
    <row r="740" spans="1:18" ht="29.5" customHeight="1" x14ac:dyDescent="0.15">
      <c r="A740" s="8" t="s">
        <v>3931</v>
      </c>
      <c r="B740" s="9" t="s">
        <v>3932</v>
      </c>
      <c r="C740" s="8" t="s">
        <v>3933</v>
      </c>
      <c r="D740" s="8" t="s">
        <v>3933</v>
      </c>
      <c r="E740" s="8" t="s">
        <v>3934</v>
      </c>
      <c r="F740" s="8" t="s">
        <v>3921</v>
      </c>
      <c r="G740" s="8" t="s">
        <v>3935</v>
      </c>
      <c r="H740" s="8" t="s">
        <v>3936</v>
      </c>
      <c r="I740" s="8" t="str">
        <f>HYPERLINK("http://giorgiofabiani.it/","giorgiofabiani.it")</f>
        <v>giorgiofabiani.it</v>
      </c>
      <c r="J740" s="10">
        <v>11032.992</v>
      </c>
      <c r="K740" s="10">
        <v>11032.992</v>
      </c>
      <c r="L740" s="10">
        <v>9965.2090000000007</v>
      </c>
      <c r="M740" s="10">
        <v>-239.411</v>
      </c>
      <c r="N740" s="10">
        <v>-239.411</v>
      </c>
      <c r="O740" s="10">
        <v>232.53200000000001</v>
      </c>
      <c r="P740" s="10">
        <v>70</v>
      </c>
      <c r="Q740" s="10">
        <v>70</v>
      </c>
      <c r="R740" s="10">
        <v>64</v>
      </c>
    </row>
    <row r="741" spans="1:18" ht="29.5" customHeight="1" x14ac:dyDescent="0.15">
      <c r="A741" s="11" t="s">
        <v>3937</v>
      </c>
      <c r="B741" s="1" t="s">
        <v>3938</v>
      </c>
      <c r="C741" s="11" t="s">
        <v>3939</v>
      </c>
      <c r="D741" s="11" t="s">
        <v>3939</v>
      </c>
      <c r="E741" s="11" t="s">
        <v>3940</v>
      </c>
      <c r="F741" s="11" t="s">
        <v>3941</v>
      </c>
      <c r="G741" s="11" t="s">
        <v>3942</v>
      </c>
      <c r="H741" s="11" t="s">
        <v>3943</v>
      </c>
      <c r="I741" s="11" t="str">
        <f>HYPERLINK("http://www.maglificioumbriaverde.it/","www.maglificioumbriaverde.it")</f>
        <v>www.maglificioumbriaverde.it</v>
      </c>
      <c r="J741" s="12">
        <v>17418.081999999999</v>
      </c>
      <c r="K741" s="12">
        <v>17418.081999999999</v>
      </c>
      <c r="L741" s="13">
        <v>9958.2890000000007</v>
      </c>
      <c r="M741" s="12">
        <v>3142.3910000000001</v>
      </c>
      <c r="N741" s="12">
        <v>3142.3910000000001</v>
      </c>
      <c r="O741" s="12">
        <v>1473.4970000000001</v>
      </c>
      <c r="P741" s="12">
        <v>75</v>
      </c>
      <c r="Q741" s="12">
        <v>75</v>
      </c>
      <c r="R741" s="12">
        <v>54</v>
      </c>
    </row>
    <row r="742" spans="1:18" ht="17" customHeight="1" x14ac:dyDescent="0.15">
      <c r="A742" s="8" t="s">
        <v>3944</v>
      </c>
      <c r="B742" s="9" t="s">
        <v>3945</v>
      </c>
      <c r="C742" s="8" t="s">
        <v>3946</v>
      </c>
      <c r="D742" s="8" t="s">
        <v>3946</v>
      </c>
      <c r="E742" s="8" t="s">
        <v>3947</v>
      </c>
      <c r="F742" s="8" t="s">
        <v>3948</v>
      </c>
      <c r="G742" s="8" t="s">
        <v>3949</v>
      </c>
      <c r="H742" s="8" t="s">
        <v>3930</v>
      </c>
      <c r="I742" s="8" t="str">
        <f>HYPERLINK("http://www.ninaray.com/","www.ninaray.com")</f>
        <v>www.ninaray.com</v>
      </c>
      <c r="J742" s="10">
        <v>11648.508</v>
      </c>
      <c r="K742" s="10">
        <v>11648.508</v>
      </c>
      <c r="L742" s="10">
        <v>9955.0159999999996</v>
      </c>
      <c r="M742" s="10">
        <v>134.90600000000001</v>
      </c>
      <c r="N742" s="10">
        <v>134.90600000000001</v>
      </c>
      <c r="O742" s="10">
        <v>-462.70499999999998</v>
      </c>
      <c r="P742" s="10">
        <v>56</v>
      </c>
      <c r="Q742" s="10">
        <v>56</v>
      </c>
      <c r="R742" s="10">
        <v>46</v>
      </c>
    </row>
    <row r="743" spans="1:18" ht="17" customHeight="1" x14ac:dyDescent="0.15">
      <c r="A743" s="11" t="s">
        <v>3950</v>
      </c>
      <c r="B743" s="1" t="s">
        <v>3951</v>
      </c>
      <c r="C743" s="11" t="s">
        <v>3952</v>
      </c>
      <c r="D743" s="11" t="s">
        <v>3952</v>
      </c>
      <c r="E743" s="11" t="s">
        <v>3953</v>
      </c>
      <c r="F743" s="11" t="s">
        <v>3941</v>
      </c>
      <c r="G743" s="11" t="s">
        <v>3954</v>
      </c>
      <c r="H743" s="11" t="s">
        <v>3955</v>
      </c>
      <c r="I743" s="11" t="str">
        <f>HYPERLINK("http://www.alphabetmoda.it/","www.alphabetmoda.it")</f>
        <v>www.alphabetmoda.it</v>
      </c>
      <c r="J743" s="12">
        <v>9437.9050000000007</v>
      </c>
      <c r="K743" s="12">
        <v>9437.9050000000007</v>
      </c>
      <c r="L743" s="13">
        <v>9945.8230000000003</v>
      </c>
      <c r="M743" s="12">
        <v>177.727</v>
      </c>
      <c r="N743" s="12">
        <v>177.727</v>
      </c>
      <c r="O743" s="12">
        <v>14.618</v>
      </c>
      <c r="P743" s="14" t="s">
        <v>3956</v>
      </c>
      <c r="Q743" s="14" t="s">
        <v>3956</v>
      </c>
      <c r="R743" s="12">
        <v>10</v>
      </c>
    </row>
    <row r="744" spans="1:18" ht="17" customHeight="1" x14ac:dyDescent="0.15">
      <c r="A744" s="8" t="s">
        <v>3957</v>
      </c>
      <c r="B744" s="9" t="s">
        <v>3958</v>
      </c>
      <c r="C744" s="8" t="s">
        <v>3959</v>
      </c>
      <c r="D744" s="8" t="s">
        <v>3959</v>
      </c>
      <c r="E744" s="8" t="s">
        <v>3960</v>
      </c>
      <c r="F744" s="8" t="s">
        <v>3961</v>
      </c>
      <c r="G744" s="8" t="s">
        <v>3962</v>
      </c>
      <c r="H744" s="8" t="s">
        <v>3963</v>
      </c>
      <c r="I744" s="8" t="str">
        <f>HYPERLINK("http://perwangerleather.com/","perwangerleather.com")</f>
        <v>perwangerleather.com</v>
      </c>
      <c r="J744" s="10">
        <v>8365.1720000000005</v>
      </c>
      <c r="K744" s="10">
        <v>8365.1720000000005</v>
      </c>
      <c r="L744" s="10">
        <v>9940.6759999999995</v>
      </c>
      <c r="M744" s="10">
        <v>768.226</v>
      </c>
      <c r="N744" s="10">
        <v>768.226</v>
      </c>
      <c r="O744" s="10">
        <v>962.65700000000004</v>
      </c>
      <c r="P744" s="10">
        <v>10</v>
      </c>
      <c r="Q744" s="10">
        <v>10</v>
      </c>
      <c r="R744" s="10">
        <v>10</v>
      </c>
    </row>
    <row r="745" spans="1:18" ht="17" customHeight="1" x14ac:dyDescent="0.15">
      <c r="A745" s="11" t="s">
        <v>3964</v>
      </c>
      <c r="B745" s="1" t="s">
        <v>3965</v>
      </c>
      <c r="C745" s="11" t="s">
        <v>3966</v>
      </c>
      <c r="D745" s="11" t="s">
        <v>3966</v>
      </c>
      <c r="E745" s="11" t="s">
        <v>3967</v>
      </c>
      <c r="F745" s="11" t="s">
        <v>3968</v>
      </c>
      <c r="G745" s="11" t="s">
        <v>3969</v>
      </c>
      <c r="H745" s="11" t="s">
        <v>3930</v>
      </c>
      <c r="I745" s="11" t="str">
        <f>HYPERLINK("http://aironesrl.it/","aironesrl.it")</f>
        <v>aironesrl.it</v>
      </c>
      <c r="J745" s="12">
        <v>11490.628000000001</v>
      </c>
      <c r="K745" s="12">
        <v>11490.628000000001</v>
      </c>
      <c r="L745" s="13">
        <v>9932.2430000000004</v>
      </c>
      <c r="M745" s="12">
        <v>125.60899999999999</v>
      </c>
      <c r="N745" s="12">
        <v>125.60899999999999</v>
      </c>
      <c r="O745" s="12">
        <v>1.1930000000000001</v>
      </c>
      <c r="P745" s="12">
        <v>28</v>
      </c>
      <c r="Q745" s="12">
        <v>28</v>
      </c>
      <c r="R745" s="12">
        <v>39</v>
      </c>
    </row>
    <row r="746" spans="1:18" ht="17" customHeight="1" x14ac:dyDescent="0.15">
      <c r="A746" s="8" t="s">
        <v>3970</v>
      </c>
      <c r="B746" s="9" t="s">
        <v>3971</v>
      </c>
      <c r="C746" s="8" t="s">
        <v>3972</v>
      </c>
      <c r="D746" s="8" t="s">
        <v>3972</v>
      </c>
      <c r="E746" s="8" t="s">
        <v>3973</v>
      </c>
      <c r="F746" s="8" t="s">
        <v>3948</v>
      </c>
      <c r="G746" s="8" t="s">
        <v>3974</v>
      </c>
      <c r="H746" s="8" t="s">
        <v>3975</v>
      </c>
      <c r="I746" s="8" t="str">
        <f>HYPERLINK("http://www.cabifi.it/","www.cabifi.it")</f>
        <v>www.cabifi.it</v>
      </c>
      <c r="J746" s="10">
        <v>9559.7649999999994</v>
      </c>
      <c r="K746" s="10">
        <v>9559.7649999999994</v>
      </c>
      <c r="L746" s="10">
        <v>9894.4979999999996</v>
      </c>
      <c r="M746" s="10">
        <v>-456.36700000000002</v>
      </c>
      <c r="N746" s="10">
        <v>-456.36700000000002</v>
      </c>
      <c r="O746" s="10">
        <v>5.5869999999999997</v>
      </c>
      <c r="P746" s="10">
        <v>38</v>
      </c>
      <c r="Q746" s="10">
        <v>38</v>
      </c>
      <c r="R746" s="10">
        <v>39</v>
      </c>
    </row>
    <row r="747" spans="1:18" ht="29.5" customHeight="1" x14ac:dyDescent="0.15">
      <c r="A747" s="11" t="s">
        <v>3976</v>
      </c>
      <c r="B747" s="1" t="s">
        <v>3977</v>
      </c>
      <c r="C747" s="11" t="s">
        <v>3978</v>
      </c>
      <c r="D747" s="11" t="s">
        <v>3978</v>
      </c>
      <c r="E747" s="11" t="s">
        <v>3979</v>
      </c>
      <c r="F747" s="11" t="s">
        <v>3921</v>
      </c>
      <c r="G747" s="11" t="s">
        <v>3980</v>
      </c>
      <c r="H747" s="11" t="s">
        <v>3955</v>
      </c>
      <c r="I747" s="11" t="str">
        <f>HYPERLINK("http://lucagrossi.it/","lucagrossi.it")</f>
        <v>lucagrossi.it</v>
      </c>
      <c r="J747" s="12">
        <v>12749.71</v>
      </c>
      <c r="K747" s="12">
        <v>12749.71</v>
      </c>
      <c r="L747" s="13">
        <v>9856.89</v>
      </c>
      <c r="M747" s="12">
        <v>259.14800000000002</v>
      </c>
      <c r="N747" s="12">
        <v>259.14800000000002</v>
      </c>
      <c r="O747" s="12">
        <v>189.696</v>
      </c>
      <c r="P747" s="12">
        <v>45</v>
      </c>
      <c r="Q747" s="12">
        <v>45</v>
      </c>
      <c r="R747" s="12">
        <v>37</v>
      </c>
    </row>
    <row r="748" spans="1:18" ht="17" customHeight="1" x14ac:dyDescent="0.15">
      <c r="A748" s="8" t="s">
        <v>3981</v>
      </c>
      <c r="B748" s="9" t="s">
        <v>3982</v>
      </c>
      <c r="C748" s="8" t="s">
        <v>3983</v>
      </c>
      <c r="D748" s="8" t="s">
        <v>3983</v>
      </c>
      <c r="E748" s="8" t="s">
        <v>3984</v>
      </c>
      <c r="F748" s="8" t="s">
        <v>3961</v>
      </c>
      <c r="G748" s="8" t="s">
        <v>3985</v>
      </c>
      <c r="H748" s="8" t="s">
        <v>3916</v>
      </c>
      <c r="I748" s="8" t="str">
        <f>HYPERLINK("http://conceriajunior.it/","conceriajunior.it")</f>
        <v>conceriajunior.it</v>
      </c>
      <c r="J748" s="10">
        <v>8802.9249999999993</v>
      </c>
      <c r="K748" s="10">
        <v>8802.9249999999993</v>
      </c>
      <c r="L748" s="10">
        <v>9845.7099999999991</v>
      </c>
      <c r="M748" s="10">
        <v>74.248000000000005</v>
      </c>
      <c r="N748" s="10">
        <v>74.248000000000005</v>
      </c>
      <c r="O748" s="10">
        <v>242.36600000000001</v>
      </c>
      <c r="P748" s="10">
        <v>21</v>
      </c>
      <c r="Q748" s="10">
        <v>21</v>
      </c>
      <c r="R748" s="10">
        <v>21</v>
      </c>
    </row>
    <row r="749" spans="1:18" ht="17" customHeight="1" x14ac:dyDescent="0.15">
      <c r="A749" s="11" t="s">
        <v>3986</v>
      </c>
      <c r="B749" s="1" t="s">
        <v>3987</v>
      </c>
      <c r="C749" s="11" t="s">
        <v>3988</v>
      </c>
      <c r="D749" s="11" t="s">
        <v>3988</v>
      </c>
      <c r="E749" s="11" t="s">
        <v>3989</v>
      </c>
      <c r="F749" s="11" t="s">
        <v>3921</v>
      </c>
      <c r="G749" s="11" t="s">
        <v>3990</v>
      </c>
      <c r="H749" s="11" t="s">
        <v>3991</v>
      </c>
      <c r="I749" s="11" t="str">
        <f>HYPERLINK("http://www.calzaturificiocespo.com/","www.calzaturificiocespo.com")</f>
        <v>www.calzaturificiocespo.com</v>
      </c>
      <c r="J749" s="12">
        <v>8848.3979999999992</v>
      </c>
      <c r="K749" s="12">
        <v>8848.3979999999992</v>
      </c>
      <c r="L749" s="13">
        <v>9841.8330000000005</v>
      </c>
      <c r="M749" s="12">
        <v>611.18899999999996</v>
      </c>
      <c r="N749" s="12">
        <v>611.18899999999996</v>
      </c>
      <c r="O749" s="12">
        <v>494.78899999999999</v>
      </c>
      <c r="P749" s="14" t="s">
        <v>3956</v>
      </c>
      <c r="Q749" s="14" t="s">
        <v>3956</v>
      </c>
      <c r="R749" s="12">
        <v>37</v>
      </c>
    </row>
    <row r="750" spans="1:18" ht="17" customHeight="1" x14ac:dyDescent="0.15">
      <c r="A750" s="8" t="s">
        <v>3992</v>
      </c>
      <c r="B750" s="9" t="s">
        <v>3993</v>
      </c>
      <c r="C750" s="8" t="s">
        <v>3994</v>
      </c>
      <c r="D750" s="8" t="s">
        <v>3994</v>
      </c>
      <c r="E750" s="8" t="s">
        <v>3995</v>
      </c>
      <c r="F750" s="8" t="s">
        <v>3921</v>
      </c>
      <c r="G750" s="8" t="s">
        <v>3996</v>
      </c>
      <c r="H750" s="8" t="s">
        <v>3955</v>
      </c>
      <c r="I750" s="8" t="str">
        <f>HYPERLINK("http://m.exclusivesrl.com/","m.exclusivesrl.com")</f>
        <v>m.exclusivesrl.com</v>
      </c>
      <c r="J750" s="10">
        <v>8520.16</v>
      </c>
      <c r="K750" s="10">
        <v>8520.16</v>
      </c>
      <c r="L750" s="10">
        <v>9834.223</v>
      </c>
      <c r="M750" s="10">
        <v>116.253</v>
      </c>
      <c r="N750" s="10">
        <v>116.253</v>
      </c>
      <c r="O750" s="10">
        <v>101.03400000000001</v>
      </c>
      <c r="P750" s="10">
        <v>51</v>
      </c>
      <c r="Q750" s="10">
        <v>51</v>
      </c>
      <c r="R750" s="10">
        <v>51</v>
      </c>
    </row>
    <row r="751" spans="1:18" ht="17" customHeight="1" x14ac:dyDescent="0.15">
      <c r="A751" s="11" t="s">
        <v>3997</v>
      </c>
      <c r="B751" s="1" t="s">
        <v>3998</v>
      </c>
      <c r="C751" s="11" t="s">
        <v>3999</v>
      </c>
      <c r="D751" s="11" t="s">
        <v>3999</v>
      </c>
      <c r="E751" s="11" t="s">
        <v>4000</v>
      </c>
      <c r="F751" s="11" t="s">
        <v>3961</v>
      </c>
      <c r="G751" s="11" t="s">
        <v>3985</v>
      </c>
      <c r="H751" s="11" t="s">
        <v>3916</v>
      </c>
      <c r="I751" s="11" t="str">
        <f>HYPERLINK("http://www.lalimeprocess.com/","www.lalimeprocess.com")</f>
        <v>www.lalimeprocess.com</v>
      </c>
      <c r="J751" s="12">
        <v>10053.689</v>
      </c>
      <c r="K751" s="12">
        <v>10053.689</v>
      </c>
      <c r="L751" s="13">
        <v>9825.06</v>
      </c>
      <c r="M751" s="12">
        <v>19.79</v>
      </c>
      <c r="N751" s="12">
        <v>19.79</v>
      </c>
      <c r="O751" s="12">
        <v>16.010000000000002</v>
      </c>
      <c r="P751" s="12">
        <v>13</v>
      </c>
      <c r="Q751" s="12">
        <v>13</v>
      </c>
      <c r="R751" s="12">
        <v>13</v>
      </c>
    </row>
    <row r="752" spans="1:18" ht="29.5" customHeight="1" x14ac:dyDescent="0.15">
      <c r="A752" s="8" t="s">
        <v>4001</v>
      </c>
      <c r="B752" s="9" t="s">
        <v>4002</v>
      </c>
      <c r="C752" s="8" t="s">
        <v>4003</v>
      </c>
      <c r="D752" s="8" t="s">
        <v>4003</v>
      </c>
      <c r="E752" s="8" t="s">
        <v>4004</v>
      </c>
      <c r="F752" s="8" t="s">
        <v>3921</v>
      </c>
      <c r="G752" s="8" t="s">
        <v>3929</v>
      </c>
      <c r="H752" s="8" t="s">
        <v>3930</v>
      </c>
      <c r="I752" s="8" t="str">
        <f>HYPERLINK("http://www.angelocoppola.eu/","www.angelocoppola.eu")</f>
        <v>www.angelocoppola.eu</v>
      </c>
      <c r="J752" s="10">
        <v>10886.272000000001</v>
      </c>
      <c r="K752" s="10">
        <v>10886.272000000001</v>
      </c>
      <c r="L752" s="10">
        <v>9795.1350000000002</v>
      </c>
      <c r="M752" s="10">
        <v>-9.0109999999999992</v>
      </c>
      <c r="N752" s="10">
        <v>-9.0109999999999992</v>
      </c>
      <c r="O752" s="10">
        <v>46.569000000000003</v>
      </c>
      <c r="P752" s="10">
        <v>74</v>
      </c>
      <c r="Q752" s="10">
        <v>74</v>
      </c>
      <c r="R752" s="10">
        <v>72</v>
      </c>
    </row>
    <row r="753" spans="1:18" ht="17" customHeight="1" x14ac:dyDescent="0.15">
      <c r="A753" s="11" t="s">
        <v>4005</v>
      </c>
      <c r="B753" s="1" t="s">
        <v>4006</v>
      </c>
      <c r="C753" s="11" t="s">
        <v>4007</v>
      </c>
      <c r="D753" s="11" t="s">
        <v>4007</v>
      </c>
      <c r="E753" s="11" t="s">
        <v>4008</v>
      </c>
      <c r="F753" s="11" t="s">
        <v>4009</v>
      </c>
      <c r="G753" s="11" t="s">
        <v>4010</v>
      </c>
      <c r="H753" s="11" t="s">
        <v>3916</v>
      </c>
      <c r="I753" s="11" t="str">
        <f>HYPERLINK("http://www.keidosportswear.com/","www.keidosportswear.com")</f>
        <v>www.keidosportswear.com</v>
      </c>
      <c r="J753" s="12">
        <v>4901.268</v>
      </c>
      <c r="K753" s="12">
        <v>5005.9440000000004</v>
      </c>
      <c r="L753" s="13">
        <v>9789.1569999999992</v>
      </c>
      <c r="M753" s="12">
        <v>119.84</v>
      </c>
      <c r="N753" s="12">
        <v>-266.44900000000001</v>
      </c>
      <c r="O753" s="12">
        <v>672.27200000000005</v>
      </c>
      <c r="P753" s="12">
        <v>29</v>
      </c>
      <c r="Q753" s="12">
        <v>29</v>
      </c>
      <c r="R753" s="12">
        <v>31</v>
      </c>
    </row>
    <row r="754" spans="1:18" ht="17" customHeight="1" x14ac:dyDescent="0.15">
      <c r="A754" s="8" t="s">
        <v>4011</v>
      </c>
      <c r="B754" s="9" t="s">
        <v>4012</v>
      </c>
      <c r="C754" s="8" t="s">
        <v>4013</v>
      </c>
      <c r="D754" s="8" t="s">
        <v>4013</v>
      </c>
      <c r="E754" s="8" t="s">
        <v>4014</v>
      </c>
      <c r="F754" s="8" t="s">
        <v>4015</v>
      </c>
      <c r="G754" s="8" t="s">
        <v>4016</v>
      </c>
      <c r="H754" s="8" t="s">
        <v>3923</v>
      </c>
      <c r="I754" s="8" t="str">
        <f>HYPERLINK("http://www.antonysrl.com/","www.antonysrl.com")</f>
        <v>www.antonysrl.com</v>
      </c>
      <c r="J754" s="10">
        <v>10188.482</v>
      </c>
      <c r="K754" s="10">
        <v>10188.482</v>
      </c>
      <c r="L754" s="10">
        <v>9782.6839999999993</v>
      </c>
      <c r="M754" s="10">
        <v>89.361999999999995</v>
      </c>
      <c r="N754" s="10">
        <v>89.361999999999995</v>
      </c>
      <c r="O754" s="10">
        <v>65.337000000000003</v>
      </c>
      <c r="P754" s="15" t="s">
        <v>3956</v>
      </c>
      <c r="Q754" s="15" t="s">
        <v>3956</v>
      </c>
      <c r="R754" s="10">
        <v>24</v>
      </c>
    </row>
    <row r="755" spans="1:18" ht="17" customHeight="1" x14ac:dyDescent="0.15">
      <c r="A755" s="11" t="s">
        <v>4017</v>
      </c>
      <c r="B755" s="1" t="s">
        <v>4018</v>
      </c>
      <c r="C755" s="11" t="s">
        <v>4019</v>
      </c>
      <c r="D755" s="11" t="s">
        <v>4019</v>
      </c>
      <c r="E755" s="11" t="s">
        <v>4020</v>
      </c>
      <c r="F755" s="11" t="s">
        <v>4009</v>
      </c>
      <c r="G755" s="11" t="s">
        <v>4021</v>
      </c>
      <c r="H755" s="11" t="s">
        <v>3930</v>
      </c>
      <c r="I755" s="11" t="str">
        <f>HYPERLINK("http://www.zerorh.com/","www.zerorh.com")</f>
        <v>www.zerorh.com</v>
      </c>
      <c r="J755" s="12">
        <v>9903.6080000000002</v>
      </c>
      <c r="K755" s="12">
        <v>9903.6080000000002</v>
      </c>
      <c r="L755" s="13">
        <v>9777.1149999999998</v>
      </c>
      <c r="M755" s="12">
        <v>405.46899999999999</v>
      </c>
      <c r="N755" s="12">
        <v>405.46899999999999</v>
      </c>
      <c r="O755" s="12">
        <v>69.015000000000001</v>
      </c>
      <c r="P755" s="12">
        <v>24</v>
      </c>
      <c r="Q755" s="12">
        <v>24</v>
      </c>
      <c r="R755" s="12">
        <v>26</v>
      </c>
    </row>
    <row r="756" spans="1:18" ht="17" customHeight="1" x14ac:dyDescent="0.15">
      <c r="A756" s="8" t="s">
        <v>4022</v>
      </c>
      <c r="B756" s="9" t="s">
        <v>4023</v>
      </c>
      <c r="C756" s="8" t="s">
        <v>4024</v>
      </c>
      <c r="D756" s="8" t="s">
        <v>4024</v>
      </c>
      <c r="E756" s="8" t="s">
        <v>4025</v>
      </c>
      <c r="F756" s="8" t="s">
        <v>3968</v>
      </c>
      <c r="G756" s="8" t="s">
        <v>4026</v>
      </c>
      <c r="H756" s="8" t="s">
        <v>3930</v>
      </c>
      <c r="I756" s="8" t="str">
        <f>HYPERLINK("http://www.iberjeans.com/","www.iberjeans.com")</f>
        <v>www.iberjeans.com</v>
      </c>
      <c r="J756" s="10">
        <v>8632.4969999999994</v>
      </c>
      <c r="K756" s="10">
        <v>9926.9140000000007</v>
      </c>
      <c r="L756" s="10">
        <v>9773.9110000000001</v>
      </c>
      <c r="M756" s="10">
        <v>451.09300000000002</v>
      </c>
      <c r="N756" s="10">
        <v>554.80399999999997</v>
      </c>
      <c r="O756" s="10">
        <v>287.17599999999999</v>
      </c>
      <c r="P756" s="10">
        <v>14</v>
      </c>
      <c r="Q756" s="10">
        <v>16</v>
      </c>
      <c r="R756" s="10">
        <v>15</v>
      </c>
    </row>
    <row r="757" spans="1:18" ht="17" customHeight="1" x14ac:dyDescent="0.15">
      <c r="A757" s="11" t="s">
        <v>4027</v>
      </c>
      <c r="B757" s="1" t="s">
        <v>4028</v>
      </c>
      <c r="C757" s="11" t="s">
        <v>4029</v>
      </c>
      <c r="D757" s="11" t="s">
        <v>4029</v>
      </c>
      <c r="E757" s="11" t="s">
        <v>4030</v>
      </c>
      <c r="F757" s="11" t="s">
        <v>3921</v>
      </c>
      <c r="G757" s="11" t="s">
        <v>4031</v>
      </c>
      <c r="H757" s="11" t="s">
        <v>3955</v>
      </c>
      <c r="I757" s="11" t="str">
        <f>HYPERLINK("http://www.manifattureilfaro.it/","www.manifattureilfaro.it")</f>
        <v>www.manifattureilfaro.it</v>
      </c>
      <c r="J757" s="12">
        <v>13038.745000000001</v>
      </c>
      <c r="K757" s="12">
        <v>13038.745000000001</v>
      </c>
      <c r="L757" s="13">
        <v>9766.3880000000008</v>
      </c>
      <c r="M757" s="12">
        <v>62.581000000000003</v>
      </c>
      <c r="N757" s="12">
        <v>62.581000000000003</v>
      </c>
      <c r="O757" s="12">
        <v>93.738</v>
      </c>
      <c r="P757" s="12">
        <v>49</v>
      </c>
      <c r="Q757" s="12">
        <v>49</v>
      </c>
      <c r="R757" s="12">
        <v>34</v>
      </c>
    </row>
    <row r="758" spans="1:18" ht="17" customHeight="1" x14ac:dyDescent="0.15">
      <c r="A758" s="8" t="s">
        <v>4032</v>
      </c>
      <c r="B758" s="9" t="s">
        <v>4033</v>
      </c>
      <c r="C758" s="8" t="s">
        <v>4034</v>
      </c>
      <c r="D758" s="8" t="s">
        <v>4034</v>
      </c>
      <c r="E758" s="8" t="s">
        <v>4035</v>
      </c>
      <c r="F758" s="8" t="s">
        <v>4036</v>
      </c>
      <c r="G758" s="8" t="s">
        <v>4031</v>
      </c>
      <c r="H758" s="8" t="s">
        <v>3955</v>
      </c>
      <c r="I758" s="8" t="str">
        <f>HYPERLINK("http://www.marcoshoes.it/","www.marcoshoes.it")</f>
        <v>www.marcoshoes.it</v>
      </c>
      <c r="J758" s="10">
        <v>10832.882</v>
      </c>
      <c r="K758" s="10">
        <v>10832.882</v>
      </c>
      <c r="L758" s="10">
        <v>9764.0689999999995</v>
      </c>
      <c r="M758" s="10">
        <v>353.33</v>
      </c>
      <c r="N758" s="10">
        <v>353.33</v>
      </c>
      <c r="O758" s="10">
        <v>96.783000000000001</v>
      </c>
      <c r="P758" s="10">
        <v>23</v>
      </c>
      <c r="Q758" s="10">
        <v>23</v>
      </c>
      <c r="R758" s="10">
        <v>24</v>
      </c>
    </row>
    <row r="759" spans="1:18" ht="17" customHeight="1" x14ac:dyDescent="0.15">
      <c r="A759" s="11" t="s">
        <v>4037</v>
      </c>
      <c r="B759" s="1" t="s">
        <v>4038</v>
      </c>
      <c r="C759" s="11" t="s">
        <v>4039</v>
      </c>
      <c r="D759" s="11" t="s">
        <v>4039</v>
      </c>
      <c r="E759" s="11" t="s">
        <v>4040</v>
      </c>
      <c r="F759" s="11" t="s">
        <v>3961</v>
      </c>
      <c r="G759" s="11" t="s">
        <v>3985</v>
      </c>
      <c r="H759" s="11" t="s">
        <v>3916</v>
      </c>
      <c r="I759" s="11" t="str">
        <f>HYPERLINK("http://www.gmleatherspa.com/","www.gmleatherspa.com")</f>
        <v>www.gmleatherspa.com</v>
      </c>
      <c r="J759" s="12">
        <v>17655.260999999999</v>
      </c>
      <c r="K759" s="12">
        <v>17655.260999999999</v>
      </c>
      <c r="L759" s="13">
        <v>9730.9439999999995</v>
      </c>
      <c r="M759" s="12">
        <v>273.75700000000001</v>
      </c>
      <c r="N759" s="12">
        <v>273.75700000000001</v>
      </c>
      <c r="O759" s="12">
        <v>130.05000000000001</v>
      </c>
      <c r="P759" s="12">
        <v>78</v>
      </c>
      <c r="Q759" s="12">
        <v>78</v>
      </c>
      <c r="R759" s="12">
        <v>47</v>
      </c>
    </row>
    <row r="760" spans="1:18" ht="17" customHeight="1" x14ac:dyDescent="0.15">
      <c r="A760" s="8" t="s">
        <v>4041</v>
      </c>
      <c r="B760" s="9" t="s">
        <v>4042</v>
      </c>
      <c r="C760" s="8" t="s">
        <v>4043</v>
      </c>
      <c r="D760" s="8" t="s">
        <v>4044</v>
      </c>
      <c r="E760" s="8" t="s">
        <v>4045</v>
      </c>
      <c r="F760" s="8" t="s">
        <v>3968</v>
      </c>
      <c r="G760" s="8" t="s">
        <v>3969</v>
      </c>
      <c r="H760" s="8" t="s">
        <v>3930</v>
      </c>
      <c r="I760" s="8" t="str">
        <f>HYPERLINK("http://www.pango.it/","www.pango.it")</f>
        <v>www.pango.it</v>
      </c>
      <c r="J760" s="10">
        <v>11699.473</v>
      </c>
      <c r="K760" s="10">
        <v>11699.473</v>
      </c>
      <c r="L760" s="10">
        <v>9730.7919999999995</v>
      </c>
      <c r="M760" s="10">
        <v>58.521000000000001</v>
      </c>
      <c r="N760" s="10">
        <v>58.521000000000001</v>
      </c>
      <c r="O760" s="10">
        <v>-226.63200000000001</v>
      </c>
      <c r="P760" s="10">
        <v>39</v>
      </c>
      <c r="Q760" s="10">
        <v>39</v>
      </c>
      <c r="R760" s="10">
        <v>39</v>
      </c>
    </row>
    <row r="761" spans="1:18" ht="17" customHeight="1" x14ac:dyDescent="0.15">
      <c r="A761" s="11" t="s">
        <v>4046</v>
      </c>
      <c r="B761" s="1" t="s">
        <v>4047</v>
      </c>
      <c r="C761" s="11" t="s">
        <v>4048</v>
      </c>
      <c r="D761" s="11" t="s">
        <v>4048</v>
      </c>
      <c r="E761" s="11" t="s">
        <v>4049</v>
      </c>
      <c r="F761" s="11" t="s">
        <v>3941</v>
      </c>
      <c r="G761" s="11" t="s">
        <v>3929</v>
      </c>
      <c r="H761" s="11" t="s">
        <v>3930</v>
      </c>
      <c r="I761" s="11" t="str">
        <f>HYPERLINK("http://www.liapull.com/","www.liapull.com")</f>
        <v>www.liapull.com</v>
      </c>
      <c r="J761" s="12">
        <v>10425.343999999999</v>
      </c>
      <c r="K761" s="12">
        <v>10425.343999999999</v>
      </c>
      <c r="L761" s="13">
        <v>9728.1720000000005</v>
      </c>
      <c r="M761" s="12">
        <v>300.90600000000001</v>
      </c>
      <c r="N761" s="12">
        <v>300.90600000000001</v>
      </c>
      <c r="O761" s="12">
        <v>160.31</v>
      </c>
      <c r="P761" s="12">
        <v>32</v>
      </c>
      <c r="Q761" s="12">
        <v>32</v>
      </c>
      <c r="R761" s="12">
        <v>28</v>
      </c>
    </row>
    <row r="762" spans="1:18" ht="17" customHeight="1" x14ac:dyDescent="0.15">
      <c r="A762" s="8" t="s">
        <v>4050</v>
      </c>
      <c r="B762" s="9" t="s">
        <v>4051</v>
      </c>
      <c r="C762" s="8" t="s">
        <v>4052</v>
      </c>
      <c r="D762" s="8" t="s">
        <v>4052</v>
      </c>
      <c r="E762" s="8" t="s">
        <v>4053</v>
      </c>
      <c r="F762" s="8" t="s">
        <v>3941</v>
      </c>
      <c r="G762" s="8" t="s">
        <v>3990</v>
      </c>
      <c r="H762" s="8" t="s">
        <v>3991</v>
      </c>
      <c r="I762" s="8" t="str">
        <f>HYPERLINK("http://www.paolonero.it/","www.paolonero.it")</f>
        <v>www.paolonero.it</v>
      </c>
      <c r="J762" s="10">
        <v>10186.718999999999</v>
      </c>
      <c r="K762" s="10">
        <v>10186.718999999999</v>
      </c>
      <c r="L762" s="10">
        <v>9727.8040000000001</v>
      </c>
      <c r="M762" s="10">
        <v>485.80399999999997</v>
      </c>
      <c r="N762" s="10">
        <v>485.80399999999997</v>
      </c>
      <c r="O762" s="10">
        <v>438.40600000000001</v>
      </c>
      <c r="P762" s="10">
        <v>14</v>
      </c>
      <c r="Q762" s="10">
        <v>14</v>
      </c>
      <c r="R762" s="10">
        <v>13</v>
      </c>
    </row>
    <row r="763" spans="1:18" ht="43" customHeight="1" x14ac:dyDescent="0.15">
      <c r="A763" s="11" t="s">
        <v>4054</v>
      </c>
      <c r="B763" s="1" t="s">
        <v>4055</v>
      </c>
      <c r="C763" s="11" t="s">
        <v>4056</v>
      </c>
      <c r="D763" s="11" t="s">
        <v>4056</v>
      </c>
      <c r="E763" s="11" t="s">
        <v>4057</v>
      </c>
      <c r="F763" s="11" t="s">
        <v>3941</v>
      </c>
      <c r="G763" s="11" t="s">
        <v>4058</v>
      </c>
      <c r="H763" s="11" t="s">
        <v>3975</v>
      </c>
      <c r="I763" s="11" t="str">
        <f>HYPERLINK("http://www.andremaurice.it/","www.andremaurice.it")</f>
        <v>www.andremaurice.it</v>
      </c>
      <c r="J763" s="12">
        <v>10399.255999999999</v>
      </c>
      <c r="K763" s="12">
        <v>10399.255999999999</v>
      </c>
      <c r="L763" s="13">
        <v>9710.6260000000002</v>
      </c>
      <c r="M763" s="12">
        <v>-80.774000000000001</v>
      </c>
      <c r="N763" s="12">
        <v>-80.774000000000001</v>
      </c>
      <c r="O763" s="12">
        <v>19.204000000000001</v>
      </c>
      <c r="P763" s="12">
        <v>65</v>
      </c>
      <c r="Q763" s="12">
        <v>65</v>
      </c>
      <c r="R763" s="12">
        <v>55</v>
      </c>
    </row>
    <row r="764" spans="1:18" ht="17" customHeight="1" x14ac:dyDescent="0.15">
      <c r="A764" s="8" t="s">
        <v>4059</v>
      </c>
      <c r="B764" s="9" t="s">
        <v>4060</v>
      </c>
      <c r="C764" s="8" t="s">
        <v>4061</v>
      </c>
      <c r="D764" s="8" t="s">
        <v>4061</v>
      </c>
      <c r="E764" s="8" t="s">
        <v>4062</v>
      </c>
      <c r="F764" s="8" t="s">
        <v>3921</v>
      </c>
      <c r="G764" s="8" t="s">
        <v>4010</v>
      </c>
      <c r="H764" s="8" t="s">
        <v>3916</v>
      </c>
      <c r="I764" s="8" t="str">
        <f>HYPERLINK("http://www.calzaturificiodiemme.it/","www.calzaturificiodiemme.it")</f>
        <v>www.calzaturificiodiemme.it</v>
      </c>
      <c r="J764" s="10">
        <v>8116.442</v>
      </c>
      <c r="K764" s="10">
        <v>8116.442</v>
      </c>
      <c r="L764" s="10">
        <v>9697.24</v>
      </c>
      <c r="M764" s="10">
        <v>46.856000000000002</v>
      </c>
      <c r="N764" s="10">
        <v>46.856000000000002</v>
      </c>
      <c r="O764" s="10">
        <v>617.26700000000005</v>
      </c>
      <c r="P764" s="10">
        <v>35</v>
      </c>
      <c r="Q764" s="10">
        <v>35</v>
      </c>
      <c r="R764" s="10">
        <v>35</v>
      </c>
    </row>
    <row r="765" spans="1:18" ht="17" customHeight="1" x14ac:dyDescent="0.15">
      <c r="A765" s="11" t="s">
        <v>4063</v>
      </c>
      <c r="B765" s="1" t="s">
        <v>4064</v>
      </c>
      <c r="C765" s="11" t="s">
        <v>4065</v>
      </c>
      <c r="D765" s="11" t="s">
        <v>4065</v>
      </c>
      <c r="E765" s="11" t="s">
        <v>4066</v>
      </c>
      <c r="F765" s="11" t="s">
        <v>4015</v>
      </c>
      <c r="G765" s="11" t="s">
        <v>4067</v>
      </c>
      <c r="H765" s="11" t="s">
        <v>3936</v>
      </c>
      <c r="I765" s="11" t="str">
        <f>HYPERLINK("http://www.uniformitalia.it/","http://www.uniformitalia.it/")</f>
        <v>http://www.uniformitalia.it/</v>
      </c>
      <c r="J765" s="12">
        <v>11437.328</v>
      </c>
      <c r="K765" s="12">
        <v>11437.328</v>
      </c>
      <c r="L765" s="13">
        <v>9696.5249999999996</v>
      </c>
      <c r="M765" s="12">
        <v>93.944999999999993</v>
      </c>
      <c r="N765" s="12">
        <v>93.944999999999993</v>
      </c>
      <c r="O765" s="12">
        <v>12.192</v>
      </c>
      <c r="P765" s="12">
        <v>24</v>
      </c>
      <c r="Q765" s="12">
        <v>24</v>
      </c>
      <c r="R765" s="12">
        <v>25</v>
      </c>
    </row>
    <row r="766" spans="1:18" ht="17" customHeight="1" x14ac:dyDescent="0.15">
      <c r="A766" s="8" t="s">
        <v>4068</v>
      </c>
      <c r="B766" s="9" t="s">
        <v>4069</v>
      </c>
      <c r="C766" s="8" t="s">
        <v>4070</v>
      </c>
      <c r="D766" s="8" t="s">
        <v>4071</v>
      </c>
      <c r="E766" s="8" t="s">
        <v>4072</v>
      </c>
      <c r="F766" s="8" t="s">
        <v>4073</v>
      </c>
      <c r="G766" s="8" t="s">
        <v>4074</v>
      </c>
      <c r="H766" s="8" t="s">
        <v>3930</v>
      </c>
      <c r="I766" s="8" t="str">
        <f>HYPERLINK("http://www.calzaturificiobrunate.it/","www.calzaturificiobrunate.it")</f>
        <v>www.calzaturificiobrunate.it</v>
      </c>
      <c r="J766" s="10">
        <v>9977.2520000000004</v>
      </c>
      <c r="K766" s="10">
        <v>9977.2520000000004</v>
      </c>
      <c r="L766" s="10">
        <v>9671.6350000000002</v>
      </c>
      <c r="M766" s="10">
        <v>-83.009</v>
      </c>
      <c r="N766" s="10">
        <v>-83.009</v>
      </c>
      <c r="O766" s="10">
        <v>-141.50200000000001</v>
      </c>
      <c r="P766" s="10">
        <v>54</v>
      </c>
      <c r="Q766" s="10">
        <v>54</v>
      </c>
      <c r="R766" s="10">
        <v>55</v>
      </c>
    </row>
    <row r="767" spans="1:18" ht="55.75" customHeight="1" x14ac:dyDescent="0.15">
      <c r="A767" s="11" t="s">
        <v>4075</v>
      </c>
      <c r="B767" s="1" t="s">
        <v>4076</v>
      </c>
      <c r="C767" s="11" t="s">
        <v>4077</v>
      </c>
      <c r="D767" s="11" t="s">
        <v>4077</v>
      </c>
      <c r="E767" s="11" t="s">
        <v>4078</v>
      </c>
      <c r="F767" s="11" t="s">
        <v>3921</v>
      </c>
      <c r="G767" s="11" t="s">
        <v>3935</v>
      </c>
      <c r="H767" s="11" t="s">
        <v>3936</v>
      </c>
      <c r="I767" s="11" t="str">
        <f>HYPERLINK("http://www.mirial.it/","www.mirial.it")</f>
        <v>www.mirial.it</v>
      </c>
      <c r="J767" s="12">
        <v>9656.2900000000009</v>
      </c>
      <c r="K767" s="14" t="s">
        <v>3956</v>
      </c>
      <c r="L767" s="13">
        <v>9656.2900000000009</v>
      </c>
      <c r="M767" s="12">
        <v>3.2320000000000002</v>
      </c>
      <c r="N767" s="14" t="s">
        <v>3956</v>
      </c>
      <c r="O767" s="12">
        <v>3.2320000000000002</v>
      </c>
      <c r="P767" s="12">
        <v>31</v>
      </c>
      <c r="Q767" s="14" t="s">
        <v>3956</v>
      </c>
      <c r="R767" s="12">
        <v>31</v>
      </c>
    </row>
    <row r="768" spans="1:18" ht="29.5" customHeight="1" x14ac:dyDescent="0.15">
      <c r="A768" s="8" t="s">
        <v>4079</v>
      </c>
      <c r="B768" s="9" t="s">
        <v>4080</v>
      </c>
      <c r="C768" s="8" t="s">
        <v>4081</v>
      </c>
      <c r="D768" s="8" t="s">
        <v>4081</v>
      </c>
      <c r="E768" s="8" t="s">
        <v>4082</v>
      </c>
      <c r="F768" s="8" t="s">
        <v>4083</v>
      </c>
      <c r="G768" s="8" t="s">
        <v>4084</v>
      </c>
      <c r="H768" s="8" t="s">
        <v>3955</v>
      </c>
      <c r="I768" s="8" t="str">
        <f>HYPERLINK("http://pelletteriafiorentinamontecristo.it/","pelletteriafiorentinamontecristo.it")</f>
        <v>pelletteriafiorentinamontecristo.it</v>
      </c>
      <c r="J768" s="10">
        <v>13806.496999999999</v>
      </c>
      <c r="K768" s="10">
        <v>13806.496999999999</v>
      </c>
      <c r="L768" s="10">
        <v>9637.9830000000002</v>
      </c>
      <c r="M768" s="10">
        <v>661.43299999999999</v>
      </c>
      <c r="N768" s="10">
        <v>661.43299999999999</v>
      </c>
      <c r="O768" s="10">
        <v>125.63500000000001</v>
      </c>
      <c r="P768" s="10">
        <v>21</v>
      </c>
      <c r="Q768" s="10">
        <v>21</v>
      </c>
      <c r="R768" s="10">
        <v>18</v>
      </c>
    </row>
    <row r="769" spans="1:18" ht="17" customHeight="1" x14ac:dyDescent="0.15">
      <c r="A769" s="11" t="s">
        <v>4085</v>
      </c>
      <c r="B769" s="1" t="s">
        <v>4086</v>
      </c>
      <c r="C769" s="11" t="s">
        <v>4087</v>
      </c>
      <c r="D769" s="11" t="s">
        <v>4087</v>
      </c>
      <c r="E769" s="11" t="s">
        <v>4088</v>
      </c>
      <c r="F769" s="11" t="s">
        <v>4089</v>
      </c>
      <c r="G769" s="11" t="s">
        <v>4090</v>
      </c>
      <c r="H769" s="11" t="s">
        <v>4091</v>
      </c>
      <c r="I769" s="11" t="str">
        <f>HYPERLINK("http://www.grganticacuoieria.it/","www.grganticacuoieria.it")</f>
        <v>www.grganticacuoieria.it</v>
      </c>
      <c r="J769" s="12">
        <v>12934.727000000001</v>
      </c>
      <c r="K769" s="12">
        <v>12934.727000000001</v>
      </c>
      <c r="L769" s="13">
        <v>9632.0910000000003</v>
      </c>
      <c r="M769" s="12">
        <v>672.20100000000002</v>
      </c>
      <c r="N769" s="12">
        <v>672.20100000000002</v>
      </c>
      <c r="O769" s="12">
        <v>135.339</v>
      </c>
      <c r="P769" s="12">
        <v>79</v>
      </c>
      <c r="Q769" s="12">
        <v>79</v>
      </c>
      <c r="R769" s="12">
        <v>54</v>
      </c>
    </row>
    <row r="770" spans="1:18" ht="29.5" customHeight="1" x14ac:dyDescent="0.15">
      <c r="A770" s="8" t="s">
        <v>4092</v>
      </c>
      <c r="B770" s="9" t="s">
        <v>4093</v>
      </c>
      <c r="C770" s="8" t="s">
        <v>4094</v>
      </c>
      <c r="D770" s="8" t="s">
        <v>4094</v>
      </c>
      <c r="E770" s="8" t="s">
        <v>4095</v>
      </c>
      <c r="F770" s="8" t="s">
        <v>4096</v>
      </c>
      <c r="G770" s="8" t="s">
        <v>4097</v>
      </c>
      <c r="H770" s="8" t="s">
        <v>4098</v>
      </c>
      <c r="I770" s="8" t="str">
        <f>HYPERLINK("http://bottegadelsarto.com/","bottegadelsarto.com")</f>
        <v>bottegadelsarto.com</v>
      </c>
      <c r="J770" s="10">
        <v>10364.455</v>
      </c>
      <c r="K770" s="10">
        <v>10364.455</v>
      </c>
      <c r="L770" s="10">
        <v>9605.9500000000007</v>
      </c>
      <c r="M770" s="10">
        <v>290.81299999999999</v>
      </c>
      <c r="N770" s="10">
        <v>290.81299999999999</v>
      </c>
      <c r="O770" s="10">
        <v>299.786</v>
      </c>
      <c r="P770" s="10">
        <v>10</v>
      </c>
      <c r="Q770" s="10">
        <v>10</v>
      </c>
      <c r="R770" s="10">
        <v>9</v>
      </c>
    </row>
    <row r="771" spans="1:18" ht="17" customHeight="1" x14ac:dyDescent="0.15">
      <c r="A771" s="11" t="s">
        <v>4099</v>
      </c>
      <c r="B771" s="1" t="s">
        <v>4100</v>
      </c>
      <c r="C771" s="11" t="s">
        <v>4101</v>
      </c>
      <c r="D771" s="11" t="s">
        <v>4101</v>
      </c>
      <c r="E771" s="11" t="s">
        <v>4102</v>
      </c>
      <c r="F771" s="11" t="s">
        <v>4103</v>
      </c>
      <c r="G771" s="11" t="s">
        <v>4104</v>
      </c>
      <c r="H771" s="11" t="s">
        <v>4105</v>
      </c>
      <c r="I771" s="11" t="str">
        <f>HYPERLINK("http://www.della-rovere.it/","www.della-rovere.it")</f>
        <v>www.della-rovere.it</v>
      </c>
      <c r="J771" s="12">
        <v>11938.428</v>
      </c>
      <c r="K771" s="12">
        <v>11938.428</v>
      </c>
      <c r="L771" s="13">
        <v>9588.3639999999996</v>
      </c>
      <c r="M771" s="12">
        <v>1044.9179999999999</v>
      </c>
      <c r="N771" s="12">
        <v>1044.9179999999999</v>
      </c>
      <c r="O771" s="12">
        <v>362.45</v>
      </c>
      <c r="P771" s="12">
        <v>54</v>
      </c>
      <c r="Q771" s="12">
        <v>54</v>
      </c>
      <c r="R771" s="12">
        <v>43</v>
      </c>
    </row>
    <row r="772" spans="1:18" ht="17" customHeight="1" x14ac:dyDescent="0.15">
      <c r="A772" s="8" t="s">
        <v>4106</v>
      </c>
      <c r="B772" s="9" t="s">
        <v>4107</v>
      </c>
      <c r="C772" s="8" t="s">
        <v>4108</v>
      </c>
      <c r="D772" s="8" t="s">
        <v>4108</v>
      </c>
      <c r="E772" s="8" t="s">
        <v>4109</v>
      </c>
      <c r="F772" s="8" t="s">
        <v>4096</v>
      </c>
      <c r="G772" s="8" t="s">
        <v>4110</v>
      </c>
      <c r="H772" s="8" t="s">
        <v>4111</v>
      </c>
      <c r="I772" s="8" t="str">
        <f>HYPERLINK("http://www.niu-fashion.it/","www.niu-fashion.it")</f>
        <v>www.niu-fashion.it</v>
      </c>
      <c r="J772" s="10">
        <v>10950.728999999999</v>
      </c>
      <c r="K772" s="10">
        <v>10758.374</v>
      </c>
      <c r="L772" s="10">
        <v>9586.0499999999993</v>
      </c>
      <c r="M772" s="10">
        <v>1389.4590000000001</v>
      </c>
      <c r="N772" s="10">
        <v>1588.0060000000001</v>
      </c>
      <c r="O772" s="10">
        <v>1657.556</v>
      </c>
      <c r="P772" s="10">
        <v>21</v>
      </c>
      <c r="Q772" s="10">
        <v>21</v>
      </c>
      <c r="R772" s="10">
        <v>20</v>
      </c>
    </row>
    <row r="773" spans="1:18" ht="29.5" customHeight="1" x14ac:dyDescent="0.15">
      <c r="A773" s="11" t="s">
        <v>4112</v>
      </c>
      <c r="B773" s="1" t="s">
        <v>4113</v>
      </c>
      <c r="C773" s="11" t="s">
        <v>4114</v>
      </c>
      <c r="D773" s="11" t="s">
        <v>4114</v>
      </c>
      <c r="E773" s="11" t="s">
        <v>4115</v>
      </c>
      <c r="F773" s="11" t="s">
        <v>4116</v>
      </c>
      <c r="G773" s="11" t="s">
        <v>4117</v>
      </c>
      <c r="H773" s="11" t="s">
        <v>4118</v>
      </c>
      <c r="I773" s="11" t="str">
        <f>HYPERLINK("http://www.holiday-jeans.it/","www.holiday-jeans.it")</f>
        <v>www.holiday-jeans.it</v>
      </c>
      <c r="J773" s="12">
        <v>5880.7190000000001</v>
      </c>
      <c r="K773" s="12">
        <v>5880.7190000000001</v>
      </c>
      <c r="L773" s="13">
        <v>9582.1579999999994</v>
      </c>
      <c r="M773" s="12">
        <v>-1.7669999999999999</v>
      </c>
      <c r="N773" s="12">
        <v>-1.7669999999999999</v>
      </c>
      <c r="O773" s="12">
        <v>-4529.2070000000003</v>
      </c>
      <c r="P773" s="12">
        <v>72</v>
      </c>
      <c r="Q773" s="12">
        <v>72</v>
      </c>
      <c r="R773" s="12">
        <v>83</v>
      </c>
    </row>
    <row r="774" spans="1:18" ht="17" customHeight="1" x14ac:dyDescent="0.15">
      <c r="A774" s="8" t="s">
        <v>4119</v>
      </c>
      <c r="B774" s="9" t="s">
        <v>4120</v>
      </c>
      <c r="C774" s="8" t="s">
        <v>4121</v>
      </c>
      <c r="D774" s="8" t="s">
        <v>4121</v>
      </c>
      <c r="E774" s="8" t="s">
        <v>4122</v>
      </c>
      <c r="F774" s="8" t="s">
        <v>4123</v>
      </c>
      <c r="G774" s="8" t="s">
        <v>4124</v>
      </c>
      <c r="H774" s="8" t="s">
        <v>4125</v>
      </c>
      <c r="I774" s="8" t="str">
        <f>HYPERLINK("http://www.hendersonbaracco.com/","www.hendersonbaracco.com")</f>
        <v>www.hendersonbaracco.com</v>
      </c>
      <c r="J774" s="10">
        <v>12060.832</v>
      </c>
      <c r="K774" s="10">
        <v>12060.832</v>
      </c>
      <c r="L774" s="10">
        <v>9572.41</v>
      </c>
      <c r="M774" s="10">
        <v>1100.93</v>
      </c>
      <c r="N774" s="10">
        <v>1100.93</v>
      </c>
      <c r="O774" s="10">
        <v>851.91600000000005</v>
      </c>
      <c r="P774" s="10">
        <v>44</v>
      </c>
      <c r="Q774" s="10">
        <v>44</v>
      </c>
      <c r="R774" s="10">
        <v>43</v>
      </c>
    </row>
    <row r="775" spans="1:18" ht="17" customHeight="1" x14ac:dyDescent="0.15">
      <c r="A775" s="11" t="s">
        <v>4126</v>
      </c>
      <c r="B775" s="1" t="s">
        <v>4127</v>
      </c>
      <c r="C775" s="11" t="s">
        <v>4128</v>
      </c>
      <c r="D775" s="11" t="s">
        <v>4128</v>
      </c>
      <c r="E775" s="11" t="s">
        <v>4129</v>
      </c>
      <c r="F775" s="11" t="s">
        <v>4130</v>
      </c>
      <c r="G775" s="11" t="s">
        <v>4131</v>
      </c>
      <c r="H775" s="11" t="s">
        <v>4132</v>
      </c>
      <c r="I775" s="11" t="str">
        <f>HYPERLINK("http://www.itesspa.com/","www.itesspa.com")</f>
        <v>www.itesspa.com</v>
      </c>
      <c r="J775" s="12">
        <v>6213.3090000000002</v>
      </c>
      <c r="K775" s="12">
        <v>10147.535</v>
      </c>
      <c r="L775" s="13">
        <v>9567.99</v>
      </c>
      <c r="M775" s="12">
        <v>-147.327</v>
      </c>
      <c r="N775" s="12">
        <v>-792.74</v>
      </c>
      <c r="O775" s="12">
        <v>401.18099999999998</v>
      </c>
      <c r="P775" s="12">
        <v>41</v>
      </c>
      <c r="Q775" s="12">
        <v>28</v>
      </c>
      <c r="R775" s="12">
        <v>23</v>
      </c>
    </row>
    <row r="776" spans="1:18" ht="17" customHeight="1" x14ac:dyDescent="0.15">
      <c r="A776" s="8" t="s">
        <v>4133</v>
      </c>
      <c r="B776" s="9" t="s">
        <v>4134</v>
      </c>
      <c r="C776" s="8" t="s">
        <v>4135</v>
      </c>
      <c r="D776" s="8" t="s">
        <v>4135</v>
      </c>
      <c r="E776" s="8" t="s">
        <v>4136</v>
      </c>
      <c r="F776" s="8" t="s">
        <v>4123</v>
      </c>
      <c r="G776" s="8" t="s">
        <v>4090</v>
      </c>
      <c r="H776" s="8" t="s">
        <v>4091</v>
      </c>
      <c r="I776" s="8" t="str">
        <f>HYPERLINK("http://www.vittoriovirgili.com/","www.vittoriovirgili.com")</f>
        <v>www.vittoriovirgili.com</v>
      </c>
      <c r="J776" s="10">
        <v>10469.691999999999</v>
      </c>
      <c r="K776" s="10">
        <v>10469.691999999999</v>
      </c>
      <c r="L776" s="10">
        <v>9563.6360000000004</v>
      </c>
      <c r="M776" s="10">
        <v>98.602000000000004</v>
      </c>
      <c r="N776" s="10">
        <v>98.602000000000004</v>
      </c>
      <c r="O776" s="10">
        <v>48.88</v>
      </c>
      <c r="P776" s="10">
        <v>62</v>
      </c>
      <c r="Q776" s="10">
        <v>62</v>
      </c>
      <c r="R776" s="10">
        <v>60</v>
      </c>
    </row>
    <row r="777" spans="1:18" ht="17" customHeight="1" x14ac:dyDescent="0.15">
      <c r="A777" s="11" t="s">
        <v>4137</v>
      </c>
      <c r="B777" s="1" t="s">
        <v>4138</v>
      </c>
      <c r="C777" s="11" t="s">
        <v>4139</v>
      </c>
      <c r="D777" s="11" t="s">
        <v>4139</v>
      </c>
      <c r="E777" s="11" t="s">
        <v>4140</v>
      </c>
      <c r="F777" s="11" t="s">
        <v>4141</v>
      </c>
      <c r="G777" s="11" t="s">
        <v>4142</v>
      </c>
      <c r="H777" s="11" t="s">
        <v>4143</v>
      </c>
      <c r="I777" s="11" t="str">
        <f>HYPERLINK("http://www.conceriamilanese.it/","www.conceriamilanese.it")</f>
        <v>www.conceriamilanese.it</v>
      </c>
      <c r="J777" s="12">
        <v>9651.9439999999995</v>
      </c>
      <c r="K777" s="12">
        <v>9651.9439999999995</v>
      </c>
      <c r="L777" s="13">
        <v>9513.393</v>
      </c>
      <c r="M777" s="12">
        <v>-1427.68</v>
      </c>
      <c r="N777" s="12">
        <v>-1427.68</v>
      </c>
      <c r="O777" s="12">
        <v>3471.4949999999999</v>
      </c>
      <c r="P777" s="12">
        <v>86</v>
      </c>
      <c r="Q777" s="12">
        <v>86</v>
      </c>
      <c r="R777" s="12">
        <v>99</v>
      </c>
    </row>
    <row r="778" spans="1:18" ht="17" customHeight="1" x14ac:dyDescent="0.15">
      <c r="A778" s="8" t="s">
        <v>4144</v>
      </c>
      <c r="B778" s="9" t="s">
        <v>4145</v>
      </c>
      <c r="C778" s="8" t="s">
        <v>4146</v>
      </c>
      <c r="D778" s="8" t="s">
        <v>4146</v>
      </c>
      <c r="E778" s="8" t="s">
        <v>4147</v>
      </c>
      <c r="F778" s="8" t="s">
        <v>4141</v>
      </c>
      <c r="G778" s="8" t="s">
        <v>4148</v>
      </c>
      <c r="H778" s="8" t="s">
        <v>4125</v>
      </c>
      <c r="I778" s="8" t="str">
        <f>HYPERLINK("http://www.conceriasabrina.com/","www.conceriasabrina.com")</f>
        <v>www.conceriasabrina.com</v>
      </c>
      <c r="J778" s="10">
        <v>5246.2659999999996</v>
      </c>
      <c r="K778" s="10">
        <v>5246.2659999999996</v>
      </c>
      <c r="L778" s="10">
        <v>9499.3670000000002</v>
      </c>
      <c r="M778" s="10">
        <v>19.280999999999999</v>
      </c>
      <c r="N778" s="10">
        <v>19.280999999999999</v>
      </c>
      <c r="O778" s="10">
        <v>47.250999999999998</v>
      </c>
      <c r="P778" s="10">
        <v>7</v>
      </c>
      <c r="Q778" s="10">
        <v>7</v>
      </c>
      <c r="R778" s="10">
        <v>8</v>
      </c>
    </row>
    <row r="779" spans="1:18" ht="17" customHeight="1" x14ac:dyDescent="0.15">
      <c r="A779" s="11" t="s">
        <v>4149</v>
      </c>
      <c r="B779" s="1" t="s">
        <v>4150</v>
      </c>
      <c r="C779" s="11" t="s">
        <v>4151</v>
      </c>
      <c r="D779" s="11" t="s">
        <v>4151</v>
      </c>
      <c r="E779" s="11" t="s">
        <v>4152</v>
      </c>
      <c r="F779" s="11" t="s">
        <v>4096</v>
      </c>
      <c r="G779" s="11" t="s">
        <v>4153</v>
      </c>
      <c r="H779" s="11" t="s">
        <v>4154</v>
      </c>
      <c r="I779" s="11" t="str">
        <f>HYPERLINK("https://shop.berwich.com/it","https://shop.berwich.com/it")</f>
        <v>https://shop.berwich.com/it</v>
      </c>
      <c r="J779" s="12">
        <v>11957.128000000001</v>
      </c>
      <c r="K779" s="12">
        <v>11957.128000000001</v>
      </c>
      <c r="L779" s="13">
        <v>9493.4359999999997</v>
      </c>
      <c r="M779" s="12">
        <v>95.369</v>
      </c>
      <c r="N779" s="12">
        <v>95.369</v>
      </c>
      <c r="O779" s="12">
        <v>215.96799999999999</v>
      </c>
      <c r="P779" s="12">
        <v>33</v>
      </c>
      <c r="Q779" s="12">
        <v>33</v>
      </c>
      <c r="R779" s="12">
        <v>32</v>
      </c>
    </row>
    <row r="780" spans="1:18" ht="17" customHeight="1" x14ac:dyDescent="0.15">
      <c r="A780" s="8" t="s">
        <v>4155</v>
      </c>
      <c r="B780" s="9" t="s">
        <v>4156</v>
      </c>
      <c r="C780" s="8" t="s">
        <v>4157</v>
      </c>
      <c r="D780" s="8" t="s">
        <v>4158</v>
      </c>
      <c r="E780" s="8" t="s">
        <v>4159</v>
      </c>
      <c r="F780" s="8" t="s">
        <v>4103</v>
      </c>
      <c r="G780" s="8" t="s">
        <v>4160</v>
      </c>
      <c r="H780" s="8" t="s">
        <v>4132</v>
      </c>
      <c r="I780" s="8" t="str">
        <f>HYPERLINK("http://www.annapurna.co.it/","www.annapurna.co.it")</f>
        <v>www.annapurna.co.it</v>
      </c>
      <c r="J780" s="10">
        <v>9492.49</v>
      </c>
      <c r="K780" s="10">
        <v>9492.49</v>
      </c>
      <c r="L780" s="10">
        <v>9481.4140000000007</v>
      </c>
      <c r="M780" s="10">
        <v>1051.596</v>
      </c>
      <c r="N780" s="10">
        <v>1051.596</v>
      </c>
      <c r="O780" s="10">
        <v>1014.447</v>
      </c>
      <c r="P780" s="10">
        <v>22</v>
      </c>
      <c r="Q780" s="10">
        <v>22</v>
      </c>
      <c r="R780" s="10">
        <v>22</v>
      </c>
    </row>
    <row r="781" spans="1:18" ht="17" customHeight="1" x14ac:dyDescent="0.15">
      <c r="A781" s="11" t="s">
        <v>4161</v>
      </c>
      <c r="B781" s="1" t="s">
        <v>4162</v>
      </c>
      <c r="C781" s="11" t="s">
        <v>4163</v>
      </c>
      <c r="D781" s="11" t="s">
        <v>4163</v>
      </c>
      <c r="E781" s="11" t="s">
        <v>4164</v>
      </c>
      <c r="F781" s="11" t="s">
        <v>4165</v>
      </c>
      <c r="G781" s="11" t="s">
        <v>4166</v>
      </c>
      <c r="H781" s="11" t="s">
        <v>4167</v>
      </c>
      <c r="I781" s="11" t="str">
        <f>HYPERLINK("http://alber.it/","alber.it")</f>
        <v>alber.it</v>
      </c>
      <c r="J781" s="12">
        <v>10131.598</v>
      </c>
      <c r="K781" s="12">
        <v>10131.598</v>
      </c>
      <c r="L781" s="13">
        <v>9461.9310000000005</v>
      </c>
      <c r="M781" s="12">
        <v>-12.904999999999999</v>
      </c>
      <c r="N781" s="12">
        <v>-12.904999999999999</v>
      </c>
      <c r="O781" s="12">
        <v>-33.042999999999999</v>
      </c>
      <c r="P781" s="12">
        <v>27</v>
      </c>
      <c r="Q781" s="12">
        <v>27</v>
      </c>
      <c r="R781" s="12">
        <v>28</v>
      </c>
    </row>
    <row r="782" spans="1:18" ht="29.5" customHeight="1" x14ac:dyDescent="0.15">
      <c r="A782" s="8" t="s">
        <v>4168</v>
      </c>
      <c r="B782" s="9" t="s">
        <v>4169</v>
      </c>
      <c r="C782" s="8" t="s">
        <v>4170</v>
      </c>
      <c r="D782" s="8" t="s">
        <v>4171</v>
      </c>
      <c r="E782" s="8" t="s">
        <v>4172</v>
      </c>
      <c r="F782" s="8" t="s">
        <v>4123</v>
      </c>
      <c r="G782" s="8" t="s">
        <v>4173</v>
      </c>
      <c r="H782" s="8" t="s">
        <v>4105</v>
      </c>
      <c r="I782" s="8" t="str">
        <f>HYPERLINK("http://www.tacchificiomolinella.it/","www.tacchificiomolinella.it")</f>
        <v>www.tacchificiomolinella.it</v>
      </c>
      <c r="J782" s="10">
        <v>9004.8040000000001</v>
      </c>
      <c r="K782" s="10">
        <v>9004.8040000000001</v>
      </c>
      <c r="L782" s="10">
        <v>9450.49</v>
      </c>
      <c r="M782" s="10">
        <v>1159.0319999999999</v>
      </c>
      <c r="N782" s="10">
        <v>1159.0319999999999</v>
      </c>
      <c r="O782" s="10">
        <v>684.70699999999999</v>
      </c>
      <c r="P782" s="10">
        <v>40</v>
      </c>
      <c r="Q782" s="10">
        <v>40</v>
      </c>
      <c r="R782" s="10">
        <v>41</v>
      </c>
    </row>
    <row r="783" spans="1:18" ht="17" customHeight="1" x14ac:dyDescent="0.15">
      <c r="A783" s="11" t="s">
        <v>4174</v>
      </c>
      <c r="B783" s="1" t="s">
        <v>4175</v>
      </c>
      <c r="C783" s="11" t="s">
        <v>4176</v>
      </c>
      <c r="D783" s="11" t="s">
        <v>4176</v>
      </c>
      <c r="E783" s="11" t="s">
        <v>4177</v>
      </c>
      <c r="F783" s="11" t="s">
        <v>4103</v>
      </c>
      <c r="G783" s="11" t="s">
        <v>4178</v>
      </c>
      <c r="H783" s="11" t="s">
        <v>4132</v>
      </c>
      <c r="I783" s="11" t="str">
        <f>HYPERLINK("http://www.danielefiesoli.com/","www.danielefiesoli.com")</f>
        <v>www.danielefiesoli.com</v>
      </c>
      <c r="J783" s="12">
        <v>12712.512000000001</v>
      </c>
      <c r="K783" s="12">
        <v>12712.512000000001</v>
      </c>
      <c r="L783" s="13">
        <v>9423.6919999999991</v>
      </c>
      <c r="M783" s="12">
        <v>2025.258</v>
      </c>
      <c r="N783" s="12">
        <v>2025.258</v>
      </c>
      <c r="O783" s="12">
        <v>921.59400000000005</v>
      </c>
      <c r="P783" s="12">
        <v>13</v>
      </c>
      <c r="Q783" s="12">
        <v>13</v>
      </c>
      <c r="R783" s="12">
        <v>10</v>
      </c>
    </row>
    <row r="784" spans="1:18" ht="17" customHeight="1" x14ac:dyDescent="0.15">
      <c r="A784" s="8" t="s">
        <v>4179</v>
      </c>
      <c r="B784" s="9" t="s">
        <v>4180</v>
      </c>
      <c r="C784" s="8" t="s">
        <v>4181</v>
      </c>
      <c r="D784" s="8" t="s">
        <v>4181</v>
      </c>
      <c r="E784" s="8" t="s">
        <v>4182</v>
      </c>
      <c r="F784" s="8" t="s">
        <v>4183</v>
      </c>
      <c r="G784" s="8" t="s">
        <v>4184</v>
      </c>
      <c r="H784" s="8" t="s">
        <v>4143</v>
      </c>
      <c r="I784" s="8" t="str">
        <f>HYPERLINK("http://www.calzificioprimato.com/","www.calzificioprimato.com")</f>
        <v>www.calzificioprimato.com</v>
      </c>
      <c r="J784" s="10">
        <v>9079.0529999999999</v>
      </c>
      <c r="K784" s="10">
        <v>9079.0529999999999</v>
      </c>
      <c r="L784" s="10">
        <v>9416.6540000000005</v>
      </c>
      <c r="M784" s="10">
        <v>237.43700000000001</v>
      </c>
      <c r="N784" s="10">
        <v>237.43700000000001</v>
      </c>
      <c r="O784" s="10">
        <v>142.29499999999999</v>
      </c>
      <c r="P784" s="10">
        <v>24</v>
      </c>
      <c r="Q784" s="10">
        <v>24</v>
      </c>
      <c r="R784" s="10">
        <v>22</v>
      </c>
    </row>
    <row r="785" spans="1:18" ht="55.75" customHeight="1" x14ac:dyDescent="0.15">
      <c r="A785" s="11" t="s">
        <v>4185</v>
      </c>
      <c r="B785" s="1" t="s">
        <v>4186</v>
      </c>
      <c r="C785" s="11" t="s">
        <v>4187</v>
      </c>
      <c r="D785" s="11" t="s">
        <v>4187</v>
      </c>
      <c r="E785" s="11" t="s">
        <v>4188</v>
      </c>
      <c r="F785" s="11" t="s">
        <v>4123</v>
      </c>
      <c r="G785" s="11" t="s">
        <v>4189</v>
      </c>
      <c r="H785" s="11" t="s">
        <v>4091</v>
      </c>
      <c r="I785" s="11" t="str">
        <f>HYPERLINK("http://strategiashoes.com/","strategiashoes.com")</f>
        <v>strategiashoes.com</v>
      </c>
      <c r="J785" s="12">
        <v>7515.6049999999996</v>
      </c>
      <c r="K785" s="12">
        <v>7515.6049999999996</v>
      </c>
      <c r="L785" s="13">
        <v>9414.6540000000005</v>
      </c>
      <c r="M785" s="12">
        <v>134.84899999999999</v>
      </c>
      <c r="N785" s="12">
        <v>134.84899999999999</v>
      </c>
      <c r="O785" s="12">
        <v>562.35500000000002</v>
      </c>
      <c r="P785" s="12">
        <v>43</v>
      </c>
      <c r="Q785" s="12">
        <v>43</v>
      </c>
      <c r="R785" s="12">
        <v>42</v>
      </c>
    </row>
    <row r="786" spans="1:18" ht="17" customHeight="1" x14ac:dyDescent="0.15">
      <c r="A786" s="8" t="s">
        <v>4190</v>
      </c>
      <c r="B786" s="9" t="s">
        <v>4191</v>
      </c>
      <c r="C786" s="8" t="s">
        <v>4192</v>
      </c>
      <c r="D786" s="8" t="s">
        <v>4192</v>
      </c>
      <c r="E786" s="8" t="s">
        <v>4193</v>
      </c>
      <c r="F786" s="8" t="s">
        <v>4194</v>
      </c>
      <c r="G786" s="8" t="s">
        <v>4124</v>
      </c>
      <c r="H786" s="8" t="s">
        <v>4125</v>
      </c>
      <c r="I786" s="8" t="str">
        <f>HYPERLINK("http://www.ideamoda.eu/","www.ideamoda.eu")</f>
        <v>www.ideamoda.eu</v>
      </c>
      <c r="J786" s="10">
        <v>10505.465</v>
      </c>
      <c r="K786" s="10">
        <v>10505.465</v>
      </c>
      <c r="L786" s="10">
        <v>9393.0669999999991</v>
      </c>
      <c r="M786" s="10">
        <v>764.67100000000005</v>
      </c>
      <c r="N786" s="10">
        <v>764.67100000000005</v>
      </c>
      <c r="O786" s="10">
        <v>837.05600000000004</v>
      </c>
      <c r="P786" s="10">
        <v>25</v>
      </c>
      <c r="Q786" s="10">
        <v>25</v>
      </c>
      <c r="R786" s="10">
        <v>22</v>
      </c>
    </row>
    <row r="787" spans="1:18" ht="17" customHeight="1" x14ac:dyDescent="0.15">
      <c r="A787" s="11" t="s">
        <v>4195</v>
      </c>
      <c r="B787" s="1" t="s">
        <v>4196</v>
      </c>
      <c r="C787" s="11" t="s">
        <v>4197</v>
      </c>
      <c r="D787" s="11" t="s">
        <v>4197</v>
      </c>
      <c r="E787" s="11" t="s">
        <v>4198</v>
      </c>
      <c r="F787" s="11" t="s">
        <v>4199</v>
      </c>
      <c r="G787" s="11" t="s">
        <v>4178</v>
      </c>
      <c r="H787" s="11" t="s">
        <v>4132</v>
      </c>
      <c r="I787" s="11" t="str">
        <f>HYPERLINK("http://www.firenzemodasrl.it/","www.firenzemodasrl.it")</f>
        <v>www.firenzemodasrl.it</v>
      </c>
      <c r="J787" s="12">
        <v>9252.0619999999999</v>
      </c>
      <c r="K787" s="12">
        <v>9252.0619999999999</v>
      </c>
      <c r="L787" s="13">
        <v>9391.8780000000006</v>
      </c>
      <c r="M787" s="12">
        <v>544.27300000000002</v>
      </c>
      <c r="N787" s="12">
        <v>544.27300000000002</v>
      </c>
      <c r="O787" s="12">
        <v>616.06700000000001</v>
      </c>
      <c r="P787" s="12">
        <v>34</v>
      </c>
      <c r="Q787" s="12">
        <v>34</v>
      </c>
      <c r="R787" s="12">
        <v>28</v>
      </c>
    </row>
    <row r="788" spans="1:18" ht="17" customHeight="1" x14ac:dyDescent="0.15">
      <c r="A788" s="8" t="s">
        <v>4200</v>
      </c>
      <c r="B788" s="9" t="s">
        <v>4201</v>
      </c>
      <c r="C788" s="8" t="s">
        <v>4202</v>
      </c>
      <c r="D788" s="8" t="s">
        <v>4202</v>
      </c>
      <c r="E788" s="8" t="s">
        <v>4203</v>
      </c>
      <c r="F788" s="8" t="s">
        <v>4204</v>
      </c>
      <c r="G788" s="8" t="s">
        <v>4189</v>
      </c>
      <c r="H788" s="8" t="s">
        <v>4091</v>
      </c>
      <c r="I788" s="8" t="str">
        <f>HYPERLINK("http://www.gianniconti.com/","www.gianniconti.com")</f>
        <v>www.gianniconti.com</v>
      </c>
      <c r="J788" s="10">
        <v>9810.9490000000005</v>
      </c>
      <c r="K788" s="10">
        <v>9810.9490000000005</v>
      </c>
      <c r="L788" s="10">
        <v>9384.6659999999993</v>
      </c>
      <c r="M788" s="10">
        <v>199.648</v>
      </c>
      <c r="N788" s="10">
        <v>199.648</v>
      </c>
      <c r="O788" s="10">
        <v>104.119</v>
      </c>
      <c r="P788" s="10">
        <v>26</v>
      </c>
      <c r="Q788" s="10">
        <v>26</v>
      </c>
      <c r="R788" s="10">
        <v>24</v>
      </c>
    </row>
    <row r="789" spans="1:18" ht="17" customHeight="1" x14ac:dyDescent="0.15">
      <c r="A789" s="11" t="s">
        <v>4205</v>
      </c>
      <c r="B789" s="1" t="s">
        <v>4206</v>
      </c>
      <c r="C789" s="11" t="s">
        <v>4207</v>
      </c>
      <c r="D789" s="11" t="s">
        <v>4208</v>
      </c>
      <c r="E789" s="11" t="s">
        <v>4209</v>
      </c>
      <c r="F789" s="11" t="s">
        <v>4123</v>
      </c>
      <c r="G789" s="11" t="s">
        <v>4178</v>
      </c>
      <c r="H789" s="11" t="s">
        <v>4132</v>
      </c>
      <c r="I789" s="11" t="str">
        <f>HYPERLINK("http://www.dominashoes.com/","www.dominashoes.com")</f>
        <v>www.dominashoes.com</v>
      </c>
      <c r="J789" s="12">
        <v>9009.1820000000007</v>
      </c>
      <c r="K789" s="12">
        <v>9009.1820000000007</v>
      </c>
      <c r="L789" s="13">
        <v>9366.2990000000009</v>
      </c>
      <c r="M789" s="12">
        <v>218.816</v>
      </c>
      <c r="N789" s="12">
        <v>218.816</v>
      </c>
      <c r="O789" s="12">
        <v>130.90199999999999</v>
      </c>
      <c r="P789" s="12">
        <v>31</v>
      </c>
      <c r="Q789" s="12">
        <v>31</v>
      </c>
      <c r="R789" s="12">
        <v>35</v>
      </c>
    </row>
    <row r="790" spans="1:18" ht="17" customHeight="1" x14ac:dyDescent="0.15">
      <c r="A790" s="8" t="s">
        <v>4210</v>
      </c>
      <c r="B790" s="9" t="s">
        <v>4211</v>
      </c>
      <c r="C790" s="8" t="s">
        <v>4212</v>
      </c>
      <c r="D790" s="8" t="s">
        <v>4212</v>
      </c>
      <c r="E790" s="8" t="s">
        <v>4213</v>
      </c>
      <c r="F790" s="8" t="s">
        <v>4123</v>
      </c>
      <c r="G790" s="8" t="s">
        <v>4214</v>
      </c>
      <c r="H790" s="8" t="s">
        <v>4125</v>
      </c>
      <c r="I790" s="8" t="str">
        <f>HYPERLINK("http://diotto.com/","diotto.com")</f>
        <v>diotto.com</v>
      </c>
      <c r="J790" s="10">
        <v>6975.9849999999997</v>
      </c>
      <c r="K790" s="10">
        <v>6975.9849999999997</v>
      </c>
      <c r="L790" s="10">
        <v>9340.2749999999996</v>
      </c>
      <c r="M790" s="10">
        <v>248.63399999999999</v>
      </c>
      <c r="N790" s="10">
        <v>248.63399999999999</v>
      </c>
      <c r="O790" s="10">
        <v>1215.1759999999999</v>
      </c>
      <c r="P790" s="10">
        <v>36</v>
      </c>
      <c r="Q790" s="10">
        <v>36</v>
      </c>
      <c r="R790" s="10">
        <v>28</v>
      </c>
    </row>
    <row r="791" spans="1:18" ht="17" customHeight="1" x14ac:dyDescent="0.15">
      <c r="A791" s="11" t="s">
        <v>4215</v>
      </c>
      <c r="B791" s="1" t="s">
        <v>4216</v>
      </c>
      <c r="C791" s="11" t="s">
        <v>4217</v>
      </c>
      <c r="D791" s="11" t="s">
        <v>4217</v>
      </c>
      <c r="E791" s="11" t="s">
        <v>4218</v>
      </c>
      <c r="F791" s="11" t="s">
        <v>4165</v>
      </c>
      <c r="G791" s="11" t="s">
        <v>4219</v>
      </c>
      <c r="H791" s="11" t="s">
        <v>4154</v>
      </c>
      <c r="I791" s="11" t="str">
        <f>HYPERLINK("http://rossoporpora.it/","rossoporpora.it")</f>
        <v>rossoporpora.it</v>
      </c>
      <c r="J791" s="12">
        <v>6466.0780000000004</v>
      </c>
      <c r="K791" s="12">
        <v>6466.0780000000004</v>
      </c>
      <c r="L791" s="13">
        <v>9330.68</v>
      </c>
      <c r="M791" s="12">
        <v>-8007.6040000000003</v>
      </c>
      <c r="N791" s="12">
        <v>-8007.6040000000003</v>
      </c>
      <c r="O791" s="12">
        <v>91.393000000000001</v>
      </c>
      <c r="P791" s="12">
        <v>21</v>
      </c>
      <c r="Q791" s="12">
        <v>21</v>
      </c>
      <c r="R791" s="12">
        <v>26</v>
      </c>
    </row>
    <row r="792" spans="1:18" ht="17" customHeight="1" x14ac:dyDescent="0.15">
      <c r="A792" s="8" t="s">
        <v>4220</v>
      </c>
      <c r="B792" s="9" t="s">
        <v>4221</v>
      </c>
      <c r="C792" s="8" t="s">
        <v>4222</v>
      </c>
      <c r="D792" s="8" t="s">
        <v>4222</v>
      </c>
      <c r="E792" s="8" t="s">
        <v>4223</v>
      </c>
      <c r="F792" s="8" t="s">
        <v>4183</v>
      </c>
      <c r="G792" s="8" t="s">
        <v>4184</v>
      </c>
      <c r="H792" s="8" t="s">
        <v>4143</v>
      </c>
      <c r="I792" s="8" t="str">
        <f>HYPERLINK("http://www.sanyleg.com/","www.sanyleg.com")</f>
        <v>www.sanyleg.com</v>
      </c>
      <c r="J792" s="10">
        <v>10891.259</v>
      </c>
      <c r="K792" s="10">
        <v>10891.259</v>
      </c>
      <c r="L792" s="10">
        <v>9304.0499999999993</v>
      </c>
      <c r="M792" s="10">
        <v>1169.4570000000001</v>
      </c>
      <c r="N792" s="10">
        <v>1169.4570000000001</v>
      </c>
      <c r="O792" s="10">
        <v>660.13099999999997</v>
      </c>
      <c r="P792" s="10">
        <v>34</v>
      </c>
      <c r="Q792" s="10">
        <v>34</v>
      </c>
      <c r="R792" s="10">
        <v>31</v>
      </c>
    </row>
    <row r="793" spans="1:18" ht="17" customHeight="1" x14ac:dyDescent="0.15">
      <c r="A793" s="11" t="s">
        <v>4224</v>
      </c>
      <c r="B793" s="1" t="s">
        <v>4225</v>
      </c>
      <c r="C793" s="11" t="s">
        <v>4226</v>
      </c>
      <c r="D793" s="11" t="s">
        <v>4226</v>
      </c>
      <c r="E793" s="11" t="s">
        <v>4227</v>
      </c>
      <c r="F793" s="11" t="s">
        <v>4194</v>
      </c>
      <c r="G793" s="11" t="s">
        <v>4228</v>
      </c>
      <c r="H793" s="11" t="s">
        <v>4105</v>
      </c>
      <c r="I793" s="11" t="str">
        <f>HYPERLINK("http://www.donnaesse.it/","www.donnaesse.it")</f>
        <v>www.donnaesse.it</v>
      </c>
      <c r="J793" s="12">
        <v>9759.7350000000006</v>
      </c>
      <c r="K793" s="12">
        <v>9759.7350000000006</v>
      </c>
      <c r="L793" s="13">
        <v>9301.0280000000002</v>
      </c>
      <c r="M793" s="12">
        <v>2038.5360000000001</v>
      </c>
      <c r="N793" s="12">
        <v>2038.5360000000001</v>
      </c>
      <c r="O793" s="12">
        <v>1550.586</v>
      </c>
      <c r="P793" s="12">
        <v>19</v>
      </c>
      <c r="Q793" s="12">
        <v>19</v>
      </c>
      <c r="R793" s="12">
        <v>16</v>
      </c>
    </row>
    <row r="794" spans="1:18" ht="17" customHeight="1" x14ac:dyDescent="0.15">
      <c r="A794" s="8" t="s">
        <v>4229</v>
      </c>
      <c r="B794" s="9" t="s">
        <v>4230</v>
      </c>
      <c r="C794" s="8" t="s">
        <v>4231</v>
      </c>
      <c r="D794" s="8" t="s">
        <v>4231</v>
      </c>
      <c r="E794" s="8" t="s">
        <v>4232</v>
      </c>
      <c r="F794" s="8" t="s">
        <v>4096</v>
      </c>
      <c r="G794" s="8" t="s">
        <v>4233</v>
      </c>
      <c r="H794" s="8" t="s">
        <v>4091</v>
      </c>
      <c r="I794" s="8" t="str">
        <f>HYPERLINK("http://www.modaitaliasrl.com/","www.modaitaliasrl.com")</f>
        <v>www.modaitaliasrl.com</v>
      </c>
      <c r="J794" s="10">
        <v>15427.052</v>
      </c>
      <c r="K794" s="10">
        <v>15427.052</v>
      </c>
      <c r="L794" s="10">
        <v>9287.2180000000008</v>
      </c>
      <c r="M794" s="10">
        <v>2437.3409999999999</v>
      </c>
      <c r="N794" s="10">
        <v>2437.3409999999999</v>
      </c>
      <c r="O794" s="10">
        <v>619.447</v>
      </c>
      <c r="P794" s="10">
        <v>46</v>
      </c>
      <c r="Q794" s="10">
        <v>46</v>
      </c>
      <c r="R794" s="10">
        <v>40</v>
      </c>
    </row>
    <row r="795" spans="1:18" ht="29.5" customHeight="1" x14ac:dyDescent="0.15">
      <c r="A795" s="11" t="s">
        <v>4234</v>
      </c>
      <c r="B795" s="1" t="s">
        <v>4235</v>
      </c>
      <c r="C795" s="11" t="s">
        <v>4236</v>
      </c>
      <c r="D795" s="11" t="s">
        <v>4236</v>
      </c>
      <c r="E795" s="11" t="s">
        <v>4237</v>
      </c>
      <c r="F795" s="11" t="s">
        <v>4096</v>
      </c>
      <c r="G795" s="11" t="s">
        <v>4178</v>
      </c>
      <c r="H795" s="11" t="s">
        <v>4132</v>
      </c>
      <c r="I795" s="11" t="str">
        <f>HYPERLINK("http://www.proenzaschouler.com/","http://www.proenzaschouler.com")</f>
        <v>http://www.proenzaschouler.com</v>
      </c>
      <c r="J795" s="12">
        <v>6480.6850000000004</v>
      </c>
      <c r="K795" s="12">
        <v>6480.6850000000004</v>
      </c>
      <c r="L795" s="13">
        <v>9278.4429999999993</v>
      </c>
      <c r="M795" s="12">
        <v>44.457000000000001</v>
      </c>
      <c r="N795" s="12">
        <v>44.457000000000001</v>
      </c>
      <c r="O795" s="12">
        <v>247.88399999999999</v>
      </c>
      <c r="P795" s="12">
        <v>6</v>
      </c>
      <c r="Q795" s="12">
        <v>6</v>
      </c>
      <c r="R795" s="12">
        <v>6</v>
      </c>
    </row>
    <row r="796" spans="1:18" ht="17" customHeight="1" x14ac:dyDescent="0.15">
      <c r="A796" s="8" t="s">
        <v>4238</v>
      </c>
      <c r="B796" s="9" t="s">
        <v>4239</v>
      </c>
      <c r="C796" s="8" t="s">
        <v>4240</v>
      </c>
      <c r="D796" s="8" t="s">
        <v>4240</v>
      </c>
      <c r="E796" s="8" t="s">
        <v>4241</v>
      </c>
      <c r="F796" s="8" t="s">
        <v>4183</v>
      </c>
      <c r="G796" s="8" t="s">
        <v>4184</v>
      </c>
      <c r="H796" s="8" t="s">
        <v>4143</v>
      </c>
      <c r="I796" s="8" t="str">
        <f>HYPERLINK("http://www.solidea.com/","www.solidea.com")</f>
        <v>www.solidea.com</v>
      </c>
      <c r="J796" s="10">
        <v>9272.41</v>
      </c>
      <c r="K796" s="10">
        <v>9272.41</v>
      </c>
      <c r="L796" s="10">
        <v>9271.5349999999999</v>
      </c>
      <c r="M796" s="10">
        <v>285.43700000000001</v>
      </c>
      <c r="N796" s="10">
        <v>285.43700000000001</v>
      </c>
      <c r="O796" s="10">
        <v>343.50099999999998</v>
      </c>
      <c r="P796" s="15" t="s">
        <v>4242</v>
      </c>
      <c r="Q796" s="15" t="s">
        <v>4242</v>
      </c>
      <c r="R796" s="10">
        <v>37</v>
      </c>
    </row>
    <row r="797" spans="1:18" ht="17" customHeight="1" x14ac:dyDescent="0.15">
      <c r="A797" s="11" t="s">
        <v>4243</v>
      </c>
      <c r="B797" s="1" t="s">
        <v>4244</v>
      </c>
      <c r="C797" s="11" t="s">
        <v>4245</v>
      </c>
      <c r="D797" s="11" t="s">
        <v>4245</v>
      </c>
      <c r="E797" s="11" t="s">
        <v>4246</v>
      </c>
      <c r="F797" s="11" t="s">
        <v>4165</v>
      </c>
      <c r="G797" s="11" t="s">
        <v>4247</v>
      </c>
      <c r="H797" s="11" t="s">
        <v>4125</v>
      </c>
      <c r="I797" s="11" t="str">
        <f>HYPERLINK("http://andcamicie.com/","andcamicie.com")</f>
        <v>andcamicie.com</v>
      </c>
      <c r="J797" s="12">
        <v>9523.4410000000007</v>
      </c>
      <c r="K797" s="12">
        <v>9523.4410000000007</v>
      </c>
      <c r="L797" s="13">
        <v>9251.6280000000006</v>
      </c>
      <c r="M797" s="12">
        <v>-36.470999999999997</v>
      </c>
      <c r="N797" s="12">
        <v>-36.470999999999997</v>
      </c>
      <c r="O797" s="12">
        <v>-357.33499999999998</v>
      </c>
      <c r="P797" s="12">
        <v>77</v>
      </c>
      <c r="Q797" s="12">
        <v>77</v>
      </c>
      <c r="R797" s="12">
        <v>80</v>
      </c>
    </row>
    <row r="798" spans="1:18" ht="17" customHeight="1" x14ac:dyDescent="0.15">
      <c r="A798" s="8" t="s">
        <v>4248</v>
      </c>
      <c r="B798" s="9" t="s">
        <v>4249</v>
      </c>
      <c r="C798" s="8" t="s">
        <v>4250</v>
      </c>
      <c r="D798" s="8" t="s">
        <v>4250</v>
      </c>
      <c r="E798" s="8" t="s">
        <v>4251</v>
      </c>
      <c r="F798" s="8" t="s">
        <v>4123</v>
      </c>
      <c r="G798" s="8" t="s">
        <v>4252</v>
      </c>
      <c r="H798" s="8" t="s">
        <v>4125</v>
      </c>
      <c r="I798" s="8" t="str">
        <f>HYPERLINK("http://www.marchesinicalzature.com/","www.marchesinicalzature.com")</f>
        <v>www.marchesinicalzature.com</v>
      </c>
      <c r="J798" s="10">
        <v>9388.92</v>
      </c>
      <c r="K798" s="10">
        <v>9388.92</v>
      </c>
      <c r="L798" s="10">
        <v>9236.7530000000006</v>
      </c>
      <c r="M798" s="10">
        <v>-9.09</v>
      </c>
      <c r="N798" s="10">
        <v>-9.09</v>
      </c>
      <c r="O798" s="10">
        <v>-40.104999999999997</v>
      </c>
      <c r="P798" s="10">
        <v>24</v>
      </c>
      <c r="Q798" s="10">
        <v>24</v>
      </c>
      <c r="R798" s="10">
        <v>21</v>
      </c>
    </row>
    <row r="799" spans="1:18" ht="17" customHeight="1" x14ac:dyDescent="0.15">
      <c r="A799" s="11" t="s">
        <v>4253</v>
      </c>
      <c r="B799" s="1" t="s">
        <v>4254</v>
      </c>
      <c r="C799" s="11" t="s">
        <v>4255</v>
      </c>
      <c r="D799" s="11" t="s">
        <v>4255</v>
      </c>
      <c r="E799" s="11" t="s">
        <v>4256</v>
      </c>
      <c r="F799" s="11" t="s">
        <v>4183</v>
      </c>
      <c r="G799" s="11" t="s">
        <v>4257</v>
      </c>
      <c r="H799" s="11" t="s">
        <v>4143</v>
      </c>
      <c r="I799" s="11" t="str">
        <f>HYPERLINK("http://mariflos.com/","mariflos.com")</f>
        <v>mariflos.com</v>
      </c>
      <c r="J799" s="12">
        <v>9609.81</v>
      </c>
      <c r="K799" s="12">
        <v>9609.81</v>
      </c>
      <c r="L799" s="13">
        <v>9226.5830000000005</v>
      </c>
      <c r="M799" s="12">
        <v>158.708</v>
      </c>
      <c r="N799" s="12">
        <v>158.708</v>
      </c>
      <c r="O799" s="12">
        <v>6.2270000000000003</v>
      </c>
      <c r="P799" s="12">
        <v>13</v>
      </c>
      <c r="Q799" s="12">
        <v>13</v>
      </c>
      <c r="R799" s="12">
        <v>13</v>
      </c>
    </row>
    <row r="800" spans="1:18" ht="17" customHeight="1" x14ac:dyDescent="0.15">
      <c r="A800" s="8" t="s">
        <v>4258</v>
      </c>
      <c r="B800" s="9" t="s">
        <v>4259</v>
      </c>
      <c r="C800" s="8" t="s">
        <v>4260</v>
      </c>
      <c r="D800" s="8" t="s">
        <v>4260</v>
      </c>
      <c r="E800" s="8" t="s">
        <v>4261</v>
      </c>
      <c r="F800" s="8" t="s">
        <v>4103</v>
      </c>
      <c r="G800" s="8" t="s">
        <v>4262</v>
      </c>
      <c r="H800" s="8" t="s">
        <v>4263</v>
      </c>
      <c r="I800" s="8" t="str">
        <f>HYPERLINK("http://www.manrico.com/","http://www.manrico.com")</f>
        <v>http://www.manrico.com</v>
      </c>
      <c r="J800" s="10">
        <v>9213.2389999999996</v>
      </c>
      <c r="K800" s="10">
        <v>9213.2389999999996</v>
      </c>
      <c r="L800" s="10">
        <v>9226.1589999999997</v>
      </c>
      <c r="M800" s="10">
        <v>1581.3130000000001</v>
      </c>
      <c r="N800" s="10">
        <v>1581.3130000000001</v>
      </c>
      <c r="O800" s="10">
        <v>814</v>
      </c>
      <c r="P800" s="10">
        <v>46</v>
      </c>
      <c r="Q800" s="10">
        <v>46</v>
      </c>
      <c r="R800" s="10">
        <v>49</v>
      </c>
    </row>
    <row r="801" spans="1:18" ht="17" customHeight="1" x14ac:dyDescent="0.15">
      <c r="A801" s="11" t="s">
        <v>4264</v>
      </c>
      <c r="B801" s="1" t="s">
        <v>4265</v>
      </c>
      <c r="C801" s="11" t="s">
        <v>4266</v>
      </c>
      <c r="D801" s="11" t="s">
        <v>4266</v>
      </c>
      <c r="E801" s="11" t="s">
        <v>4267</v>
      </c>
      <c r="F801" s="11" t="s">
        <v>4268</v>
      </c>
      <c r="G801" s="11" t="s">
        <v>4269</v>
      </c>
      <c r="H801" s="11" t="s">
        <v>4270</v>
      </c>
      <c r="I801" s="11" t="str">
        <f>HYPERLINK("http://astico.com/","astico.com")</f>
        <v>astico.com</v>
      </c>
      <c r="J801" s="12">
        <v>10727.589</v>
      </c>
      <c r="K801" s="12">
        <v>10727.589</v>
      </c>
      <c r="L801" s="13">
        <v>9200.3150000000005</v>
      </c>
      <c r="M801" s="12">
        <v>607.87800000000004</v>
      </c>
      <c r="N801" s="12">
        <v>607.87800000000004</v>
      </c>
      <c r="O801" s="12">
        <v>471.28399999999999</v>
      </c>
      <c r="P801" s="12">
        <v>32</v>
      </c>
      <c r="Q801" s="12">
        <v>32</v>
      </c>
      <c r="R801" s="12">
        <v>32</v>
      </c>
    </row>
    <row r="802" spans="1:18" ht="17" customHeight="1" x14ac:dyDescent="0.15">
      <c r="A802" s="8" t="s">
        <v>4271</v>
      </c>
      <c r="B802" s="9" t="s">
        <v>4272</v>
      </c>
      <c r="C802" s="8" t="s">
        <v>4273</v>
      </c>
      <c r="D802" s="8" t="s">
        <v>4273</v>
      </c>
      <c r="E802" s="8" t="s">
        <v>4274</v>
      </c>
      <c r="F802" s="8" t="s">
        <v>4275</v>
      </c>
      <c r="G802" s="8" t="s">
        <v>4276</v>
      </c>
      <c r="H802" s="8" t="s">
        <v>4277</v>
      </c>
      <c r="I802" s="8" t="str">
        <f>HYPERLINK("http://miamisrl.co/","miamisrl.co")</f>
        <v>miamisrl.co</v>
      </c>
      <c r="J802" s="10">
        <v>11347.321</v>
      </c>
      <c r="K802" s="10">
        <v>11347.321</v>
      </c>
      <c r="L802" s="10">
        <v>9171.33</v>
      </c>
      <c r="M802" s="10">
        <v>1066.845</v>
      </c>
      <c r="N802" s="10">
        <v>1066.845</v>
      </c>
      <c r="O802" s="10">
        <v>120.56100000000001</v>
      </c>
      <c r="P802" s="10">
        <v>72</v>
      </c>
      <c r="Q802" s="10">
        <v>72</v>
      </c>
      <c r="R802" s="10">
        <v>67</v>
      </c>
    </row>
    <row r="803" spans="1:18" ht="17" customHeight="1" x14ac:dyDescent="0.15">
      <c r="A803" s="11" t="s">
        <v>4278</v>
      </c>
      <c r="B803" s="1" t="s">
        <v>4279</v>
      </c>
      <c r="C803" s="11" t="s">
        <v>4280</v>
      </c>
      <c r="D803" s="11" t="s">
        <v>4280</v>
      </c>
      <c r="E803" s="11" t="s">
        <v>4281</v>
      </c>
      <c r="F803" s="11" t="s">
        <v>4282</v>
      </c>
      <c r="G803" s="11" t="s">
        <v>4283</v>
      </c>
      <c r="H803" s="11" t="s">
        <v>4284</v>
      </c>
      <c r="I803" s="11" t="str">
        <f>HYPERLINK("http://www.gloriamed.com/","www.gloriamed.com")</f>
        <v>www.gloriamed.com</v>
      </c>
      <c r="J803" s="12">
        <v>10187.496999999999</v>
      </c>
      <c r="K803" s="12">
        <v>10187.496999999999</v>
      </c>
      <c r="L803" s="13">
        <v>9159.152</v>
      </c>
      <c r="M803" s="12">
        <v>5.7519999999999998</v>
      </c>
      <c r="N803" s="12">
        <v>5.7519999999999998</v>
      </c>
      <c r="O803" s="12">
        <v>-285.916</v>
      </c>
      <c r="P803" s="12">
        <v>56</v>
      </c>
      <c r="Q803" s="12">
        <v>56</v>
      </c>
      <c r="R803" s="12">
        <v>55</v>
      </c>
    </row>
    <row r="804" spans="1:18" ht="29.5" customHeight="1" x14ac:dyDescent="0.15">
      <c r="A804" s="8" t="s">
        <v>4285</v>
      </c>
      <c r="B804" s="9" t="s">
        <v>4286</v>
      </c>
      <c r="C804" s="8" t="s">
        <v>4287</v>
      </c>
      <c r="D804" s="8" t="s">
        <v>4287</v>
      </c>
      <c r="E804" s="8" t="s">
        <v>4288</v>
      </c>
      <c r="F804" s="8" t="s">
        <v>4268</v>
      </c>
      <c r="G804" s="8" t="s">
        <v>4289</v>
      </c>
      <c r="H804" s="8" t="s">
        <v>4290</v>
      </c>
      <c r="I804" s="8" t="str">
        <f>HYPERLINK("http://www.ambassadorconceria.it/","www.ambassadorconceria.it")</f>
        <v>www.ambassadorconceria.it</v>
      </c>
      <c r="J804" s="10">
        <v>10601.99</v>
      </c>
      <c r="K804" s="10">
        <v>10601.99</v>
      </c>
      <c r="L804" s="10">
        <v>9155.98</v>
      </c>
      <c r="M804" s="10">
        <v>191.93199999999999</v>
      </c>
      <c r="N804" s="10">
        <v>191.93199999999999</v>
      </c>
      <c r="O804" s="10">
        <v>175.33199999999999</v>
      </c>
      <c r="P804" s="10">
        <v>23</v>
      </c>
      <c r="Q804" s="10">
        <v>23</v>
      </c>
      <c r="R804" s="10">
        <v>23</v>
      </c>
    </row>
    <row r="805" spans="1:18" ht="17" customHeight="1" x14ac:dyDescent="0.15">
      <c r="A805" s="11" t="s">
        <v>4291</v>
      </c>
      <c r="B805" s="1" t="s">
        <v>4292</v>
      </c>
      <c r="C805" s="11" t="s">
        <v>4293</v>
      </c>
      <c r="D805" s="11" t="s">
        <v>4293</v>
      </c>
      <c r="E805" s="11" t="s">
        <v>4294</v>
      </c>
      <c r="F805" s="11" t="s">
        <v>4295</v>
      </c>
      <c r="G805" s="11" t="s">
        <v>4296</v>
      </c>
      <c r="H805" s="11" t="s">
        <v>4270</v>
      </c>
      <c r="I805" s="11" t="str">
        <f>HYPERLINK("http://arkimediagroup.it/","arkimediagroup.it")</f>
        <v>arkimediagroup.it</v>
      </c>
      <c r="J805" s="12">
        <v>9283.2739999999994</v>
      </c>
      <c r="K805" s="12">
        <v>9283.2739999999994</v>
      </c>
      <c r="L805" s="13">
        <v>9132.4670000000006</v>
      </c>
      <c r="M805" s="12">
        <v>2141.5239999999999</v>
      </c>
      <c r="N805" s="12">
        <v>2141.5239999999999</v>
      </c>
      <c r="O805" s="12">
        <v>1931.7470000000001</v>
      </c>
      <c r="P805" s="12">
        <v>37</v>
      </c>
      <c r="Q805" s="12">
        <v>37</v>
      </c>
      <c r="R805" s="12">
        <v>36</v>
      </c>
    </row>
    <row r="806" spans="1:18" ht="17" customHeight="1" x14ac:dyDescent="0.15">
      <c r="A806" s="8" t="s">
        <v>4297</v>
      </c>
      <c r="B806" s="9" t="s">
        <v>4298</v>
      </c>
      <c r="C806" s="8" t="s">
        <v>4299</v>
      </c>
      <c r="D806" s="8" t="s">
        <v>4300</v>
      </c>
      <c r="E806" s="8" t="s">
        <v>4301</v>
      </c>
      <c r="F806" s="8" t="s">
        <v>4295</v>
      </c>
      <c r="G806" s="8" t="s">
        <v>4276</v>
      </c>
      <c r="H806" s="8" t="s">
        <v>4277</v>
      </c>
      <c r="I806" s="8" t="str">
        <f>HYPERLINK("http://www.tigamaro.it/","www.tigamaro.it")</f>
        <v>www.tigamaro.it</v>
      </c>
      <c r="J806" s="10">
        <v>8019.6670000000004</v>
      </c>
      <c r="K806" s="10">
        <v>8019.6670000000004</v>
      </c>
      <c r="L806" s="10">
        <v>9125.0300000000007</v>
      </c>
      <c r="M806" s="10">
        <v>45.005000000000003</v>
      </c>
      <c r="N806" s="10">
        <v>45.005000000000003</v>
      </c>
      <c r="O806" s="10">
        <v>75.795000000000002</v>
      </c>
      <c r="P806" s="10">
        <v>94</v>
      </c>
      <c r="Q806" s="10">
        <v>94</v>
      </c>
      <c r="R806" s="10">
        <v>80</v>
      </c>
    </row>
    <row r="807" spans="1:18" ht="17" customHeight="1" x14ac:dyDescent="0.15">
      <c r="A807" s="11" t="s">
        <v>4302</v>
      </c>
      <c r="B807" s="1" t="s">
        <v>4303</v>
      </c>
      <c r="C807" s="11" t="s">
        <v>4304</v>
      </c>
      <c r="D807" s="11" t="s">
        <v>4304</v>
      </c>
      <c r="E807" s="11" t="s">
        <v>4305</v>
      </c>
      <c r="F807" s="11" t="s">
        <v>4306</v>
      </c>
      <c r="G807" s="11" t="s">
        <v>4307</v>
      </c>
      <c r="H807" s="11" t="s">
        <v>4308</v>
      </c>
      <c r="I807" s="11" t="str">
        <f>HYPERLINK("http://tistyleit.com/","tistyleit.com")</f>
        <v>tistyleit.com</v>
      </c>
      <c r="J807" s="12">
        <v>13236.255999999999</v>
      </c>
      <c r="K807" s="12">
        <v>13236.255999999999</v>
      </c>
      <c r="L807" s="13">
        <v>9123.6689999999999</v>
      </c>
      <c r="M807" s="12">
        <v>1771.645</v>
      </c>
      <c r="N807" s="12">
        <v>1771.645</v>
      </c>
      <c r="O807" s="12">
        <v>804.66399999999999</v>
      </c>
      <c r="P807" s="12">
        <v>67</v>
      </c>
      <c r="Q807" s="12">
        <v>67</v>
      </c>
      <c r="R807" s="12">
        <v>58</v>
      </c>
    </row>
    <row r="808" spans="1:18" ht="17" customHeight="1" x14ac:dyDescent="0.15">
      <c r="A808" s="8" t="s">
        <v>4309</v>
      </c>
      <c r="B808" s="9" t="s">
        <v>4310</v>
      </c>
      <c r="C808" s="8" t="s">
        <v>4311</v>
      </c>
      <c r="D808" s="8" t="s">
        <v>4311</v>
      </c>
      <c r="E808" s="8" t="s">
        <v>4312</v>
      </c>
      <c r="F808" s="8" t="s">
        <v>4306</v>
      </c>
      <c r="G808" s="8" t="s">
        <v>4313</v>
      </c>
      <c r="H808" s="8" t="s">
        <v>4284</v>
      </c>
      <c r="I808" s="8" t="str">
        <f>HYPERLINK("http://www.msgmkids.it/","www.msgmkids.it")</f>
        <v>www.msgmkids.it</v>
      </c>
      <c r="J808" s="10">
        <v>8605.7270000000008</v>
      </c>
      <c r="K808" s="10">
        <v>8605.7270000000008</v>
      </c>
      <c r="L808" s="10">
        <v>9079.3639999999996</v>
      </c>
      <c r="M808" s="10">
        <v>2060.4070000000002</v>
      </c>
      <c r="N808" s="10">
        <v>2060.4070000000002</v>
      </c>
      <c r="O808" s="10">
        <v>2261.41</v>
      </c>
      <c r="P808" s="10">
        <v>7</v>
      </c>
      <c r="Q808" s="10">
        <v>7</v>
      </c>
      <c r="R808" s="10">
        <v>4</v>
      </c>
    </row>
    <row r="809" spans="1:18" ht="17" customHeight="1" x14ac:dyDescent="0.15">
      <c r="A809" s="11" t="s">
        <v>4314</v>
      </c>
      <c r="B809" s="1" t="s">
        <v>4315</v>
      </c>
      <c r="C809" s="11" t="s">
        <v>4316</v>
      </c>
      <c r="D809" s="11" t="s">
        <v>4316</v>
      </c>
      <c r="E809" s="11" t="s">
        <v>4317</v>
      </c>
      <c r="F809" s="11" t="s">
        <v>4318</v>
      </c>
      <c r="G809" s="11" t="s">
        <v>4313</v>
      </c>
      <c r="H809" s="11" t="s">
        <v>4284</v>
      </c>
      <c r="I809" s="11" t="str">
        <f>HYPERLINK("http://www.erlivia.it/","http://www.erlivia.it")</f>
        <v>http://www.erlivia.it</v>
      </c>
      <c r="J809" s="12">
        <v>7557.2579999999998</v>
      </c>
      <c r="K809" s="12">
        <v>7557.2579999999998</v>
      </c>
      <c r="L809" s="13">
        <v>9072.9830000000002</v>
      </c>
      <c r="M809" s="12">
        <v>32.142000000000003</v>
      </c>
      <c r="N809" s="12">
        <v>32.142000000000003</v>
      </c>
      <c r="O809" s="12">
        <v>5.6879999999999997</v>
      </c>
      <c r="P809" s="12">
        <v>21</v>
      </c>
      <c r="Q809" s="12">
        <v>21</v>
      </c>
      <c r="R809" s="12">
        <v>21</v>
      </c>
    </row>
    <row r="810" spans="1:18" ht="17" customHeight="1" x14ac:dyDescent="0.15">
      <c r="A810" s="8" t="s">
        <v>4319</v>
      </c>
      <c r="B810" s="9" t="s">
        <v>4320</v>
      </c>
      <c r="C810" s="8" t="s">
        <v>4321</v>
      </c>
      <c r="D810" s="8" t="s">
        <v>4321</v>
      </c>
      <c r="E810" s="8" t="s">
        <v>4322</v>
      </c>
      <c r="F810" s="8" t="s">
        <v>4306</v>
      </c>
      <c r="G810" s="8" t="s">
        <v>4323</v>
      </c>
      <c r="H810" s="8" t="s">
        <v>4324</v>
      </c>
      <c r="I810" s="8" t="str">
        <f>HYPERLINK("http://shop.danieladallavalle.com/","shop.danieladallavalle.com")</f>
        <v>shop.danieladallavalle.com</v>
      </c>
      <c r="J810" s="10">
        <v>8194.6329999999998</v>
      </c>
      <c r="K810" s="10">
        <v>8194.6329999999998</v>
      </c>
      <c r="L810" s="10">
        <v>9066.4240000000009</v>
      </c>
      <c r="M810" s="10">
        <v>-1288.569</v>
      </c>
      <c r="N810" s="10">
        <v>-1288.569</v>
      </c>
      <c r="O810" s="10">
        <v>-1347.451</v>
      </c>
      <c r="P810" s="10">
        <v>29</v>
      </c>
      <c r="Q810" s="10">
        <v>29</v>
      </c>
      <c r="R810" s="10">
        <v>27</v>
      </c>
    </row>
    <row r="811" spans="1:18" ht="17" customHeight="1" x14ac:dyDescent="0.15">
      <c r="A811" s="11" t="s">
        <v>4325</v>
      </c>
      <c r="B811" s="1" t="s">
        <v>4326</v>
      </c>
      <c r="C811" s="11" t="s">
        <v>4327</v>
      </c>
      <c r="D811" s="11" t="s">
        <v>4327</v>
      </c>
      <c r="E811" s="11" t="s">
        <v>4328</v>
      </c>
      <c r="F811" s="11" t="s">
        <v>4268</v>
      </c>
      <c r="G811" s="11" t="s">
        <v>4329</v>
      </c>
      <c r="H811" s="11" t="s">
        <v>4270</v>
      </c>
      <c r="I811" s="11" t="str">
        <f>HYPERLINK("http://www.chiorino.com/","www.chiorino.com")</f>
        <v>www.chiorino.com</v>
      </c>
      <c r="J811" s="12">
        <v>7767.8850000000002</v>
      </c>
      <c r="K811" s="12">
        <v>8421.384</v>
      </c>
      <c r="L811" s="13">
        <v>9048.5220000000008</v>
      </c>
      <c r="M811" s="12">
        <v>1788.2660000000001</v>
      </c>
      <c r="N811" s="12">
        <v>2094.3409999999999</v>
      </c>
      <c r="O811" s="12">
        <v>2212.7109999999998</v>
      </c>
      <c r="P811" s="12">
        <v>22</v>
      </c>
      <c r="Q811" s="12">
        <v>22</v>
      </c>
      <c r="R811" s="12">
        <v>22</v>
      </c>
    </row>
    <row r="812" spans="1:18" ht="17" customHeight="1" x14ac:dyDescent="0.15">
      <c r="A812" s="8" t="s">
        <v>4330</v>
      </c>
      <c r="B812" s="9" t="s">
        <v>4331</v>
      </c>
      <c r="C812" s="8" t="s">
        <v>4332</v>
      </c>
      <c r="D812" s="8" t="s">
        <v>4332</v>
      </c>
      <c r="E812" s="8" t="s">
        <v>4333</v>
      </c>
      <c r="F812" s="8" t="s">
        <v>4334</v>
      </c>
      <c r="G812" s="8" t="s">
        <v>4335</v>
      </c>
      <c r="H812" s="8" t="s">
        <v>4324</v>
      </c>
      <c r="I812" s="8" t="str">
        <f>HYPERLINK("http://www.kangra.it/","http://www.kangra.it")</f>
        <v>http://www.kangra.it</v>
      </c>
      <c r="J812" s="10">
        <v>9789.9140000000007</v>
      </c>
      <c r="K812" s="10">
        <v>9789.9140000000007</v>
      </c>
      <c r="L812" s="10">
        <v>9042.8089999999993</v>
      </c>
      <c r="M812" s="10">
        <v>92.966999999999999</v>
      </c>
      <c r="N812" s="10">
        <v>92.966999999999999</v>
      </c>
      <c r="O812" s="10">
        <v>113.22</v>
      </c>
      <c r="P812" s="10">
        <v>29</v>
      </c>
      <c r="Q812" s="10">
        <v>29</v>
      </c>
      <c r="R812" s="10">
        <v>29</v>
      </c>
    </row>
    <row r="813" spans="1:18" ht="29.5" customHeight="1" x14ac:dyDescent="0.15">
      <c r="A813" s="11" t="s">
        <v>4336</v>
      </c>
      <c r="B813" s="1" t="s">
        <v>4337</v>
      </c>
      <c r="C813" s="11" t="s">
        <v>4338</v>
      </c>
      <c r="D813" s="11" t="s">
        <v>4338</v>
      </c>
      <c r="E813" s="11" t="s">
        <v>4339</v>
      </c>
      <c r="F813" s="11" t="s">
        <v>4340</v>
      </c>
      <c r="G813" s="11" t="s">
        <v>4341</v>
      </c>
      <c r="H813" s="11" t="s">
        <v>4290</v>
      </c>
      <c r="I813" s="11" t="str">
        <f>HYPERLINK("http://www.ventesimofirenze.com/","www.ventesimofirenze.com")</f>
        <v>www.ventesimofirenze.com</v>
      </c>
      <c r="J813" s="12">
        <v>8065.2979999999998</v>
      </c>
      <c r="K813" s="12">
        <v>8065.2979999999998</v>
      </c>
      <c r="L813" s="13">
        <v>9042.5130000000008</v>
      </c>
      <c r="M813" s="12">
        <v>10.616</v>
      </c>
      <c r="N813" s="12">
        <v>10.616</v>
      </c>
      <c r="O813" s="12">
        <v>36.930999999999997</v>
      </c>
      <c r="P813" s="12">
        <v>48</v>
      </c>
      <c r="Q813" s="12">
        <v>48</v>
      </c>
      <c r="R813" s="12">
        <v>66</v>
      </c>
    </row>
    <row r="814" spans="1:18" ht="17" customHeight="1" x14ac:dyDescent="0.15">
      <c r="A814" s="8" t="s">
        <v>4342</v>
      </c>
      <c r="B814" s="9" t="s">
        <v>4343</v>
      </c>
      <c r="C814" s="8" t="s">
        <v>4344</v>
      </c>
      <c r="D814" s="8" t="s">
        <v>4344</v>
      </c>
      <c r="E814" s="8" t="s">
        <v>4345</v>
      </c>
      <c r="F814" s="8" t="s">
        <v>4306</v>
      </c>
      <c r="G814" s="8" t="s">
        <v>4313</v>
      </c>
      <c r="H814" s="8" t="s">
        <v>4284</v>
      </c>
      <c r="I814" s="8" t="str">
        <f>HYPERLINK("http://www.mcs.com/","www.mcs.com")</f>
        <v>www.mcs.com</v>
      </c>
      <c r="J814" s="10">
        <v>9455.8080000000009</v>
      </c>
      <c r="K814" s="10">
        <v>8682.5650000000005</v>
      </c>
      <c r="L814" s="10">
        <v>9023.4670000000006</v>
      </c>
      <c r="M814" s="10">
        <v>323.10199999999998</v>
      </c>
      <c r="N814" s="10">
        <v>378.86500000000001</v>
      </c>
      <c r="O814" s="10">
        <v>187.73699999999999</v>
      </c>
      <c r="P814" s="10">
        <v>11</v>
      </c>
      <c r="Q814" s="10">
        <v>9</v>
      </c>
      <c r="R814" s="10">
        <v>9</v>
      </c>
    </row>
    <row r="815" spans="1:18" ht="17" customHeight="1" x14ac:dyDescent="0.15">
      <c r="A815" s="11" t="s">
        <v>4346</v>
      </c>
      <c r="B815" s="1" t="s">
        <v>4347</v>
      </c>
      <c r="C815" s="11" t="s">
        <v>4348</v>
      </c>
      <c r="D815" s="11" t="s">
        <v>4348</v>
      </c>
      <c r="E815" s="11" t="s">
        <v>4349</v>
      </c>
      <c r="F815" s="11" t="s">
        <v>4268</v>
      </c>
      <c r="G815" s="11" t="s">
        <v>4350</v>
      </c>
      <c r="H815" s="11" t="s">
        <v>4351</v>
      </c>
      <c r="I815" s="11" t="str">
        <f>HYPERLINK("http://www.umbertorusso.it/","www.umbertorusso.it")</f>
        <v>www.umbertorusso.it</v>
      </c>
      <c r="J815" s="12">
        <v>6733.7380000000003</v>
      </c>
      <c r="K815" s="12">
        <v>6733.7380000000003</v>
      </c>
      <c r="L815" s="13">
        <v>9022.5779999999995</v>
      </c>
      <c r="M815" s="12">
        <v>120.369</v>
      </c>
      <c r="N815" s="12">
        <v>120.369</v>
      </c>
      <c r="O815" s="12">
        <v>31.856000000000002</v>
      </c>
      <c r="P815" s="12">
        <v>31</v>
      </c>
      <c r="Q815" s="12">
        <v>31</v>
      </c>
      <c r="R815" s="12">
        <v>32</v>
      </c>
    </row>
    <row r="816" spans="1:18" ht="17" customHeight="1" x14ac:dyDescent="0.15">
      <c r="A816" s="8" t="s">
        <v>4352</v>
      </c>
      <c r="B816" s="9" t="s">
        <v>4353</v>
      </c>
      <c r="C816" s="8" t="s">
        <v>4354</v>
      </c>
      <c r="D816" s="8" t="s">
        <v>4354</v>
      </c>
      <c r="E816" s="8" t="s">
        <v>4355</v>
      </c>
      <c r="F816" s="8" t="s">
        <v>4306</v>
      </c>
      <c r="G816" s="8" t="s">
        <v>4356</v>
      </c>
      <c r="H816" s="8" t="s">
        <v>4324</v>
      </c>
      <c r="I816" s="8" t="str">
        <f>HYPERLINK("http://www.camac.it/","www.camac.it")</f>
        <v>www.camac.it</v>
      </c>
      <c r="J816" s="10">
        <v>7921.018</v>
      </c>
      <c r="K816" s="10">
        <v>7921.018</v>
      </c>
      <c r="L816" s="10">
        <v>9019.3860000000004</v>
      </c>
      <c r="M816" s="10">
        <v>242.852</v>
      </c>
      <c r="N816" s="10">
        <v>242.852</v>
      </c>
      <c r="O816" s="10">
        <v>233.85300000000001</v>
      </c>
      <c r="P816" s="10">
        <v>51</v>
      </c>
      <c r="Q816" s="10">
        <v>51</v>
      </c>
      <c r="R816" s="10">
        <v>58</v>
      </c>
    </row>
    <row r="817" spans="1:18" ht="17" customHeight="1" x14ac:dyDescent="0.15">
      <c r="A817" s="11" t="s">
        <v>4357</v>
      </c>
      <c r="B817" s="1" t="s">
        <v>4358</v>
      </c>
      <c r="C817" s="11" t="s">
        <v>4359</v>
      </c>
      <c r="D817" s="11" t="s">
        <v>4359</v>
      </c>
      <c r="E817" s="11" t="s">
        <v>4360</v>
      </c>
      <c r="F817" s="11" t="s">
        <v>4306</v>
      </c>
      <c r="G817" s="11" t="s">
        <v>4361</v>
      </c>
      <c r="H817" s="11" t="s">
        <v>4290</v>
      </c>
      <c r="I817" s="11" t="str">
        <f>HYPERLINK("http://www.ascotsport.it/","www.ascotsport.it")</f>
        <v>www.ascotsport.it</v>
      </c>
      <c r="J817" s="12">
        <v>10575.261</v>
      </c>
      <c r="K817" s="12">
        <v>10575.261</v>
      </c>
      <c r="L817" s="13">
        <v>9017.1219999999994</v>
      </c>
      <c r="M817" s="12">
        <v>66.793000000000006</v>
      </c>
      <c r="N817" s="12">
        <v>66.793000000000006</v>
      </c>
      <c r="O817" s="12">
        <v>20.98</v>
      </c>
      <c r="P817" s="12">
        <v>10</v>
      </c>
      <c r="Q817" s="12">
        <v>10</v>
      </c>
      <c r="R817" s="12">
        <v>9</v>
      </c>
    </row>
    <row r="818" spans="1:18" ht="43" customHeight="1" x14ac:dyDescent="0.15">
      <c r="A818" s="8" t="s">
        <v>4362</v>
      </c>
      <c r="B818" s="9" t="s">
        <v>4363</v>
      </c>
      <c r="C818" s="8" t="s">
        <v>4364</v>
      </c>
      <c r="D818" s="8" t="s">
        <v>4364</v>
      </c>
      <c r="E818" s="8" t="s">
        <v>4365</v>
      </c>
      <c r="F818" s="8" t="s">
        <v>4366</v>
      </c>
      <c r="G818" s="8" t="s">
        <v>4367</v>
      </c>
      <c r="H818" s="8" t="s">
        <v>4284</v>
      </c>
      <c r="I818" s="8" t="str">
        <f>HYPERLINK("http://cesaremartinoli.it/","cesaremartinoli.it")</f>
        <v>cesaremartinoli.it</v>
      </c>
      <c r="J818" s="10">
        <v>6561.5420000000004</v>
      </c>
      <c r="K818" s="10">
        <v>6561.5420000000004</v>
      </c>
      <c r="L818" s="10">
        <v>9015.2870000000003</v>
      </c>
      <c r="M818" s="10">
        <v>1393.7339999999999</v>
      </c>
      <c r="N818" s="10">
        <v>1393.7339999999999</v>
      </c>
      <c r="O818" s="10">
        <v>1279.212</v>
      </c>
      <c r="P818" s="10">
        <v>34</v>
      </c>
      <c r="Q818" s="10">
        <v>34</v>
      </c>
      <c r="R818" s="10">
        <v>35</v>
      </c>
    </row>
    <row r="819" spans="1:18" ht="17" customHeight="1" x14ac:dyDescent="0.15">
      <c r="A819" s="11" t="s">
        <v>4368</v>
      </c>
      <c r="B819" s="1" t="s">
        <v>4369</v>
      </c>
      <c r="C819" s="11" t="s">
        <v>4370</v>
      </c>
      <c r="D819" s="11" t="s">
        <v>4370</v>
      </c>
      <c r="E819" s="11" t="s">
        <v>4371</v>
      </c>
      <c r="F819" s="11" t="s">
        <v>4372</v>
      </c>
      <c r="G819" s="11" t="s">
        <v>4307</v>
      </c>
      <c r="H819" s="11" t="s">
        <v>4308</v>
      </c>
      <c r="I819" s="11" t="str">
        <f>HYPERLINK("http://www.letricotperugia.com/","http://www.letricotperugia.com")</f>
        <v>http://www.letricotperugia.com</v>
      </c>
      <c r="J819" s="12">
        <v>9686.4419999999991</v>
      </c>
      <c r="K819" s="12">
        <v>9686.4419999999991</v>
      </c>
      <c r="L819" s="13">
        <v>9002.7039999999997</v>
      </c>
      <c r="M819" s="12">
        <v>27.408999999999999</v>
      </c>
      <c r="N819" s="12">
        <v>27.408999999999999</v>
      </c>
      <c r="O819" s="12">
        <v>44.703000000000003</v>
      </c>
      <c r="P819" s="12">
        <v>49</v>
      </c>
      <c r="Q819" s="12">
        <v>49</v>
      </c>
      <c r="R819" s="12">
        <v>49</v>
      </c>
    </row>
    <row r="820" spans="1:18" ht="17" customHeight="1" x14ac:dyDescent="0.15">
      <c r="A820" s="8" t="s">
        <v>4373</v>
      </c>
      <c r="B820" s="9" t="s">
        <v>4374</v>
      </c>
      <c r="C820" s="8" t="s">
        <v>4375</v>
      </c>
      <c r="D820" s="8" t="s">
        <v>4375</v>
      </c>
      <c r="E820" s="8" t="s">
        <v>4376</v>
      </c>
      <c r="F820" s="8" t="s">
        <v>4372</v>
      </c>
      <c r="G820" s="8" t="s">
        <v>4335</v>
      </c>
      <c r="H820" s="8" t="s">
        <v>4324</v>
      </c>
      <c r="I820" s="8" t="str">
        <f>HYPERLINK("http://www.copycompany.it/","www.copycompany.it")</f>
        <v>www.copycompany.it</v>
      </c>
      <c r="J820" s="10">
        <v>11219.316999999999</v>
      </c>
      <c r="K820" s="10">
        <v>11219.316999999999</v>
      </c>
      <c r="L820" s="10">
        <v>9000.5499999999993</v>
      </c>
      <c r="M820" s="10">
        <v>260.87400000000002</v>
      </c>
      <c r="N820" s="10">
        <v>260.87400000000002</v>
      </c>
      <c r="O820" s="10">
        <v>170.75800000000001</v>
      </c>
      <c r="P820" s="10">
        <v>13</v>
      </c>
      <c r="Q820" s="10">
        <v>13</v>
      </c>
      <c r="R820" s="10">
        <v>12</v>
      </c>
    </row>
    <row r="821" spans="1:18" ht="29.5" customHeight="1" x14ac:dyDescent="0.15">
      <c r="A821" s="11" t="s">
        <v>4377</v>
      </c>
      <c r="B821" s="1" t="s">
        <v>4378</v>
      </c>
      <c r="C821" s="11" t="s">
        <v>4379</v>
      </c>
      <c r="D821" s="11" t="s">
        <v>4379</v>
      </c>
      <c r="E821" s="11" t="s">
        <v>4380</v>
      </c>
      <c r="F821" s="11" t="s">
        <v>4381</v>
      </c>
      <c r="G821" s="11" t="s">
        <v>4323</v>
      </c>
      <c r="H821" s="11" t="s">
        <v>4324</v>
      </c>
      <c r="I821" s="11" t="str">
        <f>HYPERLINK("http://www.seamaglie.it/","www.seamaglie.it")</f>
        <v>www.seamaglie.it</v>
      </c>
      <c r="J821" s="12">
        <v>9236.4140000000007</v>
      </c>
      <c r="K821" s="12">
        <v>9236.4140000000007</v>
      </c>
      <c r="L821" s="13">
        <v>8958.6319999999996</v>
      </c>
      <c r="M821" s="12">
        <v>37.100999999999999</v>
      </c>
      <c r="N821" s="12">
        <v>37.100999999999999</v>
      </c>
      <c r="O821" s="12">
        <v>44.322000000000003</v>
      </c>
      <c r="P821" s="12">
        <v>13</v>
      </c>
      <c r="Q821" s="12">
        <v>13</v>
      </c>
      <c r="R821" s="12">
        <v>15</v>
      </c>
    </row>
    <row r="822" spans="1:18" ht="29.5" customHeight="1" x14ac:dyDescent="0.15">
      <c r="A822" s="8" t="s">
        <v>4382</v>
      </c>
      <c r="B822" s="9" t="s">
        <v>4383</v>
      </c>
      <c r="C822" s="8" t="s">
        <v>4384</v>
      </c>
      <c r="D822" s="8" t="s">
        <v>4384</v>
      </c>
      <c r="E822" s="8" t="s">
        <v>4385</v>
      </c>
      <c r="F822" s="8" t="s">
        <v>4381</v>
      </c>
      <c r="G822" s="8" t="s">
        <v>4350</v>
      </c>
      <c r="H822" s="8" t="s">
        <v>4351</v>
      </c>
      <c r="I822" s="8" t="str">
        <f>HYPERLINK("http://www.viabovio.it/","http://www.viabovio.it")</f>
        <v>http://www.viabovio.it</v>
      </c>
      <c r="J822" s="10">
        <v>11944.303</v>
      </c>
      <c r="K822" s="10">
        <v>11944.303</v>
      </c>
      <c r="L822" s="10">
        <v>8927.5840000000007</v>
      </c>
      <c r="M822" s="10">
        <v>252.77</v>
      </c>
      <c r="N822" s="10">
        <v>252.77</v>
      </c>
      <c r="O822" s="10">
        <v>124.10299999999999</v>
      </c>
      <c r="P822" s="15" t="s">
        <v>4386</v>
      </c>
      <c r="Q822" s="15" t="s">
        <v>4386</v>
      </c>
      <c r="R822" s="10">
        <v>19</v>
      </c>
    </row>
    <row r="823" spans="1:18" ht="17" customHeight="1" x14ac:dyDescent="0.15">
      <c r="A823" s="11" t="s">
        <v>4387</v>
      </c>
      <c r="B823" s="1" t="s">
        <v>4388</v>
      </c>
      <c r="C823" s="11" t="s">
        <v>4389</v>
      </c>
      <c r="D823" s="11" t="s">
        <v>4389</v>
      </c>
      <c r="E823" s="11" t="s">
        <v>4390</v>
      </c>
      <c r="F823" s="11" t="s">
        <v>4306</v>
      </c>
      <c r="G823" s="11" t="s">
        <v>4350</v>
      </c>
      <c r="H823" s="11" t="s">
        <v>4351</v>
      </c>
      <c r="I823" s="11" t="str">
        <f>HYPERLINK("http://www.mirandagroupsrl.it/","www.mirandagroupsrl.it")</f>
        <v>www.mirandagroupsrl.it</v>
      </c>
      <c r="J823" s="12">
        <v>10621.937</v>
      </c>
      <c r="K823" s="12">
        <v>10621.937</v>
      </c>
      <c r="L823" s="13">
        <v>8913.5580000000009</v>
      </c>
      <c r="M823" s="12">
        <v>861.72</v>
      </c>
      <c r="N823" s="12">
        <v>861.72</v>
      </c>
      <c r="O823" s="12">
        <v>261.34399999999999</v>
      </c>
      <c r="P823" s="14" t="s">
        <v>4386</v>
      </c>
      <c r="Q823" s="14" t="s">
        <v>4386</v>
      </c>
      <c r="R823" s="12">
        <v>21</v>
      </c>
    </row>
    <row r="824" spans="1:18" ht="17" customHeight="1" x14ac:dyDescent="0.15">
      <c r="A824" s="8" t="s">
        <v>4391</v>
      </c>
      <c r="B824" s="9" t="s">
        <v>4392</v>
      </c>
      <c r="C824" s="8" t="s">
        <v>4393</v>
      </c>
      <c r="D824" s="8" t="s">
        <v>4393</v>
      </c>
      <c r="E824" s="8" t="s">
        <v>4394</v>
      </c>
      <c r="F824" s="8" t="s">
        <v>4268</v>
      </c>
      <c r="G824" s="8" t="s">
        <v>4269</v>
      </c>
      <c r="H824" s="8" t="s">
        <v>4270</v>
      </c>
      <c r="I824" s="8" t="str">
        <f>HYPERLINK("http://www.fracca.net/","www.fracca.net")</f>
        <v>www.fracca.net</v>
      </c>
      <c r="J824" s="10">
        <v>7428.8909999999996</v>
      </c>
      <c r="K824" s="10">
        <v>7428.8909999999996</v>
      </c>
      <c r="L824" s="10">
        <v>8913.3850000000002</v>
      </c>
      <c r="M824" s="10">
        <v>-23.855</v>
      </c>
      <c r="N824" s="10">
        <v>-23.855</v>
      </c>
      <c r="O824" s="10">
        <v>162.81800000000001</v>
      </c>
      <c r="P824" s="10">
        <v>23</v>
      </c>
      <c r="Q824" s="10">
        <v>23</v>
      </c>
      <c r="R824" s="10">
        <v>25</v>
      </c>
    </row>
    <row r="825" spans="1:18" ht="17" customHeight="1" x14ac:dyDescent="0.15">
      <c r="A825" s="11" t="s">
        <v>4395</v>
      </c>
      <c r="B825" s="1" t="s">
        <v>4396</v>
      </c>
      <c r="C825" s="11" t="s">
        <v>4397</v>
      </c>
      <c r="D825" s="11" t="s">
        <v>4397</v>
      </c>
      <c r="E825" s="11" t="s">
        <v>4398</v>
      </c>
      <c r="F825" s="11" t="s">
        <v>4268</v>
      </c>
      <c r="G825" s="11" t="s">
        <v>4269</v>
      </c>
      <c r="H825" s="11" t="s">
        <v>4270</v>
      </c>
      <c r="I825" s="11" t="str">
        <f>HYPERLINK("http://www.italleathersource.it/","www.italleathersource.it")</f>
        <v>www.italleathersource.it</v>
      </c>
      <c r="J825" s="12">
        <v>7573.0619999999999</v>
      </c>
      <c r="K825" s="12">
        <v>7573.0619999999999</v>
      </c>
      <c r="L825" s="13">
        <v>8912.8940000000002</v>
      </c>
      <c r="M825" s="12">
        <v>349.69499999999999</v>
      </c>
      <c r="N825" s="12">
        <v>349.69499999999999</v>
      </c>
      <c r="O825" s="12">
        <v>157.28399999999999</v>
      </c>
      <c r="P825" s="12">
        <v>5</v>
      </c>
      <c r="Q825" s="12">
        <v>5</v>
      </c>
      <c r="R825" s="12">
        <v>4</v>
      </c>
    </row>
    <row r="826" spans="1:18" ht="17" customHeight="1" x14ac:dyDescent="0.15">
      <c r="A826" s="8" t="s">
        <v>4399</v>
      </c>
      <c r="B826" s="9" t="s">
        <v>4400</v>
      </c>
      <c r="C826" s="8" t="s">
        <v>4401</v>
      </c>
      <c r="D826" s="8" t="s">
        <v>4401</v>
      </c>
      <c r="E826" s="8" t="s">
        <v>4402</v>
      </c>
      <c r="F826" s="8" t="s">
        <v>4381</v>
      </c>
      <c r="G826" s="8" t="s">
        <v>4313</v>
      </c>
      <c r="H826" s="8" t="s">
        <v>4284</v>
      </c>
      <c r="I826" s="8" t="str">
        <f>HYPERLINK("http://luxuryjersey.it/","luxuryjersey.it/")</f>
        <v>luxuryjersey.it/</v>
      </c>
      <c r="J826" s="10">
        <v>8436.5409999999993</v>
      </c>
      <c r="K826" s="10">
        <v>8436.5409999999993</v>
      </c>
      <c r="L826" s="10">
        <v>8902.3539999999994</v>
      </c>
      <c r="M826" s="10">
        <v>1314.0719999999999</v>
      </c>
      <c r="N826" s="10">
        <v>1314.0719999999999</v>
      </c>
      <c r="O826" s="10">
        <v>1274.2809999999999</v>
      </c>
      <c r="P826" s="10">
        <v>10</v>
      </c>
      <c r="Q826" s="10">
        <v>10</v>
      </c>
      <c r="R826" s="10">
        <v>9</v>
      </c>
    </row>
    <row r="827" spans="1:18" ht="17" customHeight="1" x14ac:dyDescent="0.15">
      <c r="A827" s="11" t="s">
        <v>4403</v>
      </c>
      <c r="B827" s="1" t="s">
        <v>4404</v>
      </c>
      <c r="C827" s="11" t="s">
        <v>4405</v>
      </c>
      <c r="D827" s="11" t="s">
        <v>4405</v>
      </c>
      <c r="E827" s="11" t="s">
        <v>4406</v>
      </c>
      <c r="F827" s="11" t="s">
        <v>4366</v>
      </c>
      <c r="G827" s="11" t="s">
        <v>4407</v>
      </c>
      <c r="H827" s="11" t="s">
        <v>4408</v>
      </c>
      <c r="I827" s="11" t="str">
        <f>HYPERLINK("http://www.2star.it/","www.2star.it")</f>
        <v>www.2star.it</v>
      </c>
      <c r="J827" s="12">
        <v>6283.3729999999996</v>
      </c>
      <c r="K827" s="12">
        <v>6283.3729999999996</v>
      </c>
      <c r="L827" s="13">
        <v>8895.2070000000003</v>
      </c>
      <c r="M827" s="12">
        <v>-455.98200000000003</v>
      </c>
      <c r="N827" s="12">
        <v>-455.98200000000003</v>
      </c>
      <c r="O827" s="12">
        <v>562.779</v>
      </c>
      <c r="P827" s="12">
        <v>15</v>
      </c>
      <c r="Q827" s="12">
        <v>15</v>
      </c>
      <c r="R827" s="12">
        <v>14</v>
      </c>
    </row>
    <row r="828" spans="1:18" ht="17" customHeight="1" x14ac:dyDescent="0.15">
      <c r="A828" s="8" t="s">
        <v>4409</v>
      </c>
      <c r="B828" s="9" t="s">
        <v>4410</v>
      </c>
      <c r="C828" s="8" t="s">
        <v>4411</v>
      </c>
      <c r="D828" s="8" t="s">
        <v>4411</v>
      </c>
      <c r="E828" s="8" t="s">
        <v>4412</v>
      </c>
      <c r="F828" s="8" t="s">
        <v>4381</v>
      </c>
      <c r="G828" s="8" t="s">
        <v>4296</v>
      </c>
      <c r="H828" s="8" t="s">
        <v>4270</v>
      </c>
      <c r="I828" s="8" t="str">
        <f>HYPERLINK("http://parkingo.audesworld.com/","parkingo.audesworld.com")</f>
        <v>parkingo.audesworld.com</v>
      </c>
      <c r="J828" s="10">
        <v>12916.24</v>
      </c>
      <c r="K828" s="10">
        <v>12916.24</v>
      </c>
      <c r="L828" s="10">
        <v>8866.9869999999992</v>
      </c>
      <c r="M828" s="10">
        <v>104.742</v>
      </c>
      <c r="N828" s="10">
        <v>104.742</v>
      </c>
      <c r="O828" s="10">
        <v>406.27600000000001</v>
      </c>
      <c r="P828" s="10">
        <v>32</v>
      </c>
      <c r="Q828" s="10">
        <v>32</v>
      </c>
      <c r="R828" s="10">
        <v>32</v>
      </c>
    </row>
    <row r="829" spans="1:18" ht="29.5" customHeight="1" x14ac:dyDescent="0.15">
      <c r="A829" s="11" t="s">
        <v>4413</v>
      </c>
      <c r="B829" s="1" t="s">
        <v>4414</v>
      </c>
      <c r="C829" s="11" t="s">
        <v>4415</v>
      </c>
      <c r="D829" s="11" t="s">
        <v>4415</v>
      </c>
      <c r="E829" s="11" t="s">
        <v>4416</v>
      </c>
      <c r="F829" s="11" t="s">
        <v>4366</v>
      </c>
      <c r="G829" s="11" t="s">
        <v>4329</v>
      </c>
      <c r="H829" s="11" t="s">
        <v>4270</v>
      </c>
      <c r="I829" s="11" t="str">
        <f>HYPERLINK("http://www.effetresrl.it/","www.effetresrl.it")</f>
        <v>www.effetresrl.it</v>
      </c>
      <c r="J829" s="12">
        <v>6499.5540000000001</v>
      </c>
      <c r="K829" s="12">
        <v>6499.5540000000001</v>
      </c>
      <c r="L829" s="13">
        <v>8863.7530000000006</v>
      </c>
      <c r="M829" s="12">
        <v>16.390999999999998</v>
      </c>
      <c r="N829" s="12">
        <v>16.390999999999998</v>
      </c>
      <c r="O829" s="12">
        <v>12.48</v>
      </c>
      <c r="P829" s="12">
        <v>17</v>
      </c>
      <c r="Q829" s="12">
        <v>17</v>
      </c>
      <c r="R829" s="12">
        <v>19</v>
      </c>
    </row>
    <row r="830" spans="1:18" ht="17" customHeight="1" x14ac:dyDescent="0.15">
      <c r="A830" s="8" t="s">
        <v>4417</v>
      </c>
      <c r="B830" s="9" t="s">
        <v>4418</v>
      </c>
      <c r="C830" s="8" t="s">
        <v>4419</v>
      </c>
      <c r="D830" s="8" t="s">
        <v>4419</v>
      </c>
      <c r="E830" s="8" t="s">
        <v>4420</v>
      </c>
      <c r="F830" s="8" t="s">
        <v>4372</v>
      </c>
      <c r="G830" s="8" t="s">
        <v>4323</v>
      </c>
      <c r="H830" s="8" t="s">
        <v>4324</v>
      </c>
      <c r="I830" s="8" t="str">
        <f>HYPERLINK("http://sacchettimaglierie.it/","sacchettimaglierie.it")</f>
        <v>sacchettimaglierie.it</v>
      </c>
      <c r="J830" s="10">
        <v>9691.1869999999999</v>
      </c>
      <c r="K830" s="10">
        <v>9691.1869999999999</v>
      </c>
      <c r="L830" s="10">
        <v>8830.8189999999995</v>
      </c>
      <c r="M830" s="10">
        <v>326.11500000000001</v>
      </c>
      <c r="N830" s="10">
        <v>326.11500000000001</v>
      </c>
      <c r="O830" s="10">
        <v>303.95699999999999</v>
      </c>
      <c r="P830" s="10">
        <v>32</v>
      </c>
      <c r="Q830" s="10">
        <v>32</v>
      </c>
      <c r="R830" s="10">
        <v>23</v>
      </c>
    </row>
    <row r="831" spans="1:18" ht="17" customHeight="1" x14ac:dyDescent="0.15">
      <c r="A831" s="11" t="s">
        <v>4421</v>
      </c>
      <c r="B831" s="1" t="s">
        <v>4422</v>
      </c>
      <c r="C831" s="11" t="s">
        <v>4423</v>
      </c>
      <c r="D831" s="11" t="s">
        <v>4423</v>
      </c>
      <c r="E831" s="11" t="s">
        <v>4424</v>
      </c>
      <c r="F831" s="11" t="s">
        <v>4295</v>
      </c>
      <c r="G831" s="11" t="s">
        <v>4341</v>
      </c>
      <c r="H831" s="11" t="s">
        <v>4290</v>
      </c>
      <c r="I831" s="11" t="str">
        <f>HYPERLINK("http://www.onlyleathersrl.com/","www.onlyleathersrl.com")</f>
        <v>www.onlyleathersrl.com</v>
      </c>
      <c r="J831" s="12">
        <v>8502.8209999999999</v>
      </c>
      <c r="K831" s="12">
        <v>8502.8209999999999</v>
      </c>
      <c r="L831" s="13">
        <v>8826.6849999999995</v>
      </c>
      <c r="M831" s="12">
        <v>-263.15600000000001</v>
      </c>
      <c r="N831" s="12">
        <v>-263.15600000000001</v>
      </c>
      <c r="O831" s="12">
        <v>535.65</v>
      </c>
      <c r="P831" s="12">
        <v>64</v>
      </c>
      <c r="Q831" s="12">
        <v>64</v>
      </c>
      <c r="R831" s="12">
        <v>23</v>
      </c>
    </row>
    <row r="832" spans="1:18" ht="17" customHeight="1" x14ac:dyDescent="0.15">
      <c r="A832" s="8" t="s">
        <v>4425</v>
      </c>
      <c r="B832" s="9" t="s">
        <v>4426</v>
      </c>
      <c r="C832" s="8" t="s">
        <v>4427</v>
      </c>
      <c r="D832" s="8" t="s">
        <v>4427</v>
      </c>
      <c r="E832" s="8" t="s">
        <v>4428</v>
      </c>
      <c r="F832" s="8" t="s">
        <v>4381</v>
      </c>
      <c r="G832" s="8" t="s">
        <v>4429</v>
      </c>
      <c r="H832" s="8" t="s">
        <v>4430</v>
      </c>
      <c r="I832" s="8" t="str">
        <f>HYPERLINK("http://www.scuderi.it/","http://www.scuderi.it")</f>
        <v>http://www.scuderi.it</v>
      </c>
      <c r="J832" s="10">
        <v>11051.721</v>
      </c>
      <c r="K832" s="10">
        <v>11051.721</v>
      </c>
      <c r="L832" s="10">
        <v>8824.8009999999995</v>
      </c>
      <c r="M832" s="10">
        <v>2155.259</v>
      </c>
      <c r="N832" s="10">
        <v>2155.259</v>
      </c>
      <c r="O832" s="10">
        <v>1050.51</v>
      </c>
      <c r="P832" s="10">
        <v>132</v>
      </c>
      <c r="Q832" s="10">
        <v>132</v>
      </c>
      <c r="R832" s="10">
        <v>116</v>
      </c>
    </row>
    <row r="833" spans="1:18" ht="17" customHeight="1" x14ac:dyDescent="0.15">
      <c r="A833" s="11" t="s">
        <v>4431</v>
      </c>
      <c r="B833" s="1" t="s">
        <v>4432</v>
      </c>
      <c r="C833" s="11" t="s">
        <v>4433</v>
      </c>
      <c r="D833" s="11" t="s">
        <v>4433</v>
      </c>
      <c r="E833" s="11" t="s">
        <v>4434</v>
      </c>
      <c r="F833" s="11" t="s">
        <v>4435</v>
      </c>
      <c r="G833" s="11" t="s">
        <v>4436</v>
      </c>
      <c r="H833" s="11" t="s">
        <v>4437</v>
      </c>
      <c r="I833" s="11" t="str">
        <f>HYPERLINK("http://www.jacopellami.it/","www.jacopellami.it")</f>
        <v>www.jacopellami.it</v>
      </c>
      <c r="J833" s="12">
        <v>8361.2250000000004</v>
      </c>
      <c r="K833" s="12">
        <v>8361.2250000000004</v>
      </c>
      <c r="L833" s="13">
        <v>8822.6110000000008</v>
      </c>
      <c r="M833" s="12">
        <v>114.18</v>
      </c>
      <c r="N833" s="12">
        <v>114.18</v>
      </c>
      <c r="O833" s="12">
        <v>36.988999999999997</v>
      </c>
      <c r="P833" s="12">
        <v>31</v>
      </c>
      <c r="Q833" s="12">
        <v>31</v>
      </c>
      <c r="R833" s="12">
        <v>32</v>
      </c>
    </row>
    <row r="834" spans="1:18" ht="17" customHeight="1" x14ac:dyDescent="0.15">
      <c r="A834" s="8" t="s">
        <v>4438</v>
      </c>
      <c r="B834" s="9" t="s">
        <v>4439</v>
      </c>
      <c r="C834" s="8" t="s">
        <v>4440</v>
      </c>
      <c r="D834" s="8" t="s">
        <v>4440</v>
      </c>
      <c r="E834" s="8" t="s">
        <v>4441</v>
      </c>
      <c r="F834" s="8" t="s">
        <v>4442</v>
      </c>
      <c r="G834" s="8" t="s">
        <v>4443</v>
      </c>
      <c r="H834" s="8" t="s">
        <v>4444</v>
      </c>
      <c r="I834" s="8" t="str">
        <f>HYPERLINK("http://www.gtcalze.com/","www.gtcalze.com")</f>
        <v>www.gtcalze.com</v>
      </c>
      <c r="J834" s="10">
        <v>9011.2479999999996</v>
      </c>
      <c r="K834" s="10">
        <v>9011.2479999999996</v>
      </c>
      <c r="L834" s="10">
        <v>8820.2260000000006</v>
      </c>
      <c r="M834" s="10">
        <v>321.31799999999998</v>
      </c>
      <c r="N834" s="10">
        <v>321.31799999999998</v>
      </c>
      <c r="O834" s="10">
        <v>459.62599999999998</v>
      </c>
      <c r="P834" s="10">
        <v>31</v>
      </c>
      <c r="Q834" s="10">
        <v>31</v>
      </c>
      <c r="R834" s="10">
        <v>28</v>
      </c>
    </row>
    <row r="835" spans="1:18" ht="29.5" customHeight="1" x14ac:dyDescent="0.15">
      <c r="A835" s="11" t="s">
        <v>4445</v>
      </c>
      <c r="B835" s="1" t="s">
        <v>4446</v>
      </c>
      <c r="C835" s="11" t="s">
        <v>4447</v>
      </c>
      <c r="D835" s="11" t="s">
        <v>4447</v>
      </c>
      <c r="E835" s="11" t="s">
        <v>4448</v>
      </c>
      <c r="F835" s="11" t="s">
        <v>4449</v>
      </c>
      <c r="G835" s="11" t="s">
        <v>4450</v>
      </c>
      <c r="H835" s="11" t="s">
        <v>4451</v>
      </c>
      <c r="I835" s="11" t="str">
        <f>HYPERLINK("http://www.myinfinity.it/","www.myinfinity.it")</f>
        <v>www.myinfinity.it</v>
      </c>
      <c r="J835" s="12">
        <v>9423.0319999999992</v>
      </c>
      <c r="K835" s="12">
        <v>9423.0319999999992</v>
      </c>
      <c r="L835" s="13">
        <v>8804.2080000000005</v>
      </c>
      <c r="M835" s="12">
        <v>32.616</v>
      </c>
      <c r="N835" s="12">
        <v>32.616</v>
      </c>
      <c r="O835" s="12">
        <v>138.96199999999999</v>
      </c>
      <c r="P835" s="12">
        <v>17</v>
      </c>
      <c r="Q835" s="12">
        <v>17</v>
      </c>
      <c r="R835" s="12">
        <v>14</v>
      </c>
    </row>
    <row r="836" spans="1:18" ht="17" customHeight="1" x14ac:dyDescent="0.15">
      <c r="A836" s="8" t="s">
        <v>4452</v>
      </c>
      <c r="B836" s="9" t="s">
        <v>4453</v>
      </c>
      <c r="C836" s="8" t="s">
        <v>4454</v>
      </c>
      <c r="D836" s="8" t="s">
        <v>4454</v>
      </c>
      <c r="E836" s="8" t="s">
        <v>4455</v>
      </c>
      <c r="F836" s="8" t="s">
        <v>4456</v>
      </c>
      <c r="G836" s="8" t="s">
        <v>4457</v>
      </c>
      <c r="H836" s="8" t="s">
        <v>4437</v>
      </c>
      <c r="I836" s="8" t="str">
        <f>HYPERLINK("http://www.podartis.it/","www.podartis.it")</f>
        <v>www.podartis.it</v>
      </c>
      <c r="J836" s="10">
        <v>9707.0949999999993</v>
      </c>
      <c r="K836" s="10">
        <v>9707.0949999999993</v>
      </c>
      <c r="L836" s="10">
        <v>8763.3950000000004</v>
      </c>
      <c r="M836" s="10">
        <v>220.41499999999999</v>
      </c>
      <c r="N836" s="10">
        <v>220.41499999999999</v>
      </c>
      <c r="O836" s="10">
        <v>181.22200000000001</v>
      </c>
      <c r="P836" s="10">
        <v>27</v>
      </c>
      <c r="Q836" s="10">
        <v>27</v>
      </c>
      <c r="R836" s="10">
        <v>26</v>
      </c>
    </row>
    <row r="837" spans="1:18" ht="17" customHeight="1" x14ac:dyDescent="0.15">
      <c r="A837" s="11" t="s">
        <v>4458</v>
      </c>
      <c r="B837" s="1" t="s">
        <v>4459</v>
      </c>
      <c r="C837" s="11" t="s">
        <v>4460</v>
      </c>
      <c r="D837" s="11" t="s">
        <v>4460</v>
      </c>
      <c r="E837" s="11" t="s">
        <v>4461</v>
      </c>
      <c r="F837" s="11" t="s">
        <v>4462</v>
      </c>
      <c r="G837" s="11" t="s">
        <v>4463</v>
      </c>
      <c r="H837" s="11" t="s">
        <v>4451</v>
      </c>
      <c r="I837" s="11" t="str">
        <f>HYPERLINK("http://www.gruppofrangipani.it/","http://www.gruppofrangipani.it")</f>
        <v>http://www.gruppofrangipani.it</v>
      </c>
      <c r="J837" s="12">
        <v>7654.6279999999997</v>
      </c>
      <c r="K837" s="12">
        <v>7654.6279999999997</v>
      </c>
      <c r="L837" s="13">
        <v>8751.1759999999995</v>
      </c>
      <c r="M837" s="12">
        <v>-3290.741</v>
      </c>
      <c r="N837" s="12">
        <v>-3290.741</v>
      </c>
      <c r="O837" s="12">
        <v>276.39100000000002</v>
      </c>
      <c r="P837" s="12">
        <v>34</v>
      </c>
      <c r="Q837" s="12">
        <v>34</v>
      </c>
      <c r="R837" s="12">
        <v>36</v>
      </c>
    </row>
    <row r="838" spans="1:18" ht="17" customHeight="1" x14ac:dyDescent="0.15">
      <c r="A838" s="8" t="s">
        <v>4464</v>
      </c>
      <c r="B838" s="9" t="s">
        <v>4465</v>
      </c>
      <c r="C838" s="8" t="s">
        <v>4466</v>
      </c>
      <c r="D838" s="8" t="s">
        <v>4466</v>
      </c>
      <c r="E838" s="8" t="s">
        <v>4467</v>
      </c>
      <c r="F838" s="8" t="s">
        <v>4435</v>
      </c>
      <c r="G838" s="8" t="s">
        <v>4468</v>
      </c>
      <c r="H838" s="8" t="s">
        <v>4437</v>
      </c>
      <c r="I838" s="8" t="str">
        <f>HYPERLINK("http://www.nopeleather.it/","www.nopeleather.it")</f>
        <v>www.nopeleather.it</v>
      </c>
      <c r="J838" s="10">
        <v>6615.7979999999998</v>
      </c>
      <c r="K838" s="10">
        <v>6615.7979999999998</v>
      </c>
      <c r="L838" s="10">
        <v>8726.5560000000005</v>
      </c>
      <c r="M838" s="10">
        <v>-223.38200000000001</v>
      </c>
      <c r="N838" s="10">
        <v>-223.38200000000001</v>
      </c>
      <c r="O838" s="10">
        <v>26.984999999999999</v>
      </c>
      <c r="P838" s="10">
        <v>14</v>
      </c>
      <c r="Q838" s="10">
        <v>14</v>
      </c>
      <c r="R838" s="10">
        <v>14</v>
      </c>
    </row>
    <row r="839" spans="1:18" ht="17" customHeight="1" x14ac:dyDescent="0.15">
      <c r="A839" s="11" t="s">
        <v>4469</v>
      </c>
      <c r="B839" s="1" t="s">
        <v>4470</v>
      </c>
      <c r="C839" s="11" t="s">
        <v>4471</v>
      </c>
      <c r="D839" s="11" t="s">
        <v>4471</v>
      </c>
      <c r="E839" s="11" t="s">
        <v>4472</v>
      </c>
      <c r="F839" s="11" t="s">
        <v>4462</v>
      </c>
      <c r="G839" s="11" t="s">
        <v>4473</v>
      </c>
      <c r="H839" s="11" t="s">
        <v>4444</v>
      </c>
      <c r="I839" s="11" t="str">
        <f>HYPERLINK("http://www.mapelcomponents.com/","www.mapelcomponents.com")</f>
        <v>www.mapelcomponents.com</v>
      </c>
      <c r="J839" s="12">
        <v>8881.1190000000006</v>
      </c>
      <c r="K839" s="12">
        <v>8881.1190000000006</v>
      </c>
      <c r="L839" s="13">
        <v>8716.43</v>
      </c>
      <c r="M839" s="12">
        <v>2397.491</v>
      </c>
      <c r="N839" s="12">
        <v>2397.491</v>
      </c>
      <c r="O839" s="12">
        <v>2436.3389999999999</v>
      </c>
      <c r="P839" s="12">
        <v>38</v>
      </c>
      <c r="Q839" s="12">
        <v>38</v>
      </c>
      <c r="R839" s="12">
        <v>39</v>
      </c>
    </row>
    <row r="840" spans="1:18" ht="29.5" customHeight="1" x14ac:dyDescent="0.15">
      <c r="A840" s="8" t="s">
        <v>4474</v>
      </c>
      <c r="B840" s="9" t="s">
        <v>4475</v>
      </c>
      <c r="C840" s="8" t="s">
        <v>4476</v>
      </c>
      <c r="D840" s="8" t="s">
        <v>4476</v>
      </c>
      <c r="E840" s="8" t="s">
        <v>4477</v>
      </c>
      <c r="F840" s="8" t="s">
        <v>4478</v>
      </c>
      <c r="G840" s="8" t="s">
        <v>4479</v>
      </c>
      <c r="H840" s="8" t="s">
        <v>4437</v>
      </c>
      <c r="I840" s="8" t="str">
        <f>HYPERLINK("http://cpa-wf.com/","cpa-wf.com")</f>
        <v>cpa-wf.com</v>
      </c>
      <c r="J840" s="10">
        <v>10255.929</v>
      </c>
      <c r="K840" s="10">
        <v>10255.929</v>
      </c>
      <c r="L840" s="10">
        <v>8710.9789999999994</v>
      </c>
      <c r="M840" s="10">
        <v>534.67600000000004</v>
      </c>
      <c r="N840" s="10">
        <v>534.67600000000004</v>
      </c>
      <c r="O840" s="10">
        <v>511.73599999999999</v>
      </c>
      <c r="P840" s="10">
        <v>29</v>
      </c>
      <c r="Q840" s="10">
        <v>29</v>
      </c>
      <c r="R840" s="10">
        <v>31</v>
      </c>
    </row>
    <row r="841" spans="1:18" ht="17" customHeight="1" x14ac:dyDescent="0.15">
      <c r="A841" s="11" t="s">
        <v>4480</v>
      </c>
      <c r="B841" s="1" t="s">
        <v>4481</v>
      </c>
      <c r="C841" s="11" t="s">
        <v>4482</v>
      </c>
      <c r="D841" s="11" t="s">
        <v>4482</v>
      </c>
      <c r="E841" s="11" t="s">
        <v>4483</v>
      </c>
      <c r="F841" s="11" t="s">
        <v>4435</v>
      </c>
      <c r="G841" s="11" t="s">
        <v>4468</v>
      </c>
      <c r="H841" s="11" t="s">
        <v>4437</v>
      </c>
      <c r="I841" s="11" t="str">
        <f>HYPERLINK("http://www.conceriamarcopolo.com/","www.conceriamarcopolo.com")</f>
        <v>www.conceriamarcopolo.com</v>
      </c>
      <c r="J841" s="12">
        <v>9738.8359999999993</v>
      </c>
      <c r="K841" s="12">
        <v>9738.8359999999993</v>
      </c>
      <c r="L841" s="13">
        <v>8700.7649999999994</v>
      </c>
      <c r="M841" s="12">
        <v>45.79</v>
      </c>
      <c r="N841" s="12">
        <v>45.79</v>
      </c>
      <c r="O841" s="12">
        <v>91.989000000000004</v>
      </c>
      <c r="P841" s="12">
        <v>47</v>
      </c>
      <c r="Q841" s="12">
        <v>47</v>
      </c>
      <c r="R841" s="12">
        <v>47</v>
      </c>
    </row>
    <row r="842" spans="1:18" ht="17" customHeight="1" x14ac:dyDescent="0.15">
      <c r="A842" s="8" t="s">
        <v>4484</v>
      </c>
      <c r="B842" s="9" t="s">
        <v>4485</v>
      </c>
      <c r="C842" s="8" t="s">
        <v>4486</v>
      </c>
      <c r="D842" s="8" t="s">
        <v>4486</v>
      </c>
      <c r="E842" s="8" t="s">
        <v>4487</v>
      </c>
      <c r="F842" s="8" t="s">
        <v>4449</v>
      </c>
      <c r="G842" s="8" t="s">
        <v>4488</v>
      </c>
      <c r="H842" s="8" t="s">
        <v>4489</v>
      </c>
      <c r="I842" s="8" t="str">
        <f>HYPERLINK("http://www.famarabbigliamento.it/","http://www.famarabbigliamento.it")</f>
        <v>http://www.famarabbigliamento.it</v>
      </c>
      <c r="J842" s="10">
        <v>8848.5759999999991</v>
      </c>
      <c r="K842" s="10">
        <v>8848.5759999999991</v>
      </c>
      <c r="L842" s="10">
        <v>8698.8799999999992</v>
      </c>
      <c r="M842" s="10">
        <v>723.15899999999999</v>
      </c>
      <c r="N842" s="10">
        <v>723.15899999999999</v>
      </c>
      <c r="O842" s="10">
        <v>978.76099999999997</v>
      </c>
      <c r="P842" s="10">
        <v>87</v>
      </c>
      <c r="Q842" s="10">
        <v>87</v>
      </c>
      <c r="R842" s="10">
        <v>80</v>
      </c>
    </row>
    <row r="843" spans="1:18" ht="17" customHeight="1" x14ac:dyDescent="0.15">
      <c r="A843" s="11" t="s">
        <v>4490</v>
      </c>
      <c r="B843" s="1" t="s">
        <v>4491</v>
      </c>
      <c r="C843" s="11" t="s">
        <v>4492</v>
      </c>
      <c r="D843" s="11" t="s">
        <v>4493</v>
      </c>
      <c r="E843" s="11" t="s">
        <v>4494</v>
      </c>
      <c r="F843" s="11" t="s">
        <v>4495</v>
      </c>
      <c r="G843" s="11" t="s">
        <v>4473</v>
      </c>
      <c r="H843" s="11" t="s">
        <v>4444</v>
      </c>
      <c r="I843" s="11" t="str">
        <f>HYPERLINK("http://www.solettificiobiafer.it/","www.solettificiobiafer.it")</f>
        <v>www.solettificiobiafer.it</v>
      </c>
      <c r="J843" s="12">
        <v>7317.3959999999997</v>
      </c>
      <c r="K843" s="12">
        <v>7317.3959999999997</v>
      </c>
      <c r="L843" s="13">
        <v>8698.0499999999993</v>
      </c>
      <c r="M843" s="12">
        <v>19.541</v>
      </c>
      <c r="N843" s="12">
        <v>19.541</v>
      </c>
      <c r="O843" s="12">
        <v>387.714</v>
      </c>
      <c r="P843" s="12">
        <v>43</v>
      </c>
      <c r="Q843" s="12">
        <v>43</v>
      </c>
      <c r="R843" s="12">
        <v>40</v>
      </c>
    </row>
    <row r="844" spans="1:18" ht="17" customHeight="1" x14ac:dyDescent="0.15">
      <c r="A844" s="8" t="s">
        <v>4496</v>
      </c>
      <c r="B844" s="9" t="s">
        <v>4497</v>
      </c>
      <c r="C844" s="8" t="s">
        <v>4498</v>
      </c>
      <c r="D844" s="8" t="s">
        <v>4498</v>
      </c>
      <c r="E844" s="8" t="s">
        <v>4499</v>
      </c>
      <c r="F844" s="8" t="s">
        <v>4500</v>
      </c>
      <c r="G844" s="8" t="s">
        <v>4501</v>
      </c>
      <c r="H844" s="8" t="s">
        <v>4502</v>
      </c>
      <c r="I844" s="8" t="str">
        <f>HYPERLINK("http://novellaconfezioni.it/","novellaconfezioni.it")</f>
        <v>novellaconfezioni.it</v>
      </c>
      <c r="J844" s="10">
        <v>9597.9320000000007</v>
      </c>
      <c r="K844" s="10">
        <v>9597.9320000000007</v>
      </c>
      <c r="L844" s="10">
        <v>8697.9259999999995</v>
      </c>
      <c r="M844" s="10">
        <v>319.83</v>
      </c>
      <c r="N844" s="10">
        <v>319.83</v>
      </c>
      <c r="O844" s="10">
        <v>282.39100000000002</v>
      </c>
      <c r="P844" s="10">
        <v>52</v>
      </c>
      <c r="Q844" s="10">
        <v>52</v>
      </c>
      <c r="R844" s="10">
        <v>52</v>
      </c>
    </row>
    <row r="845" spans="1:18" ht="17" customHeight="1" x14ac:dyDescent="0.15">
      <c r="A845" s="11" t="s">
        <v>4503</v>
      </c>
      <c r="B845" s="1" t="s">
        <v>4504</v>
      </c>
      <c r="C845" s="11" t="s">
        <v>4505</v>
      </c>
      <c r="D845" s="11" t="s">
        <v>4505</v>
      </c>
      <c r="E845" s="11" t="s">
        <v>4506</v>
      </c>
      <c r="F845" s="11" t="s">
        <v>4449</v>
      </c>
      <c r="G845" s="11" t="s">
        <v>4473</v>
      </c>
      <c r="H845" s="11" t="s">
        <v>4444</v>
      </c>
      <c r="I845" s="11" t="str">
        <f>HYPERLINK("http://www.larosa.tv/","http://www.larosa.tv")</f>
        <v>http://www.larosa.tv</v>
      </c>
      <c r="J845" s="12">
        <v>9839.4940000000006</v>
      </c>
      <c r="K845" s="12">
        <v>9839.4940000000006</v>
      </c>
      <c r="L845" s="13">
        <v>8673.1730000000007</v>
      </c>
      <c r="M845" s="12">
        <v>23.347000000000001</v>
      </c>
      <c r="N845" s="12">
        <v>23.347000000000001</v>
      </c>
      <c r="O845" s="12">
        <v>31.821000000000002</v>
      </c>
      <c r="P845" s="12">
        <v>13</v>
      </c>
      <c r="Q845" s="12">
        <v>13</v>
      </c>
      <c r="R845" s="12">
        <v>15</v>
      </c>
    </row>
    <row r="846" spans="1:18" ht="17" customHeight="1" x14ac:dyDescent="0.15">
      <c r="A846" s="8" t="s">
        <v>4507</v>
      </c>
      <c r="B846" s="9" t="s">
        <v>4508</v>
      </c>
      <c r="C846" s="8" t="s">
        <v>4509</v>
      </c>
      <c r="D846" s="8" t="s">
        <v>4509</v>
      </c>
      <c r="E846" s="8" t="s">
        <v>4510</v>
      </c>
      <c r="F846" s="8" t="s">
        <v>4456</v>
      </c>
      <c r="G846" s="8" t="s">
        <v>4511</v>
      </c>
      <c r="H846" s="8" t="s">
        <v>4451</v>
      </c>
      <c r="I846" s="8" t="str">
        <f>HYPERLINK("http://www.suolificiogfg.it/","www.suolificiogfg.it")</f>
        <v>www.suolificiogfg.it</v>
      </c>
      <c r="J846" s="10">
        <v>6425.6679999999997</v>
      </c>
      <c r="K846" s="10">
        <v>6425.6679999999997</v>
      </c>
      <c r="L846" s="10">
        <v>8635.7170000000006</v>
      </c>
      <c r="M846" s="10">
        <v>315.601</v>
      </c>
      <c r="N846" s="10">
        <v>315.601</v>
      </c>
      <c r="O846" s="10">
        <v>348.82</v>
      </c>
      <c r="P846" s="10">
        <v>83</v>
      </c>
      <c r="Q846" s="10">
        <v>83</v>
      </c>
      <c r="R846" s="10">
        <v>94</v>
      </c>
    </row>
    <row r="847" spans="1:18" ht="17" customHeight="1" x14ac:dyDescent="0.15">
      <c r="A847" s="11" t="s">
        <v>4512</v>
      </c>
      <c r="B847" s="1" t="s">
        <v>4513</v>
      </c>
      <c r="C847" s="11" t="s">
        <v>4514</v>
      </c>
      <c r="D847" s="11" t="s">
        <v>4514</v>
      </c>
      <c r="E847" s="11" t="s">
        <v>4515</v>
      </c>
      <c r="F847" s="11" t="s">
        <v>4516</v>
      </c>
      <c r="G847" s="11" t="s">
        <v>4457</v>
      </c>
      <c r="H847" s="11" t="s">
        <v>4437</v>
      </c>
      <c r="I847" s="11" t="str">
        <f>HYPERLINK("http://www.giessegi.com/","www.giessegi.com")</f>
        <v>www.giessegi.com</v>
      </c>
      <c r="J847" s="12">
        <v>6883.7120000000004</v>
      </c>
      <c r="K847" s="12">
        <v>6883.7120000000004</v>
      </c>
      <c r="L847" s="13">
        <v>8627.6080000000002</v>
      </c>
      <c r="M847" s="12">
        <v>-299.34800000000001</v>
      </c>
      <c r="N847" s="12">
        <v>-299.34800000000001</v>
      </c>
      <c r="O847" s="12">
        <v>-94.099000000000004</v>
      </c>
      <c r="P847" s="12">
        <v>60</v>
      </c>
      <c r="Q847" s="12">
        <v>60</v>
      </c>
      <c r="R847" s="12">
        <v>69</v>
      </c>
    </row>
    <row r="848" spans="1:18" ht="29.5" customHeight="1" x14ac:dyDescent="0.15">
      <c r="A848" s="8" t="s">
        <v>4517</v>
      </c>
      <c r="B848" s="9" t="s">
        <v>4518</v>
      </c>
      <c r="C848" s="8" t="s">
        <v>4519</v>
      </c>
      <c r="D848" s="8" t="s">
        <v>4519</v>
      </c>
      <c r="E848" s="8" t="s">
        <v>4520</v>
      </c>
      <c r="F848" s="8" t="s">
        <v>4449</v>
      </c>
      <c r="G848" s="8" t="s">
        <v>4468</v>
      </c>
      <c r="H848" s="8" t="s">
        <v>4437</v>
      </c>
      <c r="I848" s="8" t="str">
        <f>HYPERLINK("http://www.maglificiocarollo.it/","www.maglificiocarollo.it")</f>
        <v>www.maglificiocarollo.it</v>
      </c>
      <c r="J848" s="10">
        <v>7617.277</v>
      </c>
      <c r="K848" s="10">
        <v>7617.277</v>
      </c>
      <c r="L848" s="10">
        <v>8608.1830000000009</v>
      </c>
      <c r="M848" s="10">
        <v>1300.8689999999999</v>
      </c>
      <c r="N848" s="10">
        <v>1300.8689999999999</v>
      </c>
      <c r="O848" s="10">
        <v>2787.0160000000001</v>
      </c>
      <c r="P848" s="15" t="s">
        <v>4521</v>
      </c>
      <c r="Q848" s="15" t="s">
        <v>4521</v>
      </c>
      <c r="R848" s="10">
        <v>18</v>
      </c>
    </row>
    <row r="849" spans="1:18" ht="29.5" customHeight="1" x14ac:dyDescent="0.15">
      <c r="A849" s="11" t="s">
        <v>4522</v>
      </c>
      <c r="B849" s="1" t="s">
        <v>4523</v>
      </c>
      <c r="C849" s="11" t="s">
        <v>4524</v>
      </c>
      <c r="D849" s="11" t="s">
        <v>4524</v>
      </c>
      <c r="E849" s="11" t="s">
        <v>4525</v>
      </c>
      <c r="F849" s="11" t="s">
        <v>4500</v>
      </c>
      <c r="G849" s="11" t="s">
        <v>4526</v>
      </c>
      <c r="H849" s="11" t="s">
        <v>4451</v>
      </c>
      <c r="I849" s="11" t="str">
        <f>HYPERLINK("http://www.noba1950.com/","www.noba1950.com")</f>
        <v>www.noba1950.com</v>
      </c>
      <c r="J849" s="12">
        <v>13318.508</v>
      </c>
      <c r="K849" s="12">
        <v>13318.508</v>
      </c>
      <c r="L849" s="13">
        <v>8603.0149999999994</v>
      </c>
      <c r="M849" s="12">
        <v>560.58600000000001</v>
      </c>
      <c r="N849" s="12">
        <v>560.58600000000001</v>
      </c>
      <c r="O849" s="12">
        <v>112.27500000000001</v>
      </c>
      <c r="P849" s="12">
        <v>21</v>
      </c>
      <c r="Q849" s="12">
        <v>21</v>
      </c>
      <c r="R849" s="12">
        <v>20</v>
      </c>
    </row>
    <row r="850" spans="1:18" ht="17" customHeight="1" x14ac:dyDescent="0.15">
      <c r="A850" s="8" t="s">
        <v>4527</v>
      </c>
      <c r="B850" s="9" t="s">
        <v>4528</v>
      </c>
      <c r="C850" s="8" t="s">
        <v>4529</v>
      </c>
      <c r="D850" s="8" t="s">
        <v>4529</v>
      </c>
      <c r="E850" s="8" t="s">
        <v>4530</v>
      </c>
      <c r="F850" s="8" t="s">
        <v>4449</v>
      </c>
      <c r="G850" s="8" t="s">
        <v>4531</v>
      </c>
      <c r="H850" s="8" t="s">
        <v>4451</v>
      </c>
      <c r="I850" s="8" t="str">
        <f>HYPERLINK("http://www.visconf.com/","www.visconf.com")</f>
        <v>www.visconf.com</v>
      </c>
      <c r="J850" s="10">
        <v>8809.098</v>
      </c>
      <c r="K850" s="10">
        <v>8809.098</v>
      </c>
      <c r="L850" s="10">
        <v>8597.1200000000008</v>
      </c>
      <c r="M850" s="10">
        <v>191.285</v>
      </c>
      <c r="N850" s="10">
        <v>191.285</v>
      </c>
      <c r="O850" s="10">
        <v>8.2189999999999994</v>
      </c>
      <c r="P850" s="10">
        <v>28</v>
      </c>
      <c r="Q850" s="10">
        <v>28</v>
      </c>
      <c r="R850" s="10">
        <v>27</v>
      </c>
    </row>
    <row r="851" spans="1:18" ht="17" customHeight="1" x14ac:dyDescent="0.15">
      <c r="A851" s="11" t="s">
        <v>4532</v>
      </c>
      <c r="B851" s="1" t="s">
        <v>4533</v>
      </c>
      <c r="C851" s="11" t="s">
        <v>4534</v>
      </c>
      <c r="D851" s="11" t="s">
        <v>4534</v>
      </c>
      <c r="E851" s="11" t="s">
        <v>4535</v>
      </c>
      <c r="F851" s="11" t="s">
        <v>4435</v>
      </c>
      <c r="G851" s="11" t="s">
        <v>4531</v>
      </c>
      <c r="H851" s="11" t="s">
        <v>4451</v>
      </c>
      <c r="I851" s="11" t="str">
        <f>HYPERLINK("http://www.coripel.it/","www.coripel.it")</f>
        <v>www.coripel.it</v>
      </c>
      <c r="J851" s="12">
        <v>9153.6790000000001</v>
      </c>
      <c r="K851" s="12">
        <v>9153.6790000000001</v>
      </c>
      <c r="L851" s="13">
        <v>8589.4279999999999</v>
      </c>
      <c r="M851" s="12">
        <v>161.453</v>
      </c>
      <c r="N851" s="12">
        <v>161.453</v>
      </c>
      <c r="O851" s="12">
        <v>43.378999999999998</v>
      </c>
      <c r="P851" s="12">
        <v>18</v>
      </c>
      <c r="Q851" s="12">
        <v>18</v>
      </c>
      <c r="R851" s="12">
        <v>14</v>
      </c>
    </row>
    <row r="852" spans="1:18" ht="17" customHeight="1" x14ac:dyDescent="0.15">
      <c r="A852" s="8" t="s">
        <v>4536</v>
      </c>
      <c r="B852" s="9" t="s">
        <v>4537</v>
      </c>
      <c r="C852" s="8" t="s">
        <v>4538</v>
      </c>
      <c r="D852" s="8" t="s">
        <v>4538</v>
      </c>
      <c r="E852" s="8" t="s">
        <v>4539</v>
      </c>
      <c r="F852" s="8" t="s">
        <v>4516</v>
      </c>
      <c r="G852" s="8" t="s">
        <v>4540</v>
      </c>
      <c r="H852" s="8" t="s">
        <v>4444</v>
      </c>
      <c r="I852" s="8" t="str">
        <f>HYPERLINK("http://wz-international.com/","wz-international.com")</f>
        <v>wz-international.com</v>
      </c>
      <c r="J852" s="10">
        <v>6937.1959999999999</v>
      </c>
      <c r="K852" s="10">
        <v>6937.1959999999999</v>
      </c>
      <c r="L852" s="10">
        <v>8564.9210000000003</v>
      </c>
      <c r="M852" s="10">
        <v>150.66200000000001</v>
      </c>
      <c r="N852" s="10">
        <v>150.66200000000001</v>
      </c>
      <c r="O852" s="10">
        <v>107.342</v>
      </c>
      <c r="P852" s="10">
        <v>12</v>
      </c>
      <c r="Q852" s="10">
        <v>12</v>
      </c>
      <c r="R852" s="10">
        <v>14</v>
      </c>
    </row>
    <row r="853" spans="1:18" ht="17" customHeight="1" x14ac:dyDescent="0.15">
      <c r="A853" s="11" t="s">
        <v>4541</v>
      </c>
      <c r="B853" s="1" t="s">
        <v>4542</v>
      </c>
      <c r="C853" s="11" t="s">
        <v>4543</v>
      </c>
      <c r="D853" s="11" t="s">
        <v>4543</v>
      </c>
      <c r="E853" s="11" t="s">
        <v>4544</v>
      </c>
      <c r="F853" s="11" t="s">
        <v>4435</v>
      </c>
      <c r="G853" s="11" t="s">
        <v>4511</v>
      </c>
      <c r="H853" s="11" t="s">
        <v>4451</v>
      </c>
      <c r="I853" s="11" t="str">
        <f>HYPERLINK("http://artigiano.it/","artigiano.it")</f>
        <v>artigiano.it</v>
      </c>
      <c r="J853" s="12">
        <v>9522.5920000000006</v>
      </c>
      <c r="K853" s="12">
        <v>9522.5920000000006</v>
      </c>
      <c r="L853" s="13">
        <v>8544.0990000000002</v>
      </c>
      <c r="M853" s="12">
        <v>684.19299999999998</v>
      </c>
      <c r="N853" s="12">
        <v>684.19299999999998</v>
      </c>
      <c r="O853" s="12">
        <v>205.46100000000001</v>
      </c>
      <c r="P853" s="12">
        <v>11</v>
      </c>
      <c r="Q853" s="12">
        <v>11</v>
      </c>
      <c r="R853" s="12">
        <v>12</v>
      </c>
    </row>
    <row r="854" spans="1:18" ht="17" customHeight="1" x14ac:dyDescent="0.15">
      <c r="A854" s="8" t="s">
        <v>4545</v>
      </c>
      <c r="B854" s="9" t="s">
        <v>4546</v>
      </c>
      <c r="C854" s="8" t="s">
        <v>4547</v>
      </c>
      <c r="D854" s="8" t="s">
        <v>4547</v>
      </c>
      <c r="E854" s="8" t="s">
        <v>4548</v>
      </c>
      <c r="F854" s="8" t="s">
        <v>4500</v>
      </c>
      <c r="G854" s="8" t="s">
        <v>4549</v>
      </c>
      <c r="H854" s="8" t="s">
        <v>4550</v>
      </c>
      <c r="I854" s="8" t="str">
        <f>HYPERLINK("http://www.styleupsrl.com/","www.styleupsrl.com")</f>
        <v>www.styleupsrl.com</v>
      </c>
      <c r="J854" s="10">
        <v>9451.7800000000007</v>
      </c>
      <c r="K854" s="10">
        <v>8441.5609999999997</v>
      </c>
      <c r="L854" s="10">
        <v>8541.5740000000005</v>
      </c>
      <c r="M854" s="10">
        <v>912.02800000000002</v>
      </c>
      <c r="N854" s="10">
        <v>375.79500000000002</v>
      </c>
      <c r="O854" s="10">
        <v>1912.095</v>
      </c>
      <c r="P854" s="10">
        <v>37</v>
      </c>
      <c r="Q854" s="10">
        <v>31</v>
      </c>
      <c r="R854" s="10">
        <v>26</v>
      </c>
    </row>
    <row r="855" spans="1:18" ht="29.5" customHeight="1" x14ac:dyDescent="0.15">
      <c r="A855" s="11" t="s">
        <v>4551</v>
      </c>
      <c r="B855" s="1" t="s">
        <v>4552</v>
      </c>
      <c r="C855" s="11" t="s">
        <v>4553</v>
      </c>
      <c r="D855" s="11" t="s">
        <v>4553</v>
      </c>
      <c r="E855" s="11" t="s">
        <v>4554</v>
      </c>
      <c r="F855" s="11" t="s">
        <v>4456</v>
      </c>
      <c r="G855" s="11" t="s">
        <v>4555</v>
      </c>
      <c r="H855" s="11" t="s">
        <v>4550</v>
      </c>
      <c r="I855" s="11" t="str">
        <f>HYPERLINK("http://www.fabiani.com/","http://www.fabiani.com")</f>
        <v>http://www.fabiani.com</v>
      </c>
      <c r="J855" s="12">
        <v>10536.161</v>
      </c>
      <c r="K855" s="12">
        <v>10536.161</v>
      </c>
      <c r="L855" s="13">
        <v>8527.3970000000008</v>
      </c>
      <c r="M855" s="12">
        <v>100.291</v>
      </c>
      <c r="N855" s="12">
        <v>100.291</v>
      </c>
      <c r="O855" s="12">
        <v>-1090.3989999999999</v>
      </c>
      <c r="P855" s="12">
        <v>99</v>
      </c>
      <c r="Q855" s="12">
        <v>99</v>
      </c>
      <c r="R855" s="12">
        <v>104</v>
      </c>
    </row>
    <row r="856" spans="1:18" ht="68" customHeight="1" x14ac:dyDescent="0.15">
      <c r="A856" s="8" t="s">
        <v>4556</v>
      </c>
      <c r="B856" s="9" t="s">
        <v>4557</v>
      </c>
      <c r="C856" s="8" t="s">
        <v>4558</v>
      </c>
      <c r="D856" s="8" t="s">
        <v>4558</v>
      </c>
      <c r="E856" s="8" t="s">
        <v>4559</v>
      </c>
      <c r="F856" s="8" t="s">
        <v>4435</v>
      </c>
      <c r="G856" s="8" t="s">
        <v>4560</v>
      </c>
      <c r="H856" s="8" t="s">
        <v>4444</v>
      </c>
      <c r="I856" s="8" t="str">
        <f>HYPERLINK("http://www.conceriavignola.it/","www.conceriavignola.it")</f>
        <v>www.conceriavignola.it</v>
      </c>
      <c r="J856" s="10">
        <v>8520.1380000000008</v>
      </c>
      <c r="K856" s="15" t="s">
        <v>4521</v>
      </c>
      <c r="L856" s="10">
        <v>8520.1380000000008</v>
      </c>
      <c r="M856" s="10">
        <v>447.02499999999998</v>
      </c>
      <c r="N856" s="15" t="s">
        <v>4521</v>
      </c>
      <c r="O856" s="10">
        <v>447.02499999999998</v>
      </c>
      <c r="P856" s="10">
        <v>24</v>
      </c>
      <c r="Q856" s="15" t="s">
        <v>4521</v>
      </c>
      <c r="R856" s="10">
        <v>24</v>
      </c>
    </row>
    <row r="857" spans="1:18" ht="17" customHeight="1" x14ac:dyDescent="0.15">
      <c r="A857" s="11" t="s">
        <v>4561</v>
      </c>
      <c r="B857" s="1" t="s">
        <v>4562</v>
      </c>
      <c r="C857" s="11" t="s">
        <v>4563</v>
      </c>
      <c r="D857" s="11" t="s">
        <v>4563</v>
      </c>
      <c r="E857" s="11" t="s">
        <v>4564</v>
      </c>
      <c r="F857" s="11" t="s">
        <v>4565</v>
      </c>
      <c r="G857" s="11" t="s">
        <v>4566</v>
      </c>
      <c r="H857" s="11" t="s">
        <v>4489</v>
      </c>
      <c r="I857" s="11" t="str">
        <f>HYPERLINK("http://www.myrenty.it/","www.myrenty.it")</f>
        <v>www.myrenty.it</v>
      </c>
      <c r="J857" s="12">
        <v>7318.1840000000002</v>
      </c>
      <c r="K857" s="12">
        <v>7318.1840000000002</v>
      </c>
      <c r="L857" s="13">
        <v>8503.2549999999992</v>
      </c>
      <c r="M857" s="12">
        <v>298.41199999999998</v>
      </c>
      <c r="N857" s="12">
        <v>298.41199999999998</v>
      </c>
      <c r="O857" s="12">
        <v>343.03699999999998</v>
      </c>
      <c r="P857" s="12">
        <v>19</v>
      </c>
      <c r="Q857" s="12">
        <v>19</v>
      </c>
      <c r="R857" s="12">
        <v>18</v>
      </c>
    </row>
    <row r="858" spans="1:18" ht="17" customHeight="1" x14ac:dyDescent="0.15">
      <c r="A858" s="8" t="s">
        <v>4567</v>
      </c>
      <c r="B858" s="9" t="s">
        <v>4568</v>
      </c>
      <c r="C858" s="8" t="s">
        <v>4569</v>
      </c>
      <c r="D858" s="8" t="s">
        <v>4569</v>
      </c>
      <c r="E858" s="8" t="s">
        <v>4570</v>
      </c>
      <c r="F858" s="8" t="s">
        <v>4516</v>
      </c>
      <c r="G858" s="8" t="s">
        <v>4511</v>
      </c>
      <c r="H858" s="8" t="s">
        <v>4451</v>
      </c>
      <c r="I858" s="8" t="str">
        <f>HYPERLINK("http://www.mlgroupsrl.it/","www.mlgroupsrl.it")</f>
        <v>www.mlgroupsrl.it</v>
      </c>
      <c r="J858" s="10">
        <v>8971.5519999999997</v>
      </c>
      <c r="K858" s="10">
        <v>8971.5519999999997</v>
      </c>
      <c r="L858" s="10">
        <v>8493.0239999999994</v>
      </c>
      <c r="M858" s="10">
        <v>82.56</v>
      </c>
      <c r="N858" s="10">
        <v>82.56</v>
      </c>
      <c r="O858" s="10">
        <v>75.411000000000001</v>
      </c>
      <c r="P858" s="15" t="s">
        <v>4521</v>
      </c>
      <c r="Q858" s="15" t="s">
        <v>4521</v>
      </c>
      <c r="R858" s="10">
        <v>60</v>
      </c>
    </row>
    <row r="859" spans="1:18" ht="17" customHeight="1" x14ac:dyDescent="0.15">
      <c r="A859" s="11" t="s">
        <v>4571</v>
      </c>
      <c r="B859" s="1" t="s">
        <v>4572</v>
      </c>
      <c r="C859" s="11" t="s">
        <v>4573</v>
      </c>
      <c r="D859" s="11" t="s">
        <v>4573</v>
      </c>
      <c r="E859" s="11" t="s">
        <v>4574</v>
      </c>
      <c r="F859" s="11" t="s">
        <v>4575</v>
      </c>
      <c r="G859" s="11" t="s">
        <v>4531</v>
      </c>
      <c r="H859" s="11" t="s">
        <v>4451</v>
      </c>
      <c r="I859" s="11" t="str">
        <f>HYPERLINK("http://www.alexec.it/","www.alexec.it")</f>
        <v>www.alexec.it</v>
      </c>
      <c r="J859" s="12">
        <v>9172.2389999999996</v>
      </c>
      <c r="K859" s="12">
        <v>9172.2389999999996</v>
      </c>
      <c r="L859" s="13">
        <v>8488.9930000000004</v>
      </c>
      <c r="M859" s="12">
        <v>306.60399999999998</v>
      </c>
      <c r="N859" s="12">
        <v>306.60399999999998</v>
      </c>
      <c r="O859" s="12">
        <v>582.26199999999994</v>
      </c>
      <c r="P859" s="12">
        <v>37</v>
      </c>
      <c r="Q859" s="12">
        <v>37</v>
      </c>
      <c r="R859" s="12">
        <v>29</v>
      </c>
    </row>
    <row r="860" spans="1:18" ht="17" customHeight="1" x14ac:dyDescent="0.15">
      <c r="A860" s="8" t="s">
        <v>4576</v>
      </c>
      <c r="B860" s="9" t="s">
        <v>4577</v>
      </c>
      <c r="C860" s="8" t="s">
        <v>4578</v>
      </c>
      <c r="D860" s="8" t="s">
        <v>4578</v>
      </c>
      <c r="E860" s="8" t="s">
        <v>4579</v>
      </c>
      <c r="F860" s="8" t="s">
        <v>4456</v>
      </c>
      <c r="G860" s="8" t="s">
        <v>4580</v>
      </c>
      <c r="H860" s="8" t="s">
        <v>4581</v>
      </c>
      <c r="I860" s="8" t="str">
        <f>HYPERLINK("http://www.calzaturelotti.it/","www.calzaturelotti.it")</f>
        <v>www.calzaturelotti.it</v>
      </c>
      <c r="J860" s="10">
        <v>8127.9340000000002</v>
      </c>
      <c r="K860" s="10">
        <v>8127.9340000000002</v>
      </c>
      <c r="L860" s="10">
        <v>8484.5650000000005</v>
      </c>
      <c r="M860" s="10">
        <v>-94.263000000000005</v>
      </c>
      <c r="N860" s="10">
        <v>-94.263000000000005</v>
      </c>
      <c r="O860" s="10">
        <v>17.437000000000001</v>
      </c>
      <c r="P860" s="10">
        <v>49</v>
      </c>
      <c r="Q860" s="10">
        <v>49</v>
      </c>
      <c r="R860" s="10">
        <v>51</v>
      </c>
    </row>
    <row r="861" spans="1:18" ht="17" customHeight="1" x14ac:dyDescent="0.15">
      <c r="A861" s="11" t="s">
        <v>4582</v>
      </c>
      <c r="B861" s="1" t="s">
        <v>4583</v>
      </c>
      <c r="C861" s="11" t="s">
        <v>4584</v>
      </c>
      <c r="D861" s="11" t="s">
        <v>4584</v>
      </c>
      <c r="E861" s="11" t="s">
        <v>4585</v>
      </c>
      <c r="F861" s="11" t="s">
        <v>4462</v>
      </c>
      <c r="G861" s="11" t="s">
        <v>4531</v>
      </c>
      <c r="H861" s="11" t="s">
        <v>4451</v>
      </c>
      <c r="I861" s="11" t="str">
        <f>HYPERLINK("http://www.ginoferruzzi.it/","www.ginoferruzzi.it")</f>
        <v>www.ginoferruzzi.it</v>
      </c>
      <c r="J861" s="12">
        <v>7413.2089999999998</v>
      </c>
      <c r="K861" s="12">
        <v>7413.2089999999998</v>
      </c>
      <c r="L861" s="13">
        <v>8477.2489999999998</v>
      </c>
      <c r="M861" s="12">
        <v>152.876</v>
      </c>
      <c r="N861" s="12">
        <v>152.876</v>
      </c>
      <c r="O861" s="12">
        <v>16.626000000000001</v>
      </c>
      <c r="P861" s="12">
        <v>44</v>
      </c>
      <c r="Q861" s="12">
        <v>44</v>
      </c>
      <c r="R861" s="12">
        <v>47</v>
      </c>
    </row>
    <row r="862" spans="1:18" ht="17" customHeight="1" x14ac:dyDescent="0.15">
      <c r="A862" s="8" t="s">
        <v>4586</v>
      </c>
      <c r="B862" s="9" t="s">
        <v>4587</v>
      </c>
      <c r="C862" s="8" t="s">
        <v>4588</v>
      </c>
      <c r="D862" s="8" t="s">
        <v>4588</v>
      </c>
      <c r="E862" s="8" t="s">
        <v>4589</v>
      </c>
      <c r="F862" s="8" t="s">
        <v>4590</v>
      </c>
      <c r="G862" s="8" t="s">
        <v>4591</v>
      </c>
      <c r="H862" s="8" t="s">
        <v>4489</v>
      </c>
      <c r="I862" s="8" t="str">
        <f>HYPERLINK("http://www.parisinipelletterie.com/","www.parisinipelletterie.com")</f>
        <v>www.parisinipelletterie.com</v>
      </c>
      <c r="J862" s="10">
        <v>8685.125</v>
      </c>
      <c r="K862" s="10">
        <v>8685.125</v>
      </c>
      <c r="L862" s="10">
        <v>8445.5969999999998</v>
      </c>
      <c r="M862" s="10">
        <v>1110.261</v>
      </c>
      <c r="N862" s="10">
        <v>1110.261</v>
      </c>
      <c r="O862" s="10">
        <v>1177.4739999999999</v>
      </c>
      <c r="P862" s="10">
        <v>29</v>
      </c>
      <c r="Q862" s="10">
        <v>29</v>
      </c>
      <c r="R862" s="10">
        <v>28</v>
      </c>
    </row>
    <row r="863" spans="1:18" ht="17" customHeight="1" x14ac:dyDescent="0.15">
      <c r="A863" s="11" t="s">
        <v>4592</v>
      </c>
      <c r="B863" s="1" t="s">
        <v>4593</v>
      </c>
      <c r="C863" s="11" t="s">
        <v>4594</v>
      </c>
      <c r="D863" s="11" t="s">
        <v>4594</v>
      </c>
      <c r="E863" s="11" t="s">
        <v>4595</v>
      </c>
      <c r="F863" s="11" t="s">
        <v>4495</v>
      </c>
      <c r="G863" s="11" t="s">
        <v>4596</v>
      </c>
      <c r="H863" s="11" t="s">
        <v>4451</v>
      </c>
      <c r="I863" s="11" t="str">
        <f>HYPERLINK("http://www.bmsrl.info/","www.bmsrl.info")</f>
        <v>www.bmsrl.info</v>
      </c>
      <c r="J863" s="12">
        <v>8523.3070000000007</v>
      </c>
      <c r="K863" s="12">
        <v>9100.1129999999994</v>
      </c>
      <c r="L863" s="13">
        <v>8441.2009999999991</v>
      </c>
      <c r="M863" s="12">
        <v>4.1900000000000004</v>
      </c>
      <c r="N863" s="12">
        <v>148.96899999999999</v>
      </c>
      <c r="O863" s="12">
        <v>276.452</v>
      </c>
      <c r="P863" s="12">
        <v>24</v>
      </c>
      <c r="Q863" s="12">
        <v>20</v>
      </c>
      <c r="R863" s="12">
        <v>19</v>
      </c>
    </row>
    <row r="864" spans="1:18" ht="17" customHeight="1" x14ac:dyDescent="0.15">
      <c r="A864" s="8" t="s">
        <v>4597</v>
      </c>
      <c r="B864" s="9" t="s">
        <v>4598</v>
      </c>
      <c r="C864" s="8" t="s">
        <v>4599</v>
      </c>
      <c r="D864" s="8" t="s">
        <v>4599</v>
      </c>
      <c r="E864" s="8" t="s">
        <v>4600</v>
      </c>
      <c r="F864" s="8" t="s">
        <v>4565</v>
      </c>
      <c r="G864" s="8" t="s">
        <v>4468</v>
      </c>
      <c r="H864" s="8" t="s">
        <v>4437</v>
      </c>
      <c r="I864" s="8" t="str">
        <f>HYPERLINK("http://nilvia.it/","nilvia.it")</f>
        <v>nilvia.it</v>
      </c>
      <c r="J864" s="10">
        <v>7370.4290000000001</v>
      </c>
      <c r="K864" s="10">
        <v>7370.4290000000001</v>
      </c>
      <c r="L864" s="10">
        <v>8399.4030000000002</v>
      </c>
      <c r="M864" s="10">
        <v>24.934999999999999</v>
      </c>
      <c r="N864" s="10">
        <v>24.934999999999999</v>
      </c>
      <c r="O864" s="10">
        <v>297.339</v>
      </c>
      <c r="P864" s="10">
        <v>51</v>
      </c>
      <c r="Q864" s="10">
        <v>51</v>
      </c>
      <c r="R864" s="10">
        <v>48</v>
      </c>
    </row>
    <row r="865" spans="1:18" ht="17" customHeight="1" x14ac:dyDescent="0.15">
      <c r="A865" s="11" t="s">
        <v>4601</v>
      </c>
      <c r="B865" s="1" t="s">
        <v>4602</v>
      </c>
      <c r="C865" s="11" t="s">
        <v>4603</v>
      </c>
      <c r="D865" s="11" t="s">
        <v>4603</v>
      </c>
      <c r="E865" s="11" t="s">
        <v>4604</v>
      </c>
      <c r="F865" s="11" t="s">
        <v>4605</v>
      </c>
      <c r="G865" s="11" t="s">
        <v>4606</v>
      </c>
      <c r="H865" s="11" t="s">
        <v>4607</v>
      </c>
      <c r="I865" s="11" t="str">
        <f>HYPERLINK("http://www.azzurracompanysrl.it/","www.azzurracompanysrl.it")</f>
        <v>www.azzurracompanysrl.it</v>
      </c>
      <c r="J865" s="12">
        <v>7394.143</v>
      </c>
      <c r="K865" s="12">
        <v>7394.143</v>
      </c>
      <c r="L865" s="13">
        <v>8395.9950000000008</v>
      </c>
      <c r="M865" s="12">
        <v>31.027999999999999</v>
      </c>
      <c r="N865" s="12">
        <v>31.027999999999999</v>
      </c>
      <c r="O865" s="12">
        <v>35.469000000000001</v>
      </c>
      <c r="P865" s="12">
        <v>9</v>
      </c>
      <c r="Q865" s="12">
        <v>9</v>
      </c>
      <c r="R865" s="12">
        <v>10</v>
      </c>
    </row>
    <row r="866" spans="1:18" ht="17" customHeight="1" x14ac:dyDescent="0.15">
      <c r="A866" s="8" t="s">
        <v>4608</v>
      </c>
      <c r="B866" s="9" t="s">
        <v>4609</v>
      </c>
      <c r="C866" s="8" t="s">
        <v>4610</v>
      </c>
      <c r="D866" s="8" t="s">
        <v>4610</v>
      </c>
      <c r="E866" s="8" t="s">
        <v>4611</v>
      </c>
      <c r="F866" s="8" t="s">
        <v>4612</v>
      </c>
      <c r="G866" s="8" t="s">
        <v>4613</v>
      </c>
      <c r="H866" s="8" t="s">
        <v>4614</v>
      </c>
      <c r="I866" s="8" t="str">
        <f>HYPERLINK("http://www.conceriaenterprise.it/","http://www.conceriaenterprise.it")</f>
        <v>http://www.conceriaenterprise.it</v>
      </c>
      <c r="J866" s="10">
        <v>8447.7129999999997</v>
      </c>
      <c r="K866" s="10">
        <v>8447.7129999999997</v>
      </c>
      <c r="L866" s="10">
        <v>8388.2939999999999</v>
      </c>
      <c r="M866" s="10">
        <v>252.01900000000001</v>
      </c>
      <c r="N866" s="10">
        <v>252.01900000000001</v>
      </c>
      <c r="O866" s="10">
        <v>71.988</v>
      </c>
      <c r="P866" s="10">
        <v>23</v>
      </c>
      <c r="Q866" s="10">
        <v>23</v>
      </c>
      <c r="R866" s="10">
        <v>22</v>
      </c>
    </row>
    <row r="867" spans="1:18" ht="17" customHeight="1" x14ac:dyDescent="0.15">
      <c r="A867" s="11" t="s">
        <v>4615</v>
      </c>
      <c r="B867" s="1" t="s">
        <v>4616</v>
      </c>
      <c r="C867" s="11" t="s">
        <v>4617</v>
      </c>
      <c r="D867" s="11" t="s">
        <v>4617</v>
      </c>
      <c r="E867" s="11" t="s">
        <v>4618</v>
      </c>
      <c r="F867" s="11" t="s">
        <v>4619</v>
      </c>
      <c r="G867" s="11" t="s">
        <v>4620</v>
      </c>
      <c r="H867" s="11" t="s">
        <v>4621</v>
      </c>
      <c r="I867" s="11" t="str">
        <f>HYPERLINK("http://squad2.it/","squad2.it")</f>
        <v>squad2.it</v>
      </c>
      <c r="J867" s="12">
        <v>9245.65</v>
      </c>
      <c r="K867" s="12">
        <v>9245.65</v>
      </c>
      <c r="L867" s="13">
        <v>8387.8770000000004</v>
      </c>
      <c r="M867" s="12">
        <v>95.853999999999999</v>
      </c>
      <c r="N867" s="12">
        <v>95.853999999999999</v>
      </c>
      <c r="O867" s="12">
        <v>411.50599999999997</v>
      </c>
      <c r="P867" s="12">
        <v>30</v>
      </c>
      <c r="Q867" s="12">
        <v>30</v>
      </c>
      <c r="R867" s="12">
        <v>27</v>
      </c>
    </row>
    <row r="868" spans="1:18" ht="17" customHeight="1" x14ac:dyDescent="0.15">
      <c r="A868" s="8" t="s">
        <v>4622</v>
      </c>
      <c r="B868" s="9" t="s">
        <v>4623</v>
      </c>
      <c r="C868" s="8" t="s">
        <v>4624</v>
      </c>
      <c r="D868" s="8" t="s">
        <v>4624</v>
      </c>
      <c r="E868" s="8" t="s">
        <v>4625</v>
      </c>
      <c r="F868" s="8" t="s">
        <v>4626</v>
      </c>
      <c r="G868" s="8" t="s">
        <v>4627</v>
      </c>
      <c r="H868" s="8" t="s">
        <v>4628</v>
      </c>
      <c r="I868" s="8" t="str">
        <f>HYPERLINK("http://www.eire.it/","www.eire.it")</f>
        <v>www.eire.it</v>
      </c>
      <c r="J868" s="10">
        <v>11190.983</v>
      </c>
      <c r="K868" s="10">
        <v>11190.983</v>
      </c>
      <c r="L868" s="10">
        <v>8344.0310000000009</v>
      </c>
      <c r="M868" s="10">
        <v>476.87099999999998</v>
      </c>
      <c r="N868" s="10">
        <v>476.87099999999998</v>
      </c>
      <c r="O868" s="10">
        <v>177.316</v>
      </c>
      <c r="P868" s="10">
        <v>31</v>
      </c>
      <c r="Q868" s="10">
        <v>31</v>
      </c>
      <c r="R868" s="10">
        <v>30</v>
      </c>
    </row>
    <row r="869" spans="1:18" ht="17" customHeight="1" x14ac:dyDescent="0.15">
      <c r="A869" s="11" t="s">
        <v>4629</v>
      </c>
      <c r="B869" s="1" t="s">
        <v>4630</v>
      </c>
      <c r="C869" s="11" t="s">
        <v>4631</v>
      </c>
      <c r="D869" s="11" t="s">
        <v>4632</v>
      </c>
      <c r="E869" s="11" t="s">
        <v>4633</v>
      </c>
      <c r="F869" s="11" t="s">
        <v>4605</v>
      </c>
      <c r="G869" s="11" t="s">
        <v>4634</v>
      </c>
      <c r="H869" s="11" t="s">
        <v>4607</v>
      </c>
      <c r="I869" s="11" t="str">
        <f>HYPERLINK("http://b2b.babylonstyle.it/","b2b.babylonstyle.it")</f>
        <v>b2b.babylonstyle.it</v>
      </c>
      <c r="J869" s="12">
        <v>7400.8029999999999</v>
      </c>
      <c r="K869" s="12">
        <v>7400.8029999999999</v>
      </c>
      <c r="L869" s="13">
        <v>8343.0540000000001</v>
      </c>
      <c r="M869" s="12">
        <v>233.45099999999999</v>
      </c>
      <c r="N869" s="12">
        <v>233.45099999999999</v>
      </c>
      <c r="O869" s="12">
        <v>582.07799999999997</v>
      </c>
      <c r="P869" s="12">
        <v>8</v>
      </c>
      <c r="Q869" s="12">
        <v>8</v>
      </c>
      <c r="R869" s="12">
        <v>8</v>
      </c>
    </row>
    <row r="870" spans="1:18" ht="17" customHeight="1" x14ac:dyDescent="0.15">
      <c r="A870" s="8" t="s">
        <v>4635</v>
      </c>
      <c r="B870" s="9" t="s">
        <v>4636</v>
      </c>
      <c r="C870" s="8" t="s">
        <v>4637</v>
      </c>
      <c r="D870" s="8" t="s">
        <v>4637</v>
      </c>
      <c r="E870" s="8" t="s">
        <v>4638</v>
      </c>
      <c r="F870" s="8" t="s">
        <v>4612</v>
      </c>
      <c r="G870" s="8" t="s">
        <v>4639</v>
      </c>
      <c r="H870" s="8" t="s">
        <v>4640</v>
      </c>
      <c r="I870" s="8" t="str">
        <f>HYPERLINK("http://www.giduepellami.com/","www.giduepellami.com")</f>
        <v>www.giduepellami.com</v>
      </c>
      <c r="J870" s="10">
        <v>5800.0590000000002</v>
      </c>
      <c r="K870" s="10">
        <v>5800.0590000000002</v>
      </c>
      <c r="L870" s="10">
        <v>8312.2510000000002</v>
      </c>
      <c r="M870" s="10">
        <v>-171.024</v>
      </c>
      <c r="N870" s="10">
        <v>-171.024</v>
      </c>
      <c r="O870" s="10">
        <v>84.120999999999995</v>
      </c>
      <c r="P870" s="10">
        <v>35</v>
      </c>
      <c r="Q870" s="10">
        <v>35</v>
      </c>
      <c r="R870" s="10">
        <v>38</v>
      </c>
    </row>
    <row r="871" spans="1:18" ht="17" customHeight="1" x14ac:dyDescent="0.15">
      <c r="A871" s="11" t="s">
        <v>4641</v>
      </c>
      <c r="B871" s="1" t="s">
        <v>4642</v>
      </c>
      <c r="C871" s="11" t="s">
        <v>4643</v>
      </c>
      <c r="D871" s="11" t="s">
        <v>4643</v>
      </c>
      <c r="E871" s="11" t="s">
        <v>4644</v>
      </c>
      <c r="F871" s="11" t="s">
        <v>4645</v>
      </c>
      <c r="G871" s="11" t="s">
        <v>4646</v>
      </c>
      <c r="H871" s="11" t="s">
        <v>4640</v>
      </c>
      <c r="I871" s="11" t="str">
        <f>HYPERLINK("http://www.italbordi.com/","www.italbordi.com")</f>
        <v>www.italbordi.com</v>
      </c>
      <c r="J871" s="12">
        <v>7970.1149999999998</v>
      </c>
      <c r="K871" s="12">
        <v>7970.1149999999998</v>
      </c>
      <c r="L871" s="13">
        <v>8261.9110000000001</v>
      </c>
      <c r="M871" s="12">
        <v>2876.8310000000001</v>
      </c>
      <c r="N871" s="12">
        <v>2876.8310000000001</v>
      </c>
      <c r="O871" s="12">
        <v>2986.4810000000002</v>
      </c>
      <c r="P871" s="12">
        <v>34</v>
      </c>
      <c r="Q871" s="12">
        <v>34</v>
      </c>
      <c r="R871" s="12">
        <v>35</v>
      </c>
    </row>
    <row r="872" spans="1:18" ht="17" customHeight="1" x14ac:dyDescent="0.15">
      <c r="A872" s="8" t="s">
        <v>4647</v>
      </c>
      <c r="B872" s="9" t="s">
        <v>4648</v>
      </c>
      <c r="C872" s="8" t="s">
        <v>4649</v>
      </c>
      <c r="D872" s="8" t="s">
        <v>4649</v>
      </c>
      <c r="E872" s="8" t="s">
        <v>4650</v>
      </c>
      <c r="F872" s="8" t="s">
        <v>4619</v>
      </c>
      <c r="G872" s="8" t="s">
        <v>4651</v>
      </c>
      <c r="H872" s="8" t="s">
        <v>4652</v>
      </c>
      <c r="I872" s="8" t="str">
        <f>HYPERLINK("http://department5.com/","department5.com")</f>
        <v>department5.com</v>
      </c>
      <c r="J872" s="10">
        <v>7390.0290000000005</v>
      </c>
      <c r="K872" s="10">
        <v>7390.0290000000005</v>
      </c>
      <c r="L872" s="10">
        <v>8232.5609999999997</v>
      </c>
      <c r="M872" s="10">
        <v>81.337000000000003</v>
      </c>
      <c r="N872" s="10">
        <v>81.337000000000003</v>
      </c>
      <c r="O872" s="10">
        <v>124.056</v>
      </c>
      <c r="P872" s="10">
        <v>25</v>
      </c>
      <c r="Q872" s="10">
        <v>25</v>
      </c>
      <c r="R872" s="10">
        <v>26</v>
      </c>
    </row>
    <row r="873" spans="1:18" ht="17" customHeight="1" x14ac:dyDescent="0.15">
      <c r="A873" s="11" t="s">
        <v>4653</v>
      </c>
      <c r="B873" s="1" t="s">
        <v>4654</v>
      </c>
      <c r="C873" s="11" t="s">
        <v>4655</v>
      </c>
      <c r="D873" s="11" t="s">
        <v>4655</v>
      </c>
      <c r="E873" s="11" t="s">
        <v>4656</v>
      </c>
      <c r="F873" s="11" t="s">
        <v>4645</v>
      </c>
      <c r="G873" s="11" t="s">
        <v>4646</v>
      </c>
      <c r="H873" s="11" t="s">
        <v>4640</v>
      </c>
      <c r="I873" s="11" t="str">
        <f>HYPERLINK("http://www.delbrenta.com/","www.delbrenta.com")</f>
        <v>www.delbrenta.com</v>
      </c>
      <c r="J873" s="12">
        <v>10289.974</v>
      </c>
      <c r="K873" s="12">
        <v>10289.974</v>
      </c>
      <c r="L873" s="13">
        <v>8223.1560000000009</v>
      </c>
      <c r="M873" s="12">
        <v>447.47300000000001</v>
      </c>
      <c r="N873" s="12">
        <v>447.47300000000001</v>
      </c>
      <c r="O873" s="12">
        <v>53.875999999999998</v>
      </c>
      <c r="P873" s="12">
        <v>67</v>
      </c>
      <c r="Q873" s="12">
        <v>67</v>
      </c>
      <c r="R873" s="12">
        <v>59</v>
      </c>
    </row>
    <row r="874" spans="1:18" ht="17" customHeight="1" x14ac:dyDescent="0.15">
      <c r="A874" s="8" t="s">
        <v>4657</v>
      </c>
      <c r="B874" s="9" t="s">
        <v>4658</v>
      </c>
      <c r="C874" s="8" t="s">
        <v>4659</v>
      </c>
      <c r="D874" s="8" t="s">
        <v>4659</v>
      </c>
      <c r="E874" s="8" t="s">
        <v>4660</v>
      </c>
      <c r="F874" s="8" t="s">
        <v>4619</v>
      </c>
      <c r="G874" s="8" t="s">
        <v>4661</v>
      </c>
      <c r="H874" s="8" t="s">
        <v>4640</v>
      </c>
      <c r="I874" s="8" t="str">
        <f>HYPERLINK("http://www.spazioricreativo.com/","www.spazioricreativo.com")</f>
        <v>www.spazioricreativo.com</v>
      </c>
      <c r="J874" s="10">
        <v>11753.269</v>
      </c>
      <c r="K874" s="10">
        <v>11753.269</v>
      </c>
      <c r="L874" s="10">
        <v>8218.4220000000005</v>
      </c>
      <c r="M874" s="10">
        <v>516.14700000000005</v>
      </c>
      <c r="N874" s="10">
        <v>516.14700000000005</v>
      </c>
      <c r="O874" s="10">
        <v>644.18899999999996</v>
      </c>
      <c r="P874" s="10">
        <v>41</v>
      </c>
      <c r="Q874" s="10">
        <v>41</v>
      </c>
      <c r="R874" s="10">
        <v>35</v>
      </c>
    </row>
    <row r="875" spans="1:18" ht="17" customHeight="1" x14ac:dyDescent="0.15">
      <c r="A875" s="11" t="s">
        <v>4662</v>
      </c>
      <c r="B875" s="1" t="s">
        <v>4663</v>
      </c>
      <c r="C875" s="11" t="s">
        <v>4664</v>
      </c>
      <c r="D875" s="11" t="s">
        <v>4664</v>
      </c>
      <c r="E875" s="11" t="s">
        <v>4665</v>
      </c>
      <c r="F875" s="11" t="s">
        <v>4666</v>
      </c>
      <c r="G875" s="11" t="s">
        <v>4613</v>
      </c>
      <c r="H875" s="11" t="s">
        <v>4614</v>
      </c>
      <c r="I875" s="11" t="str">
        <f>HYPERLINK("http://vegaholster.com/","vegaholster.com")</f>
        <v>vegaholster.com</v>
      </c>
      <c r="J875" s="12">
        <v>7348.3850000000002</v>
      </c>
      <c r="K875" s="12">
        <v>7348.3850000000002</v>
      </c>
      <c r="L875" s="13">
        <v>8214.7139999999999</v>
      </c>
      <c r="M875" s="12">
        <v>336.86099999999999</v>
      </c>
      <c r="N875" s="12">
        <v>336.86099999999999</v>
      </c>
      <c r="O875" s="12">
        <v>882.91</v>
      </c>
      <c r="P875" s="12">
        <v>40</v>
      </c>
      <c r="Q875" s="12">
        <v>40</v>
      </c>
      <c r="R875" s="12">
        <v>39</v>
      </c>
    </row>
    <row r="876" spans="1:18" ht="17" customHeight="1" x14ac:dyDescent="0.15">
      <c r="A876" s="8" t="s">
        <v>4667</v>
      </c>
      <c r="B876" s="9" t="s">
        <v>4668</v>
      </c>
      <c r="C876" s="8" t="s">
        <v>4669</v>
      </c>
      <c r="D876" s="8" t="s">
        <v>4669</v>
      </c>
      <c r="E876" s="8" t="s">
        <v>4670</v>
      </c>
      <c r="F876" s="8" t="s">
        <v>4619</v>
      </c>
      <c r="G876" s="8" t="s">
        <v>4671</v>
      </c>
      <c r="H876" s="8" t="s">
        <v>4628</v>
      </c>
      <c r="I876" s="8" t="str">
        <f>HYPERLINK("http://www.eudia.it/","www.eudia.it")</f>
        <v>www.eudia.it</v>
      </c>
      <c r="J876" s="10">
        <v>9816.2309999999998</v>
      </c>
      <c r="K876" s="10">
        <v>9816.2309999999998</v>
      </c>
      <c r="L876" s="10">
        <v>8198.1859999999997</v>
      </c>
      <c r="M876" s="10">
        <v>964.88300000000004</v>
      </c>
      <c r="N876" s="10">
        <v>964.88300000000004</v>
      </c>
      <c r="O876" s="10">
        <v>935.47299999999996</v>
      </c>
      <c r="P876" s="10">
        <v>20</v>
      </c>
      <c r="Q876" s="10">
        <v>20</v>
      </c>
      <c r="R876" s="10">
        <v>19</v>
      </c>
    </row>
    <row r="877" spans="1:18" ht="17" customHeight="1" x14ac:dyDescent="0.15">
      <c r="A877" s="11" t="s">
        <v>4672</v>
      </c>
      <c r="B877" s="1" t="s">
        <v>4673</v>
      </c>
      <c r="C877" s="11" t="s">
        <v>4674</v>
      </c>
      <c r="D877" s="11" t="s">
        <v>4674</v>
      </c>
      <c r="E877" s="11" t="s">
        <v>4675</v>
      </c>
      <c r="F877" s="11" t="s">
        <v>4605</v>
      </c>
      <c r="G877" s="11" t="s">
        <v>4639</v>
      </c>
      <c r="H877" s="11" t="s">
        <v>4640</v>
      </c>
      <c r="I877" s="11" t="str">
        <f>HYPERLINK("http://www.atelierstimamiglio.com/","www.atelierstimamiglio.com")</f>
        <v>www.atelierstimamiglio.com</v>
      </c>
      <c r="J877" s="12">
        <v>8806.5010000000002</v>
      </c>
      <c r="K877" s="12">
        <v>8806.5010000000002</v>
      </c>
      <c r="L877" s="13">
        <v>8197.3340000000007</v>
      </c>
      <c r="M877" s="12">
        <v>310.74200000000002</v>
      </c>
      <c r="N877" s="12">
        <v>310.74200000000002</v>
      </c>
      <c r="O877" s="12">
        <v>473.34500000000003</v>
      </c>
      <c r="P877" s="12">
        <v>61</v>
      </c>
      <c r="Q877" s="12">
        <v>61</v>
      </c>
      <c r="R877" s="12">
        <v>52</v>
      </c>
    </row>
    <row r="878" spans="1:18" ht="17" customHeight="1" x14ac:dyDescent="0.15">
      <c r="A878" s="8" t="s">
        <v>4676</v>
      </c>
      <c r="B878" s="9" t="s">
        <v>4677</v>
      </c>
      <c r="C878" s="8" t="s">
        <v>4678</v>
      </c>
      <c r="D878" s="8" t="s">
        <v>4678</v>
      </c>
      <c r="E878" s="8" t="s">
        <v>4679</v>
      </c>
      <c r="F878" s="8" t="s">
        <v>4666</v>
      </c>
      <c r="G878" s="8" t="s">
        <v>4639</v>
      </c>
      <c r="H878" s="8" t="s">
        <v>4640</v>
      </c>
      <c r="I878" s="8" t="str">
        <f>HYPERLINK("http://www.plaber.it/","www.plaber.it")</f>
        <v>www.plaber.it</v>
      </c>
      <c r="J878" s="10">
        <v>7891.4620000000004</v>
      </c>
      <c r="K878" s="10">
        <v>7891.4620000000004</v>
      </c>
      <c r="L878" s="10">
        <v>8194.6640000000007</v>
      </c>
      <c r="M878" s="10">
        <v>47.347000000000001</v>
      </c>
      <c r="N878" s="10">
        <v>47.347000000000001</v>
      </c>
      <c r="O878" s="10">
        <v>413.08699999999999</v>
      </c>
      <c r="P878" s="10">
        <v>20</v>
      </c>
      <c r="Q878" s="10">
        <v>20</v>
      </c>
      <c r="R878" s="10">
        <v>16</v>
      </c>
    </row>
    <row r="879" spans="1:18" ht="17" customHeight="1" x14ac:dyDescent="0.15">
      <c r="A879" s="11" t="s">
        <v>4680</v>
      </c>
      <c r="B879" s="1" t="s">
        <v>4681</v>
      </c>
      <c r="C879" s="11" t="s">
        <v>4682</v>
      </c>
      <c r="D879" s="11" t="s">
        <v>4682</v>
      </c>
      <c r="E879" s="11" t="s">
        <v>4683</v>
      </c>
      <c r="F879" s="11" t="s">
        <v>4612</v>
      </c>
      <c r="G879" s="11" t="s">
        <v>4639</v>
      </c>
      <c r="H879" s="11" t="s">
        <v>4640</v>
      </c>
      <c r="I879" s="11" t="str">
        <f>HYPERLINK("http://www.marleather.com/","www.marleather.com")</f>
        <v>www.marleather.com</v>
      </c>
      <c r="J879" s="12">
        <v>5125.7960000000003</v>
      </c>
      <c r="K879" s="12">
        <v>5125.7960000000003</v>
      </c>
      <c r="L879" s="13">
        <v>8176.2539999999999</v>
      </c>
      <c r="M879" s="12">
        <v>-73.896000000000001</v>
      </c>
      <c r="N879" s="12">
        <v>-73.896000000000001</v>
      </c>
      <c r="O879" s="12">
        <v>130.49100000000001</v>
      </c>
      <c r="P879" s="12">
        <v>4</v>
      </c>
      <c r="Q879" s="12">
        <v>4</v>
      </c>
      <c r="R879" s="12">
        <v>4</v>
      </c>
    </row>
    <row r="880" spans="1:18" ht="29.5" customHeight="1" x14ac:dyDescent="0.15">
      <c r="A880" s="8" t="s">
        <v>4684</v>
      </c>
      <c r="B880" s="9" t="s">
        <v>4685</v>
      </c>
      <c r="C880" s="8" t="s">
        <v>4686</v>
      </c>
      <c r="D880" s="8" t="s">
        <v>4686</v>
      </c>
      <c r="E880" s="8" t="s">
        <v>4687</v>
      </c>
      <c r="F880" s="8" t="s">
        <v>4612</v>
      </c>
      <c r="G880" s="8" t="s">
        <v>4688</v>
      </c>
      <c r="H880" s="8" t="s">
        <v>4621</v>
      </c>
      <c r="I880" s="8" t="str">
        <f>HYPERLINK("http://www.flliguarino.it/","www.flliguarino.it")</f>
        <v>www.flliguarino.it</v>
      </c>
      <c r="J880" s="10">
        <v>8123.8069999999998</v>
      </c>
      <c r="K880" s="15" t="s">
        <v>4689</v>
      </c>
      <c r="L880" s="10">
        <v>8123.8069999999998</v>
      </c>
      <c r="M880" s="10">
        <v>-621.98900000000003</v>
      </c>
      <c r="N880" s="15" t="s">
        <v>4689</v>
      </c>
      <c r="O880" s="10">
        <v>-621.98900000000003</v>
      </c>
      <c r="P880" s="10">
        <v>54</v>
      </c>
      <c r="Q880" s="15" t="s">
        <v>4689</v>
      </c>
      <c r="R880" s="10">
        <v>54</v>
      </c>
    </row>
    <row r="881" spans="1:18" ht="17" customHeight="1" x14ac:dyDescent="0.15">
      <c r="A881" s="11" t="s">
        <v>4690</v>
      </c>
      <c r="B881" s="1" t="s">
        <v>4691</v>
      </c>
      <c r="C881" s="11" t="s">
        <v>4692</v>
      </c>
      <c r="D881" s="11" t="s">
        <v>4692</v>
      </c>
      <c r="E881" s="11" t="s">
        <v>4693</v>
      </c>
      <c r="F881" s="11" t="s">
        <v>4694</v>
      </c>
      <c r="G881" s="11" t="s">
        <v>4606</v>
      </c>
      <c r="H881" s="11" t="s">
        <v>4607</v>
      </c>
      <c r="I881" s="11" t="str">
        <f>HYPERLINK("http://www.annmax.it/","www.annmax.it")</f>
        <v>www.annmax.it</v>
      </c>
      <c r="J881" s="12">
        <v>9181.3860000000004</v>
      </c>
      <c r="K881" s="12">
        <v>9181.3860000000004</v>
      </c>
      <c r="L881" s="13">
        <v>8123.15</v>
      </c>
      <c r="M881" s="12">
        <v>483.94600000000003</v>
      </c>
      <c r="N881" s="12">
        <v>483.94600000000003</v>
      </c>
      <c r="O881" s="12">
        <v>-231.62</v>
      </c>
      <c r="P881" s="12">
        <v>34</v>
      </c>
      <c r="Q881" s="12">
        <v>34</v>
      </c>
      <c r="R881" s="12">
        <v>35</v>
      </c>
    </row>
    <row r="882" spans="1:18" ht="17" customHeight="1" x14ac:dyDescent="0.15">
      <c r="A882" s="8" t="s">
        <v>4695</v>
      </c>
      <c r="B882" s="9" t="s">
        <v>4696</v>
      </c>
      <c r="C882" s="8" t="s">
        <v>4697</v>
      </c>
      <c r="D882" s="8" t="s">
        <v>4697</v>
      </c>
      <c r="E882" s="8" t="s">
        <v>4698</v>
      </c>
      <c r="F882" s="8" t="s">
        <v>4626</v>
      </c>
      <c r="G882" s="8" t="s">
        <v>4627</v>
      </c>
      <c r="H882" s="8" t="s">
        <v>4628</v>
      </c>
      <c r="I882" s="8" t="str">
        <f>HYPERLINK("http://www.bbfgambetti.it/","www.bbfgambetti.it")</f>
        <v>www.bbfgambetti.it</v>
      </c>
      <c r="J882" s="10">
        <v>7209.6450000000004</v>
      </c>
      <c r="K882" s="10">
        <v>7209.6450000000004</v>
      </c>
      <c r="L882" s="10">
        <v>8113.9660000000003</v>
      </c>
      <c r="M882" s="10">
        <v>-100.136</v>
      </c>
      <c r="N882" s="10">
        <v>-100.136</v>
      </c>
      <c r="O882" s="10">
        <v>77.491</v>
      </c>
      <c r="P882" s="10">
        <v>29</v>
      </c>
      <c r="Q882" s="10">
        <v>29</v>
      </c>
      <c r="R882" s="10">
        <v>33</v>
      </c>
    </row>
    <row r="883" spans="1:18" ht="17" customHeight="1" x14ac:dyDescent="0.15">
      <c r="A883" s="11" t="s">
        <v>4699</v>
      </c>
      <c r="B883" s="1" t="s">
        <v>4700</v>
      </c>
      <c r="C883" s="11" t="s">
        <v>4701</v>
      </c>
      <c r="D883" s="11" t="s">
        <v>4701</v>
      </c>
      <c r="E883" s="11" t="s">
        <v>4702</v>
      </c>
      <c r="F883" s="11" t="s">
        <v>4645</v>
      </c>
      <c r="G883" s="11" t="s">
        <v>4703</v>
      </c>
      <c r="H883" s="11" t="s">
        <v>4640</v>
      </c>
      <c r="I883" s="11" t="str">
        <f>HYPERLINK("http://www.spac.it/","http://www.spac.it")</f>
        <v>http://www.spac.it</v>
      </c>
      <c r="J883" s="12">
        <v>7784.3739999999998</v>
      </c>
      <c r="K883" s="12">
        <v>7784.3739999999998</v>
      </c>
      <c r="L883" s="13">
        <v>8101.7420000000002</v>
      </c>
      <c r="M883" s="12">
        <v>725.53399999999999</v>
      </c>
      <c r="N883" s="12">
        <v>725.53399999999999</v>
      </c>
      <c r="O883" s="12">
        <v>988.56299999999999</v>
      </c>
      <c r="P883" s="12">
        <v>43</v>
      </c>
      <c r="Q883" s="12">
        <v>43</v>
      </c>
      <c r="R883" s="12">
        <v>42</v>
      </c>
    </row>
    <row r="884" spans="1:18" ht="17" customHeight="1" x14ac:dyDescent="0.15">
      <c r="A884" s="8" t="s">
        <v>4704</v>
      </c>
      <c r="B884" s="9" t="s">
        <v>4705</v>
      </c>
      <c r="C884" s="8" t="s">
        <v>4706</v>
      </c>
      <c r="D884" s="8" t="s">
        <v>4706</v>
      </c>
      <c r="E884" s="8" t="s">
        <v>4707</v>
      </c>
      <c r="F884" s="8" t="s">
        <v>4708</v>
      </c>
      <c r="G884" s="8" t="s">
        <v>4646</v>
      </c>
      <c r="H884" s="8" t="s">
        <v>4640</v>
      </c>
      <c r="I884" s="8" t="str">
        <f>HYPERLINK("http://www.peronshoes.it/","www.peronshoes.it")</f>
        <v>www.peronshoes.it</v>
      </c>
      <c r="J884" s="10">
        <v>8219.5439999999999</v>
      </c>
      <c r="K884" s="10">
        <v>8219.5439999999999</v>
      </c>
      <c r="L884" s="10">
        <v>8082.9620000000004</v>
      </c>
      <c r="M884" s="10">
        <v>31.088999999999999</v>
      </c>
      <c r="N884" s="10">
        <v>31.088999999999999</v>
      </c>
      <c r="O884" s="10">
        <v>5.9550000000000001</v>
      </c>
      <c r="P884" s="10">
        <v>66</v>
      </c>
      <c r="Q884" s="10">
        <v>66</v>
      </c>
      <c r="R884" s="10">
        <v>58</v>
      </c>
    </row>
    <row r="885" spans="1:18" ht="17" customHeight="1" x14ac:dyDescent="0.15">
      <c r="A885" s="11" t="s">
        <v>4709</v>
      </c>
      <c r="B885" s="1" t="s">
        <v>4710</v>
      </c>
      <c r="C885" s="11" t="s">
        <v>4711</v>
      </c>
      <c r="D885" s="11" t="s">
        <v>4711</v>
      </c>
      <c r="E885" s="11" t="s">
        <v>4712</v>
      </c>
      <c r="F885" s="11" t="s">
        <v>4708</v>
      </c>
      <c r="G885" s="11" t="s">
        <v>4713</v>
      </c>
      <c r="H885" s="11" t="s">
        <v>4628</v>
      </c>
      <c r="I885" s="11" t="str">
        <f>HYPERLINK("http://calba.it/","calba.it")</f>
        <v>calba.it</v>
      </c>
      <c r="J885" s="12">
        <v>12986.571</v>
      </c>
      <c r="K885" s="12">
        <v>12986.571</v>
      </c>
      <c r="L885" s="13">
        <v>8081.6469999999999</v>
      </c>
      <c r="M885" s="12">
        <v>1080.384</v>
      </c>
      <c r="N885" s="12">
        <v>1080.384</v>
      </c>
      <c r="O885" s="12">
        <v>501.678</v>
      </c>
      <c r="P885" s="12">
        <v>10</v>
      </c>
      <c r="Q885" s="12">
        <v>10</v>
      </c>
      <c r="R885" s="12">
        <v>9</v>
      </c>
    </row>
    <row r="886" spans="1:18" ht="17" customHeight="1" x14ac:dyDescent="0.15">
      <c r="A886" s="8" t="s">
        <v>4714</v>
      </c>
      <c r="B886" s="9" t="s">
        <v>4715</v>
      </c>
      <c r="C886" s="8" t="s">
        <v>4716</v>
      </c>
      <c r="D886" s="8" t="s">
        <v>4716</v>
      </c>
      <c r="E886" s="8" t="s">
        <v>4717</v>
      </c>
      <c r="F886" s="8" t="s">
        <v>4708</v>
      </c>
      <c r="G886" s="8" t="s">
        <v>4718</v>
      </c>
      <c r="H886" s="8" t="s">
        <v>4652</v>
      </c>
      <c r="I886" s="8" t="str">
        <f>HYPERLINK("http://www.searchndesign.com/","www.searchndesign.com")</f>
        <v>www.searchndesign.com</v>
      </c>
      <c r="J886" s="10">
        <v>7634.183</v>
      </c>
      <c r="K886" s="10">
        <v>7634.183</v>
      </c>
      <c r="L886" s="10">
        <v>8045.4870000000001</v>
      </c>
      <c r="M886" s="10">
        <v>-88.984999999999999</v>
      </c>
      <c r="N886" s="10">
        <v>-88.984999999999999</v>
      </c>
      <c r="O886" s="10">
        <v>334.33800000000002</v>
      </c>
      <c r="P886" s="10">
        <v>29</v>
      </c>
      <c r="Q886" s="10">
        <v>29</v>
      </c>
      <c r="R886" s="10">
        <v>21</v>
      </c>
    </row>
    <row r="887" spans="1:18" ht="17" customHeight="1" x14ac:dyDescent="0.15">
      <c r="A887" s="11" t="s">
        <v>4719</v>
      </c>
      <c r="B887" s="1" t="s">
        <v>4720</v>
      </c>
      <c r="C887" s="11" t="s">
        <v>4721</v>
      </c>
      <c r="D887" s="11" t="s">
        <v>4721</v>
      </c>
      <c r="E887" s="11" t="s">
        <v>4722</v>
      </c>
      <c r="F887" s="11" t="s">
        <v>4605</v>
      </c>
      <c r="G887" s="11" t="s">
        <v>4703</v>
      </c>
      <c r="H887" s="11" t="s">
        <v>4640</v>
      </c>
      <c r="I887" s="11" t="str">
        <f>HYPERLINK("http://www.aesse.com/","www.aesse.com")</f>
        <v>www.aesse.com</v>
      </c>
      <c r="J887" s="12">
        <v>8230.6290000000008</v>
      </c>
      <c r="K887" s="12">
        <v>8230.6290000000008</v>
      </c>
      <c r="L887" s="13">
        <v>8032.3760000000002</v>
      </c>
      <c r="M887" s="12">
        <v>676.15800000000002</v>
      </c>
      <c r="N887" s="12">
        <v>676.15800000000002</v>
      </c>
      <c r="O887" s="12">
        <v>968.78</v>
      </c>
      <c r="P887" s="12">
        <v>24</v>
      </c>
      <c r="Q887" s="12">
        <v>24</v>
      </c>
      <c r="R887" s="12">
        <v>20</v>
      </c>
    </row>
    <row r="888" spans="1:18" ht="17" customHeight="1" x14ac:dyDescent="0.15">
      <c r="A888" s="8" t="s">
        <v>4723</v>
      </c>
      <c r="B888" s="9" t="s">
        <v>4724</v>
      </c>
      <c r="C888" s="8" t="s">
        <v>4725</v>
      </c>
      <c r="D888" s="8" t="s">
        <v>4725</v>
      </c>
      <c r="E888" s="8" t="s">
        <v>4726</v>
      </c>
      <c r="F888" s="8" t="s">
        <v>4694</v>
      </c>
      <c r="G888" s="8" t="s">
        <v>4646</v>
      </c>
      <c r="H888" s="8" t="s">
        <v>4640</v>
      </c>
      <c r="I888" s="8" t="str">
        <f>HYPERLINK("http://www.maglificiovenezia.com/","www.maglificiovenezia.com")</f>
        <v>www.maglificiovenezia.com</v>
      </c>
      <c r="J888" s="10">
        <v>8199.1540000000005</v>
      </c>
      <c r="K888" s="10">
        <v>8199.1540000000005</v>
      </c>
      <c r="L888" s="10">
        <v>8030.9049999999997</v>
      </c>
      <c r="M888" s="10">
        <v>258.68900000000002</v>
      </c>
      <c r="N888" s="10">
        <v>258.68900000000002</v>
      </c>
      <c r="O888" s="10">
        <v>207.13399999999999</v>
      </c>
      <c r="P888" s="10">
        <v>21</v>
      </c>
      <c r="Q888" s="10">
        <v>21</v>
      </c>
      <c r="R888" s="10">
        <v>16</v>
      </c>
    </row>
    <row r="889" spans="1:18" ht="17" customHeight="1" x14ac:dyDescent="0.15">
      <c r="A889" s="11" t="s">
        <v>4727</v>
      </c>
      <c r="B889" s="1" t="s">
        <v>4728</v>
      </c>
      <c r="C889" s="11" t="s">
        <v>4729</v>
      </c>
      <c r="D889" s="11" t="s">
        <v>4729</v>
      </c>
      <c r="E889" s="11" t="s">
        <v>4730</v>
      </c>
      <c r="F889" s="11" t="s">
        <v>4708</v>
      </c>
      <c r="G889" s="11" t="s">
        <v>4620</v>
      </c>
      <c r="H889" s="11" t="s">
        <v>4621</v>
      </c>
      <c r="I889" s="11" t="str">
        <f>HYPERLINK("http://www.albano.it/","www.albano.it")</f>
        <v>www.albano.it</v>
      </c>
      <c r="J889" s="12">
        <v>8728.1180000000004</v>
      </c>
      <c r="K889" s="12">
        <v>8728.1180000000004</v>
      </c>
      <c r="L889" s="13">
        <v>8028.7380000000003</v>
      </c>
      <c r="M889" s="12">
        <v>24.901</v>
      </c>
      <c r="N889" s="12">
        <v>24.901</v>
      </c>
      <c r="O889" s="12">
        <v>80.006</v>
      </c>
      <c r="P889" s="12">
        <v>33</v>
      </c>
      <c r="Q889" s="12">
        <v>33</v>
      </c>
      <c r="R889" s="12">
        <v>34</v>
      </c>
    </row>
    <row r="890" spans="1:18" ht="17" customHeight="1" x14ac:dyDescent="0.15">
      <c r="A890" s="8" t="s">
        <v>4731</v>
      </c>
      <c r="B890" s="9" t="s">
        <v>4732</v>
      </c>
      <c r="C890" s="8" t="s">
        <v>4733</v>
      </c>
      <c r="D890" s="8" t="s">
        <v>4733</v>
      </c>
      <c r="E890" s="8" t="s">
        <v>4734</v>
      </c>
      <c r="F890" s="8" t="s">
        <v>4666</v>
      </c>
      <c r="G890" s="8" t="s">
        <v>4639</v>
      </c>
      <c r="H890" s="8" t="s">
        <v>4640</v>
      </c>
      <c r="I890" s="8" t="str">
        <f>HYPERLINK("http://www.asgint.com/","www.asgint.com")</f>
        <v>www.asgint.com</v>
      </c>
      <c r="J890" s="10">
        <v>7162.366</v>
      </c>
      <c r="K890" s="10">
        <v>7162.366</v>
      </c>
      <c r="L890" s="10">
        <v>8027.82</v>
      </c>
      <c r="M890" s="10">
        <v>-265.584</v>
      </c>
      <c r="N890" s="10">
        <v>-265.584</v>
      </c>
      <c r="O890" s="10">
        <v>402.233</v>
      </c>
      <c r="P890" s="15" t="s">
        <v>4689</v>
      </c>
      <c r="Q890" s="15" t="s">
        <v>4689</v>
      </c>
      <c r="R890" s="10">
        <v>36</v>
      </c>
    </row>
    <row r="891" spans="1:18" ht="29.5" customHeight="1" x14ac:dyDescent="0.15">
      <c r="A891" s="11" t="s">
        <v>4735</v>
      </c>
      <c r="B891" s="1" t="s">
        <v>4736</v>
      </c>
      <c r="C891" s="11" t="s">
        <v>4737</v>
      </c>
      <c r="D891" s="11" t="s">
        <v>4737</v>
      </c>
      <c r="E891" s="11" t="s">
        <v>4738</v>
      </c>
      <c r="F891" s="11" t="s">
        <v>4645</v>
      </c>
      <c r="G891" s="11" t="s">
        <v>4739</v>
      </c>
      <c r="H891" s="11" t="s">
        <v>4740</v>
      </c>
      <c r="I891" s="11" t="str">
        <f>HYPERLINK("http://www.calzaturificiomartini.it/","www.calzaturificiomartini.it")</f>
        <v>www.calzaturificiomartini.it</v>
      </c>
      <c r="J891" s="12">
        <v>8333.3449999999993</v>
      </c>
      <c r="K891" s="12">
        <v>8333.3449999999993</v>
      </c>
      <c r="L891" s="13">
        <v>8018.3810000000003</v>
      </c>
      <c r="M891" s="12">
        <v>1571.835</v>
      </c>
      <c r="N891" s="12">
        <v>1571.835</v>
      </c>
      <c r="O891" s="12">
        <v>880.82899999999995</v>
      </c>
      <c r="P891" s="12">
        <v>16</v>
      </c>
      <c r="Q891" s="12">
        <v>16</v>
      </c>
      <c r="R891" s="12">
        <v>16</v>
      </c>
    </row>
    <row r="892" spans="1:18" ht="29.5" customHeight="1" x14ac:dyDescent="0.15">
      <c r="A892" s="8" t="s">
        <v>4741</v>
      </c>
      <c r="B892" s="9" t="s">
        <v>4742</v>
      </c>
      <c r="C892" s="8" t="s">
        <v>4743</v>
      </c>
      <c r="D892" s="8" t="s">
        <v>4743</v>
      </c>
      <c r="E892" s="8" t="s">
        <v>4744</v>
      </c>
      <c r="F892" s="8" t="s">
        <v>4745</v>
      </c>
      <c r="G892" s="8" t="s">
        <v>4613</v>
      </c>
      <c r="H892" s="8" t="s">
        <v>4614</v>
      </c>
      <c r="I892" s="8" t="str">
        <f>HYPERLINK("http://www.calzaturificiofratellivanni.it/","www.calzaturificiofratellivanni.it")</f>
        <v>www.calzaturificiofratellivanni.it</v>
      </c>
      <c r="J892" s="10">
        <v>8055.3469999999998</v>
      </c>
      <c r="K892" s="10">
        <v>8055.3469999999998</v>
      </c>
      <c r="L892" s="10">
        <v>8013.9359999999997</v>
      </c>
      <c r="M892" s="10">
        <v>478.78899999999999</v>
      </c>
      <c r="N892" s="10">
        <v>478.78899999999999</v>
      </c>
      <c r="O892" s="10">
        <v>343.16800000000001</v>
      </c>
      <c r="P892" s="10">
        <v>36</v>
      </c>
      <c r="Q892" s="10">
        <v>36</v>
      </c>
      <c r="R892" s="10">
        <v>34</v>
      </c>
    </row>
    <row r="893" spans="1:18" ht="17" customHeight="1" x14ac:dyDescent="0.15">
      <c r="A893" s="11" t="s">
        <v>4746</v>
      </c>
      <c r="B893" s="1" t="s">
        <v>4747</v>
      </c>
      <c r="C893" s="11" t="s">
        <v>4748</v>
      </c>
      <c r="D893" s="11" t="s">
        <v>4748</v>
      </c>
      <c r="E893" s="11" t="s">
        <v>4749</v>
      </c>
      <c r="F893" s="11" t="s">
        <v>4666</v>
      </c>
      <c r="G893" s="11" t="s">
        <v>4750</v>
      </c>
      <c r="H893" s="11" t="s">
        <v>4614</v>
      </c>
      <c r="I893" s="11" t="str">
        <f>HYPERLINK("http://www.pell-pam.it/","www.pell-pam.it")</f>
        <v>www.pell-pam.it</v>
      </c>
      <c r="J893" s="12">
        <v>6807.2690000000002</v>
      </c>
      <c r="K893" s="12">
        <v>6807.2690000000002</v>
      </c>
      <c r="L893" s="13">
        <v>7998.7550000000001</v>
      </c>
      <c r="M893" s="12">
        <v>11.365</v>
      </c>
      <c r="N893" s="12">
        <v>11.365</v>
      </c>
      <c r="O893" s="12">
        <v>291.387</v>
      </c>
      <c r="P893" s="12">
        <v>35</v>
      </c>
      <c r="Q893" s="12">
        <v>35</v>
      </c>
      <c r="R893" s="12">
        <v>31</v>
      </c>
    </row>
    <row r="894" spans="1:18" ht="29.5" customHeight="1" x14ac:dyDescent="0.15">
      <c r="A894" s="8" t="s">
        <v>4751</v>
      </c>
      <c r="B894" s="9" t="s">
        <v>4752</v>
      </c>
      <c r="C894" s="8" t="s">
        <v>4753</v>
      </c>
      <c r="D894" s="8" t="s">
        <v>4753</v>
      </c>
      <c r="E894" s="8" t="s">
        <v>4754</v>
      </c>
      <c r="F894" s="8" t="s">
        <v>4708</v>
      </c>
      <c r="G894" s="8" t="s">
        <v>4755</v>
      </c>
      <c r="H894" s="8" t="s">
        <v>4614</v>
      </c>
      <c r="I894" s="8" t="str">
        <f>HYPERLINK("http://www.sturlini.com/","www.sturlini.com")</f>
        <v>www.sturlini.com</v>
      </c>
      <c r="J894" s="10">
        <v>10631.504000000001</v>
      </c>
      <c r="K894" s="10">
        <v>10631.504000000001</v>
      </c>
      <c r="L894" s="10">
        <v>7988.04</v>
      </c>
      <c r="M894" s="10">
        <v>122.215</v>
      </c>
      <c r="N894" s="10">
        <v>122.215</v>
      </c>
      <c r="O894" s="10">
        <v>81.424000000000007</v>
      </c>
      <c r="P894" s="15" t="s">
        <v>4689</v>
      </c>
      <c r="Q894" s="15" t="s">
        <v>4689</v>
      </c>
      <c r="R894" s="10">
        <v>21</v>
      </c>
    </row>
    <row r="895" spans="1:18" ht="17" customHeight="1" x14ac:dyDescent="0.15">
      <c r="A895" s="11" t="s">
        <v>4756</v>
      </c>
      <c r="B895" s="1" t="s">
        <v>4757</v>
      </c>
      <c r="C895" s="11" t="s">
        <v>4758</v>
      </c>
      <c r="D895" s="11" t="s">
        <v>4758</v>
      </c>
      <c r="E895" s="11" t="s">
        <v>4759</v>
      </c>
      <c r="F895" s="11" t="s">
        <v>4694</v>
      </c>
      <c r="G895" s="11" t="s">
        <v>4760</v>
      </c>
      <c r="H895" s="11" t="s">
        <v>4740</v>
      </c>
      <c r="I895" s="11" t="str">
        <f>HYPERLINK("http://oscalito.it/","oscalito.it")</f>
        <v>oscalito.it</v>
      </c>
      <c r="J895" s="12">
        <v>7790.5889999999999</v>
      </c>
      <c r="K895" s="12">
        <v>7790.5889999999999</v>
      </c>
      <c r="L895" s="13">
        <v>7972.5730000000003</v>
      </c>
      <c r="M895" s="12">
        <v>38.468000000000004</v>
      </c>
      <c r="N895" s="12">
        <v>38.468000000000004</v>
      </c>
      <c r="O895" s="12">
        <v>57.924999999999997</v>
      </c>
      <c r="P895" s="12">
        <v>76</v>
      </c>
      <c r="Q895" s="12">
        <v>76</v>
      </c>
      <c r="R895" s="12">
        <v>74</v>
      </c>
    </row>
    <row r="896" spans="1:18" ht="17" customHeight="1" x14ac:dyDescent="0.15">
      <c r="A896" s="8" t="s">
        <v>4761</v>
      </c>
      <c r="B896" s="9" t="s">
        <v>4762</v>
      </c>
      <c r="C896" s="8" t="s">
        <v>4763</v>
      </c>
      <c r="D896" s="8" t="s">
        <v>4763</v>
      </c>
      <c r="E896" s="8" t="s">
        <v>4764</v>
      </c>
      <c r="F896" s="8" t="s">
        <v>4626</v>
      </c>
      <c r="G896" s="8" t="s">
        <v>4627</v>
      </c>
      <c r="H896" s="8" t="s">
        <v>4628</v>
      </c>
      <c r="I896" s="8" t="str">
        <f>HYPERLINK("http://www.pluscollant.com/","www.pluscollant.com")</f>
        <v>www.pluscollant.com</v>
      </c>
      <c r="J896" s="10">
        <v>7945.5820000000003</v>
      </c>
      <c r="K896" s="15" t="s">
        <v>4689</v>
      </c>
      <c r="L896" s="10">
        <v>7945.5820000000003</v>
      </c>
      <c r="M896" s="10">
        <v>67.924000000000007</v>
      </c>
      <c r="N896" s="15" t="s">
        <v>4689</v>
      </c>
      <c r="O896" s="10">
        <v>67.924000000000007</v>
      </c>
      <c r="P896" s="10">
        <v>21</v>
      </c>
      <c r="Q896" s="15" t="s">
        <v>4689</v>
      </c>
      <c r="R896" s="10">
        <v>21</v>
      </c>
    </row>
    <row r="897" spans="1:18" ht="17" customHeight="1" x14ac:dyDescent="0.15">
      <c r="A897" s="11" t="s">
        <v>4765</v>
      </c>
      <c r="B897" s="1" t="s">
        <v>4766</v>
      </c>
      <c r="C897" s="11" t="s">
        <v>4767</v>
      </c>
      <c r="D897" s="11" t="s">
        <v>4767</v>
      </c>
      <c r="E897" s="11" t="s">
        <v>4768</v>
      </c>
      <c r="F897" s="11" t="s">
        <v>4769</v>
      </c>
      <c r="G897" s="11" t="s">
        <v>4770</v>
      </c>
      <c r="H897" s="11" t="s">
        <v>4771</v>
      </c>
      <c r="I897" s="11" t="str">
        <f>HYPERLINK("http://www.delsiena.it/","www.delsiena.it")</f>
        <v>www.delsiena.it</v>
      </c>
      <c r="J897" s="12">
        <v>9062</v>
      </c>
      <c r="K897" s="12">
        <v>9062</v>
      </c>
      <c r="L897" s="13">
        <v>7930.7979999999998</v>
      </c>
      <c r="M897" s="12">
        <v>0.44700000000000001</v>
      </c>
      <c r="N897" s="12">
        <v>0.44700000000000001</v>
      </c>
      <c r="O897" s="12">
        <v>278.70800000000003</v>
      </c>
      <c r="P897" s="12">
        <v>33</v>
      </c>
      <c r="Q897" s="12">
        <v>33</v>
      </c>
      <c r="R897" s="12">
        <v>35</v>
      </c>
    </row>
    <row r="898" spans="1:18" ht="17" customHeight="1" x14ac:dyDescent="0.15">
      <c r="A898" s="8" t="s">
        <v>4772</v>
      </c>
      <c r="B898" s="9" t="s">
        <v>4773</v>
      </c>
      <c r="C898" s="8" t="s">
        <v>4774</v>
      </c>
      <c r="D898" s="8" t="s">
        <v>4774</v>
      </c>
      <c r="E898" s="8" t="s">
        <v>4775</v>
      </c>
      <c r="F898" s="8" t="s">
        <v>4776</v>
      </c>
      <c r="G898" s="8" t="s">
        <v>4777</v>
      </c>
      <c r="H898" s="8" t="s">
        <v>4771</v>
      </c>
      <c r="I898" s="8" t="str">
        <f>HYPERLINK("http://exingroup.it/","exingroup.it")</f>
        <v>exingroup.it</v>
      </c>
      <c r="J898" s="10">
        <v>11793.334000000001</v>
      </c>
      <c r="K898" s="10">
        <v>11793.334000000001</v>
      </c>
      <c r="L898" s="10">
        <v>7921.6149999999998</v>
      </c>
      <c r="M898" s="10">
        <v>971.58399999999995</v>
      </c>
      <c r="N898" s="10">
        <v>971.58399999999995</v>
      </c>
      <c r="O898" s="10">
        <v>509.67899999999997</v>
      </c>
      <c r="P898" s="10">
        <v>32</v>
      </c>
      <c r="Q898" s="10">
        <v>32</v>
      </c>
      <c r="R898" s="10">
        <v>35</v>
      </c>
    </row>
    <row r="899" spans="1:18" ht="17" customHeight="1" x14ac:dyDescent="0.15">
      <c r="A899" s="11" t="s">
        <v>4778</v>
      </c>
      <c r="B899" s="1" t="s">
        <v>4779</v>
      </c>
      <c r="C899" s="11" t="s">
        <v>4780</v>
      </c>
      <c r="D899" s="11" t="s">
        <v>4780</v>
      </c>
      <c r="E899" s="11" t="s">
        <v>4781</v>
      </c>
      <c r="F899" s="11" t="s">
        <v>4782</v>
      </c>
      <c r="G899" s="11" t="s">
        <v>4783</v>
      </c>
      <c r="H899" s="11" t="s">
        <v>4784</v>
      </c>
      <c r="I899" s="11" t="str">
        <f>HYPERLINK("http://www.villagroup.net/","www.villagroup.net")</f>
        <v>www.villagroup.net</v>
      </c>
      <c r="J899" s="12">
        <v>7080.8879999999999</v>
      </c>
      <c r="K899" s="12">
        <v>7080.8879999999999</v>
      </c>
      <c r="L899" s="13">
        <v>7906.5640000000003</v>
      </c>
      <c r="M899" s="12">
        <v>61.506999999999998</v>
      </c>
      <c r="N899" s="12">
        <v>61.506999999999998</v>
      </c>
      <c r="O899" s="12">
        <v>172.61699999999999</v>
      </c>
      <c r="P899" s="12">
        <v>5</v>
      </c>
      <c r="Q899" s="12">
        <v>5</v>
      </c>
      <c r="R899" s="12">
        <v>8</v>
      </c>
    </row>
    <row r="900" spans="1:18" ht="17" customHeight="1" x14ac:dyDescent="0.15">
      <c r="A900" s="8" t="s">
        <v>4785</v>
      </c>
      <c r="B900" s="9" t="s">
        <v>4786</v>
      </c>
      <c r="C900" s="8" t="s">
        <v>4787</v>
      </c>
      <c r="D900" s="8" t="s">
        <v>4788</v>
      </c>
      <c r="E900" s="8" t="s">
        <v>4789</v>
      </c>
      <c r="F900" s="8" t="s">
        <v>4790</v>
      </c>
      <c r="G900" s="8" t="s">
        <v>4791</v>
      </c>
      <c r="H900" s="8" t="s">
        <v>4792</v>
      </c>
      <c r="I900" s="8" t="str">
        <f>HYPERLINK("http://www.maglificiogottardi.it/","www.maglificiogottardi.it")</f>
        <v>www.maglificiogottardi.it</v>
      </c>
      <c r="J900" s="10">
        <v>6788.1490000000003</v>
      </c>
      <c r="K900" s="10">
        <v>6788.1490000000003</v>
      </c>
      <c r="L900" s="10">
        <v>7893.4359999999997</v>
      </c>
      <c r="M900" s="10">
        <v>-112.845</v>
      </c>
      <c r="N900" s="10">
        <v>-112.845</v>
      </c>
      <c r="O900" s="10">
        <v>15.385</v>
      </c>
      <c r="P900" s="15" t="s">
        <v>4793</v>
      </c>
      <c r="Q900" s="15" t="s">
        <v>4793</v>
      </c>
      <c r="R900" s="10">
        <v>15</v>
      </c>
    </row>
    <row r="901" spans="1:18" ht="17" customHeight="1" x14ac:dyDescent="0.15">
      <c r="A901" s="11" t="s">
        <v>4794</v>
      </c>
      <c r="B901" s="1" t="s">
        <v>4795</v>
      </c>
      <c r="C901" s="11" t="s">
        <v>4796</v>
      </c>
      <c r="D901" s="11" t="s">
        <v>4796</v>
      </c>
      <c r="E901" s="11" t="s">
        <v>4797</v>
      </c>
      <c r="F901" s="11" t="s">
        <v>4790</v>
      </c>
      <c r="G901" s="11" t="s">
        <v>4798</v>
      </c>
      <c r="H901" s="11" t="s">
        <v>4771</v>
      </c>
      <c r="I901" s="11" t="str">
        <f>HYPERLINK("http://www.creazionisonia.com/","www.creazionisonia.com")</f>
        <v>www.creazionisonia.com</v>
      </c>
      <c r="J901" s="12">
        <v>7868.4269999999997</v>
      </c>
      <c r="K901" s="12">
        <v>7868.4269999999997</v>
      </c>
      <c r="L901" s="13">
        <v>7864.73</v>
      </c>
      <c r="M901" s="12">
        <v>142.14400000000001</v>
      </c>
      <c r="N901" s="12">
        <v>142.14400000000001</v>
      </c>
      <c r="O901" s="12">
        <v>147.77799999999999</v>
      </c>
      <c r="P901" s="12">
        <v>16</v>
      </c>
      <c r="Q901" s="12">
        <v>16</v>
      </c>
      <c r="R901" s="12">
        <v>17</v>
      </c>
    </row>
    <row r="902" spans="1:18" ht="29.5" customHeight="1" x14ac:dyDescent="0.15">
      <c r="A902" s="8" t="s">
        <v>4799</v>
      </c>
      <c r="B902" s="9" t="s">
        <v>4800</v>
      </c>
      <c r="C902" s="8" t="s">
        <v>4801</v>
      </c>
      <c r="D902" s="8" t="s">
        <v>4801</v>
      </c>
      <c r="E902" s="8" t="s">
        <v>4802</v>
      </c>
      <c r="F902" s="8" t="s">
        <v>4803</v>
      </c>
      <c r="G902" s="8" t="s">
        <v>4804</v>
      </c>
      <c r="H902" s="8" t="s">
        <v>4805</v>
      </c>
      <c r="I902" s="8" t="str">
        <f>HYPERLINK("http://www.portlands.it/","www.portlands.it")</f>
        <v>www.portlands.it</v>
      </c>
      <c r="J902" s="10">
        <v>8970.7450000000008</v>
      </c>
      <c r="K902" s="10">
        <v>8970.7450000000008</v>
      </c>
      <c r="L902" s="10">
        <v>7849.5879999999997</v>
      </c>
      <c r="M902" s="10">
        <v>383.4</v>
      </c>
      <c r="N902" s="10">
        <v>383.4</v>
      </c>
      <c r="O902" s="10">
        <v>364.30900000000003</v>
      </c>
      <c r="P902" s="10">
        <v>39</v>
      </c>
      <c r="Q902" s="10">
        <v>39</v>
      </c>
      <c r="R902" s="10">
        <v>47</v>
      </c>
    </row>
    <row r="903" spans="1:18" ht="29.5" customHeight="1" x14ac:dyDescent="0.15">
      <c r="A903" s="11" t="s">
        <v>4806</v>
      </c>
      <c r="B903" s="1" t="s">
        <v>4807</v>
      </c>
      <c r="C903" s="11" t="s">
        <v>4808</v>
      </c>
      <c r="D903" s="11" t="s">
        <v>4808</v>
      </c>
      <c r="E903" s="11" t="s">
        <v>4809</v>
      </c>
      <c r="F903" s="11" t="s">
        <v>4810</v>
      </c>
      <c r="G903" s="11" t="s">
        <v>4811</v>
      </c>
      <c r="H903" s="11" t="s">
        <v>4771</v>
      </c>
      <c r="I903" s="11" t="str">
        <f>HYPERLINK("http://www.martinipio.it/","http://www.martinipio.it")</f>
        <v>http://www.martinipio.it</v>
      </c>
      <c r="J903" s="12">
        <v>5529.0020000000004</v>
      </c>
      <c r="K903" s="12">
        <v>5529.0020000000004</v>
      </c>
      <c r="L903" s="13">
        <v>7843.9660000000003</v>
      </c>
      <c r="M903" s="12">
        <v>53.206000000000003</v>
      </c>
      <c r="N903" s="12">
        <v>53.206000000000003</v>
      </c>
      <c r="O903" s="12">
        <v>123.583</v>
      </c>
      <c r="P903" s="12">
        <v>25</v>
      </c>
      <c r="Q903" s="12">
        <v>25</v>
      </c>
      <c r="R903" s="12">
        <v>25</v>
      </c>
    </row>
    <row r="904" spans="1:18" ht="17" customHeight="1" x14ac:dyDescent="0.15">
      <c r="A904" s="8" t="s">
        <v>4812</v>
      </c>
      <c r="B904" s="9" t="s">
        <v>4813</v>
      </c>
      <c r="C904" s="8" t="s">
        <v>4814</v>
      </c>
      <c r="D904" s="8" t="s">
        <v>4814</v>
      </c>
      <c r="E904" s="8" t="s">
        <v>4815</v>
      </c>
      <c r="F904" s="8" t="s">
        <v>4790</v>
      </c>
      <c r="G904" s="8" t="s">
        <v>4816</v>
      </c>
      <c r="H904" s="8" t="s">
        <v>4817</v>
      </c>
      <c r="I904" s="8" t="str">
        <f>HYPERLINK("http://salgari.it/","salgari.it")</f>
        <v>salgari.it</v>
      </c>
      <c r="J904" s="10">
        <v>6071.8130000000001</v>
      </c>
      <c r="K904" s="10">
        <v>6071.8130000000001</v>
      </c>
      <c r="L904" s="10">
        <v>7839.0420000000004</v>
      </c>
      <c r="M904" s="10">
        <v>13.738</v>
      </c>
      <c r="N904" s="10">
        <v>13.738</v>
      </c>
      <c r="O904" s="10">
        <v>3.5640000000000001</v>
      </c>
      <c r="P904" s="10">
        <v>19</v>
      </c>
      <c r="Q904" s="10">
        <v>19</v>
      </c>
      <c r="R904" s="10">
        <v>14</v>
      </c>
    </row>
    <row r="905" spans="1:18" ht="29.5" customHeight="1" x14ac:dyDescent="0.15">
      <c r="A905" s="11" t="s">
        <v>4818</v>
      </c>
      <c r="B905" s="1" t="s">
        <v>4819</v>
      </c>
      <c r="C905" s="11" t="s">
        <v>4820</v>
      </c>
      <c r="D905" s="11" t="s">
        <v>4821</v>
      </c>
      <c r="E905" s="11" t="s">
        <v>4822</v>
      </c>
      <c r="F905" s="11" t="s">
        <v>4782</v>
      </c>
      <c r="G905" s="11" t="s">
        <v>4823</v>
      </c>
      <c r="H905" s="11" t="s">
        <v>4824</v>
      </c>
      <c r="I905" s="11" t="str">
        <f>HYPERLINK("http://www.lewer.it/","www.lewer.it")</f>
        <v>www.lewer.it</v>
      </c>
      <c r="J905" s="12">
        <v>8953.7369999999992</v>
      </c>
      <c r="K905" s="12">
        <v>8953.7369999999992</v>
      </c>
      <c r="L905" s="13">
        <v>7805.8040000000001</v>
      </c>
      <c r="M905" s="12">
        <v>673.58</v>
      </c>
      <c r="N905" s="12">
        <v>673.58</v>
      </c>
      <c r="O905" s="12">
        <v>788.31799999999998</v>
      </c>
      <c r="P905" s="14" t="s">
        <v>4793</v>
      </c>
      <c r="Q905" s="14" t="s">
        <v>4793</v>
      </c>
      <c r="R905" s="12">
        <v>31</v>
      </c>
    </row>
    <row r="906" spans="1:18" ht="29.5" customHeight="1" x14ac:dyDescent="0.15">
      <c r="A906" s="8" t="s">
        <v>4825</v>
      </c>
      <c r="B906" s="9" t="s">
        <v>4826</v>
      </c>
      <c r="C906" s="8" t="s">
        <v>4827</v>
      </c>
      <c r="D906" s="8" t="s">
        <v>4827</v>
      </c>
      <c r="E906" s="8" t="s">
        <v>4828</v>
      </c>
      <c r="F906" s="8" t="s">
        <v>4829</v>
      </c>
      <c r="G906" s="8" t="s">
        <v>4830</v>
      </c>
      <c r="H906" s="8" t="s">
        <v>4831</v>
      </c>
      <c r="I906" s="8" t="str">
        <f>HYPERLINK("http://www.berryadams.it/","www.berryadams.it")</f>
        <v>www.berryadams.it</v>
      </c>
      <c r="J906" s="10">
        <v>10366.99</v>
      </c>
      <c r="K906" s="10">
        <v>10366.99</v>
      </c>
      <c r="L906" s="10">
        <v>7798.8680000000004</v>
      </c>
      <c r="M906" s="10">
        <v>142.36099999999999</v>
      </c>
      <c r="N906" s="10">
        <v>142.36099999999999</v>
      </c>
      <c r="O906" s="10">
        <v>81.001999999999995</v>
      </c>
      <c r="P906" s="10">
        <v>33</v>
      </c>
      <c r="Q906" s="10">
        <v>33</v>
      </c>
      <c r="R906" s="10">
        <v>33</v>
      </c>
    </row>
    <row r="907" spans="1:18" ht="29.5" customHeight="1" x14ac:dyDescent="0.15">
      <c r="A907" s="11" t="s">
        <v>4832</v>
      </c>
      <c r="B907" s="1" t="s">
        <v>4833</v>
      </c>
      <c r="C907" s="11" t="s">
        <v>4834</v>
      </c>
      <c r="D907" s="11" t="s">
        <v>4834</v>
      </c>
      <c r="E907" s="11" t="s">
        <v>4835</v>
      </c>
      <c r="F907" s="11" t="s">
        <v>4782</v>
      </c>
      <c r="G907" s="11" t="s">
        <v>4811</v>
      </c>
      <c r="H907" s="11" t="s">
        <v>4771</v>
      </c>
      <c r="I907" s="11" t="str">
        <f>HYPERLINK("http://www.ambracalzaturificio.it/","www.ambracalzaturificio.it")</f>
        <v>www.ambracalzaturificio.it</v>
      </c>
      <c r="J907" s="12">
        <v>7834.3789999999999</v>
      </c>
      <c r="K907" s="12">
        <v>7834.3789999999999</v>
      </c>
      <c r="L907" s="13">
        <v>7791.9610000000002</v>
      </c>
      <c r="M907" s="12">
        <v>349.55500000000001</v>
      </c>
      <c r="N907" s="12">
        <v>349.55500000000001</v>
      </c>
      <c r="O907" s="12">
        <v>410.10500000000002</v>
      </c>
      <c r="P907" s="12">
        <v>25</v>
      </c>
      <c r="Q907" s="12">
        <v>25</v>
      </c>
      <c r="R907" s="12">
        <v>27</v>
      </c>
    </row>
    <row r="908" spans="1:18" ht="17" customHeight="1" x14ac:dyDescent="0.15">
      <c r="A908" s="8" t="s">
        <v>4836</v>
      </c>
      <c r="B908" s="9" t="s">
        <v>4837</v>
      </c>
      <c r="C908" s="8" t="s">
        <v>4838</v>
      </c>
      <c r="D908" s="8" t="s">
        <v>4838</v>
      </c>
      <c r="E908" s="8" t="s">
        <v>4839</v>
      </c>
      <c r="F908" s="8" t="s">
        <v>4840</v>
      </c>
      <c r="G908" s="8" t="s">
        <v>4841</v>
      </c>
      <c r="H908" s="8" t="s">
        <v>4805</v>
      </c>
      <c r="I908" s="8" t="str">
        <f>HYPERLINK("http://eddyricami.it/","eddyricami.it")</f>
        <v>eddyricami.it</v>
      </c>
      <c r="J908" s="10">
        <v>5317.6589999999997</v>
      </c>
      <c r="K908" s="10">
        <v>5317.6589999999997</v>
      </c>
      <c r="L908" s="10">
        <v>7785.5510000000004</v>
      </c>
      <c r="M908" s="10">
        <v>-306.44400000000002</v>
      </c>
      <c r="N908" s="10">
        <v>-306.44400000000002</v>
      </c>
      <c r="O908" s="10">
        <v>241.393</v>
      </c>
      <c r="P908" s="10">
        <v>63</v>
      </c>
      <c r="Q908" s="10">
        <v>63</v>
      </c>
      <c r="R908" s="10">
        <v>67</v>
      </c>
    </row>
    <row r="909" spans="1:18" ht="17" customHeight="1" x14ac:dyDescent="0.15">
      <c r="A909" s="11" t="s">
        <v>4842</v>
      </c>
      <c r="B909" s="1" t="s">
        <v>4843</v>
      </c>
      <c r="C909" s="11" t="s">
        <v>4844</v>
      </c>
      <c r="D909" s="11" t="s">
        <v>4844</v>
      </c>
      <c r="E909" s="11" t="s">
        <v>4845</v>
      </c>
      <c r="F909" s="11" t="s">
        <v>4810</v>
      </c>
      <c r="G909" s="11" t="s">
        <v>4811</v>
      </c>
      <c r="H909" s="11" t="s">
        <v>4771</v>
      </c>
      <c r="I909" s="11" t="str">
        <f>HYPERLINK("http://www.laquerce.it/","www.laquerce.it")</f>
        <v>www.laquerce.it</v>
      </c>
      <c r="J909" s="12">
        <v>7094.3379999999997</v>
      </c>
      <c r="K909" s="12">
        <v>7094.3379999999997</v>
      </c>
      <c r="L909" s="13">
        <v>7781.5659999999998</v>
      </c>
      <c r="M909" s="12">
        <v>106.29900000000001</v>
      </c>
      <c r="N909" s="12">
        <v>106.29900000000001</v>
      </c>
      <c r="O909" s="12">
        <v>197.68</v>
      </c>
      <c r="P909" s="12">
        <v>13</v>
      </c>
      <c r="Q909" s="12">
        <v>13</v>
      </c>
      <c r="R909" s="12">
        <v>12</v>
      </c>
    </row>
    <row r="910" spans="1:18" ht="17" customHeight="1" x14ac:dyDescent="0.15">
      <c r="A910" s="8" t="s">
        <v>4846</v>
      </c>
      <c r="B910" s="9" t="s">
        <v>4847</v>
      </c>
      <c r="C910" s="8" t="s">
        <v>4848</v>
      </c>
      <c r="D910" s="8" t="s">
        <v>4848</v>
      </c>
      <c r="E910" s="8" t="s">
        <v>4849</v>
      </c>
      <c r="F910" s="8" t="s">
        <v>4790</v>
      </c>
      <c r="G910" s="8" t="s">
        <v>4770</v>
      </c>
      <c r="H910" s="8" t="s">
        <v>4771</v>
      </c>
      <c r="I910" s="8" t="str">
        <f>HYPERLINK("http://bmasansepolcro.com/","bmasansepolcro.com")</f>
        <v>bmasansepolcro.com</v>
      </c>
      <c r="J910" s="10">
        <v>11632.89</v>
      </c>
      <c r="K910" s="10">
        <v>11632.89</v>
      </c>
      <c r="L910" s="10">
        <v>7781.165</v>
      </c>
      <c r="M910" s="10">
        <v>926.89099999999996</v>
      </c>
      <c r="N910" s="10">
        <v>926.89099999999996</v>
      </c>
      <c r="O910" s="10">
        <v>61.603000000000002</v>
      </c>
      <c r="P910" s="10">
        <v>87</v>
      </c>
      <c r="Q910" s="10">
        <v>87</v>
      </c>
      <c r="R910" s="10">
        <v>77</v>
      </c>
    </row>
    <row r="911" spans="1:18" ht="17" customHeight="1" x14ac:dyDescent="0.15">
      <c r="A911" s="11" t="s">
        <v>4850</v>
      </c>
      <c r="B911" s="1" t="s">
        <v>4851</v>
      </c>
      <c r="C911" s="11" t="s">
        <v>4852</v>
      </c>
      <c r="D911" s="11" t="s">
        <v>4852</v>
      </c>
      <c r="E911" s="11" t="s">
        <v>4853</v>
      </c>
      <c r="F911" s="11" t="s">
        <v>4854</v>
      </c>
      <c r="G911" s="11" t="s">
        <v>4855</v>
      </c>
      <c r="H911" s="11" t="s">
        <v>4784</v>
      </c>
      <c r="I911" s="11" t="str">
        <f>HYPERLINK("http://stamperiaellebi.it/","stamperiaellebi.it")</f>
        <v>stamperiaellebi.it</v>
      </c>
      <c r="J911" s="12">
        <v>6674.0870000000004</v>
      </c>
      <c r="K911" s="12">
        <v>6674.0870000000004</v>
      </c>
      <c r="L911" s="13">
        <v>7779.6030000000001</v>
      </c>
      <c r="M911" s="12">
        <v>550.399</v>
      </c>
      <c r="N911" s="12">
        <v>550.399</v>
      </c>
      <c r="O911" s="12">
        <v>712.17399999999998</v>
      </c>
      <c r="P911" s="12">
        <v>66</v>
      </c>
      <c r="Q911" s="12">
        <v>66</v>
      </c>
      <c r="R911" s="12">
        <v>62</v>
      </c>
    </row>
    <row r="912" spans="1:18" ht="29.5" customHeight="1" x14ac:dyDescent="0.15">
      <c r="A912" s="8" t="s">
        <v>4856</v>
      </c>
      <c r="B912" s="9" t="s">
        <v>4857</v>
      </c>
      <c r="C912" s="8" t="s">
        <v>4858</v>
      </c>
      <c r="D912" s="8" t="s">
        <v>4858</v>
      </c>
      <c r="E912" s="8" t="s">
        <v>4859</v>
      </c>
      <c r="F912" s="8" t="s">
        <v>4782</v>
      </c>
      <c r="G912" s="8" t="s">
        <v>4777</v>
      </c>
      <c r="H912" s="8" t="s">
        <v>4771</v>
      </c>
      <c r="I912" s="8" t="str">
        <f>HYPERLINK("http://www.calzcarisma.com/","www.calzcarisma.com")</f>
        <v>www.calzcarisma.com</v>
      </c>
      <c r="J912" s="10">
        <v>6632.6030000000001</v>
      </c>
      <c r="K912" s="10">
        <v>6632.6030000000001</v>
      </c>
      <c r="L912" s="10">
        <v>7768.424</v>
      </c>
      <c r="M912" s="10">
        <v>-312.66699999999997</v>
      </c>
      <c r="N912" s="10">
        <v>-312.66699999999997</v>
      </c>
      <c r="O912" s="10">
        <v>52.457000000000001</v>
      </c>
      <c r="P912" s="10">
        <v>41</v>
      </c>
      <c r="Q912" s="10">
        <v>41</v>
      </c>
      <c r="R912" s="10">
        <v>45</v>
      </c>
    </row>
    <row r="913" spans="1:18" ht="17" customHeight="1" x14ac:dyDescent="0.15">
      <c r="A913" s="11" t="s">
        <v>4860</v>
      </c>
      <c r="B913" s="1" t="s">
        <v>4861</v>
      </c>
      <c r="C913" s="11" t="s">
        <v>4862</v>
      </c>
      <c r="D913" s="11" t="s">
        <v>4862</v>
      </c>
      <c r="E913" s="11" t="s">
        <v>4863</v>
      </c>
      <c r="F913" s="11" t="s">
        <v>4854</v>
      </c>
      <c r="G913" s="11" t="s">
        <v>4830</v>
      </c>
      <c r="H913" s="11" t="s">
        <v>4831</v>
      </c>
      <c r="I913" s="11" t="str">
        <f>HYPERLINK("http://www.desa.srl/","www.desa.srl")</f>
        <v>www.desa.srl</v>
      </c>
      <c r="J913" s="12">
        <v>7076.4880000000003</v>
      </c>
      <c r="K913" s="12">
        <v>7076.4880000000003</v>
      </c>
      <c r="L913" s="13">
        <v>7727.72</v>
      </c>
      <c r="M913" s="12">
        <v>72.227999999999994</v>
      </c>
      <c r="N913" s="12">
        <v>72.227999999999994</v>
      </c>
      <c r="O913" s="12">
        <v>158.453</v>
      </c>
      <c r="P913" s="12">
        <v>37</v>
      </c>
      <c r="Q913" s="12">
        <v>37</v>
      </c>
      <c r="R913" s="12">
        <v>30</v>
      </c>
    </row>
    <row r="914" spans="1:18" ht="17" customHeight="1" x14ac:dyDescent="0.15">
      <c r="A914" s="8" t="s">
        <v>4864</v>
      </c>
      <c r="B914" s="9" t="s">
        <v>4865</v>
      </c>
      <c r="C914" s="8" t="s">
        <v>4866</v>
      </c>
      <c r="D914" s="8" t="s">
        <v>4866</v>
      </c>
      <c r="E914" s="8" t="s">
        <v>4867</v>
      </c>
      <c r="F914" s="8" t="s">
        <v>4782</v>
      </c>
      <c r="G914" s="8" t="s">
        <v>4841</v>
      </c>
      <c r="H914" s="8" t="s">
        <v>4805</v>
      </c>
      <c r="I914" s="8" t="str">
        <f>HYPERLINK("http://romagnoli.com/","romagnoli.com")</f>
        <v>romagnoli.com</v>
      </c>
      <c r="J914" s="10">
        <v>6900.3720000000003</v>
      </c>
      <c r="K914" s="10">
        <v>6900.3720000000003</v>
      </c>
      <c r="L914" s="10">
        <v>7686.9309999999996</v>
      </c>
      <c r="M914" s="10">
        <v>256.85000000000002</v>
      </c>
      <c r="N914" s="10">
        <v>256.85000000000002</v>
      </c>
      <c r="O914" s="10">
        <v>334.70100000000002</v>
      </c>
      <c r="P914" s="15" t="s">
        <v>4793</v>
      </c>
      <c r="Q914" s="15" t="s">
        <v>4793</v>
      </c>
      <c r="R914" s="10">
        <v>42</v>
      </c>
    </row>
    <row r="915" spans="1:18" ht="17" customHeight="1" x14ac:dyDescent="0.15">
      <c r="A915" s="11" t="s">
        <v>4868</v>
      </c>
      <c r="B915" s="1" t="s">
        <v>4869</v>
      </c>
      <c r="C915" s="11" t="s">
        <v>4870</v>
      </c>
      <c r="D915" s="11" t="s">
        <v>4870</v>
      </c>
      <c r="E915" s="11" t="s">
        <v>4871</v>
      </c>
      <c r="F915" s="11" t="s">
        <v>4872</v>
      </c>
      <c r="G915" s="11" t="s">
        <v>4873</v>
      </c>
      <c r="H915" s="11" t="s">
        <v>4784</v>
      </c>
      <c r="I915" s="11" t="str">
        <f>HYPERLINK("http://www.calzebc.com/","www.calzebc.com")</f>
        <v>www.calzebc.com</v>
      </c>
      <c r="J915" s="12">
        <v>10178.61</v>
      </c>
      <c r="K915" s="12">
        <v>10178.61</v>
      </c>
      <c r="L915" s="13">
        <v>7686.2780000000002</v>
      </c>
      <c r="M915" s="12">
        <v>185.155</v>
      </c>
      <c r="N915" s="12">
        <v>185.155</v>
      </c>
      <c r="O915" s="12">
        <v>9.15</v>
      </c>
      <c r="P915" s="12">
        <v>77</v>
      </c>
      <c r="Q915" s="12">
        <v>77</v>
      </c>
      <c r="R915" s="12">
        <v>71</v>
      </c>
    </row>
    <row r="916" spans="1:18" ht="29.5" customHeight="1" x14ac:dyDescent="0.15">
      <c r="A916" s="8" t="s">
        <v>4874</v>
      </c>
      <c r="B916" s="9" t="s">
        <v>4875</v>
      </c>
      <c r="C916" s="8" t="s">
        <v>4876</v>
      </c>
      <c r="D916" s="8" t="s">
        <v>4876</v>
      </c>
      <c r="E916" s="8" t="s">
        <v>4877</v>
      </c>
      <c r="F916" s="8" t="s">
        <v>4810</v>
      </c>
      <c r="G916" s="8" t="s">
        <v>4811</v>
      </c>
      <c r="H916" s="8" t="s">
        <v>4771</v>
      </c>
      <c r="I916" s="8" t="str">
        <f>HYPERLINK("http://www.lesrivesconceria.it/","www.lesrivesconceria.it")</f>
        <v>www.lesrivesconceria.it</v>
      </c>
      <c r="J916" s="10">
        <v>4306.4089999999997</v>
      </c>
      <c r="K916" s="10">
        <v>4306.4089999999997</v>
      </c>
      <c r="L916" s="10">
        <v>7680.9639999999999</v>
      </c>
      <c r="M916" s="10">
        <v>-127.43899999999999</v>
      </c>
      <c r="N916" s="10">
        <v>-127.43899999999999</v>
      </c>
      <c r="O916" s="10">
        <v>443.02100000000002</v>
      </c>
      <c r="P916" s="10">
        <v>12</v>
      </c>
      <c r="Q916" s="10">
        <v>12</v>
      </c>
      <c r="R916" s="10">
        <v>13</v>
      </c>
    </row>
    <row r="917" spans="1:18" ht="17" customHeight="1" x14ac:dyDescent="0.15">
      <c r="A917" s="11" t="s">
        <v>4878</v>
      </c>
      <c r="B917" s="1" t="s">
        <v>4879</v>
      </c>
      <c r="C917" s="11" t="s">
        <v>4880</v>
      </c>
      <c r="D917" s="11" t="s">
        <v>4880</v>
      </c>
      <c r="E917" s="11" t="s">
        <v>4881</v>
      </c>
      <c r="F917" s="11" t="s">
        <v>4782</v>
      </c>
      <c r="G917" s="11" t="s">
        <v>4882</v>
      </c>
      <c r="H917" s="11" t="s">
        <v>4883</v>
      </c>
      <c r="I917" s="11" t="str">
        <f>HYPERLINK("http://www.calzaturificiomgt.com/","http://www.calzaturificiomgt.com")</f>
        <v>http://www.calzaturificiomgt.com</v>
      </c>
      <c r="J917" s="12">
        <v>8660.5059999999994</v>
      </c>
      <c r="K917" s="12">
        <v>8660.5059999999994</v>
      </c>
      <c r="L917" s="13">
        <v>7673.3180000000002</v>
      </c>
      <c r="M917" s="12">
        <v>31.581</v>
      </c>
      <c r="N917" s="12">
        <v>31.581</v>
      </c>
      <c r="O917" s="12">
        <v>14.676</v>
      </c>
      <c r="P917" s="14" t="s">
        <v>4793</v>
      </c>
      <c r="Q917" s="14" t="s">
        <v>4793</v>
      </c>
      <c r="R917" s="12">
        <v>50</v>
      </c>
    </row>
    <row r="918" spans="1:18" ht="17" customHeight="1" x14ac:dyDescent="0.15">
      <c r="A918" s="8" t="s">
        <v>4884</v>
      </c>
      <c r="B918" s="9" t="s">
        <v>4885</v>
      </c>
      <c r="C918" s="8" t="s">
        <v>4886</v>
      </c>
      <c r="D918" s="8" t="s">
        <v>4886</v>
      </c>
      <c r="E918" s="8" t="s">
        <v>4887</v>
      </c>
      <c r="F918" s="8" t="s">
        <v>4888</v>
      </c>
      <c r="G918" s="8" t="s">
        <v>4889</v>
      </c>
      <c r="H918" s="8" t="s">
        <v>4784</v>
      </c>
      <c r="I918" s="8" t="str">
        <f>HYPERLINK("http://www.j-val.com/","www.j-val.com")</f>
        <v>www.j-val.com</v>
      </c>
      <c r="J918" s="10">
        <v>8791.0830000000005</v>
      </c>
      <c r="K918" s="10">
        <v>8791.0830000000005</v>
      </c>
      <c r="L918" s="10">
        <v>7664.9120000000003</v>
      </c>
      <c r="M918" s="10">
        <v>682.09</v>
      </c>
      <c r="N918" s="10">
        <v>682.09</v>
      </c>
      <c r="O918" s="10">
        <v>728.18200000000002</v>
      </c>
      <c r="P918" s="10">
        <v>33</v>
      </c>
      <c r="Q918" s="10">
        <v>33</v>
      </c>
      <c r="R918" s="10">
        <v>33</v>
      </c>
    </row>
    <row r="919" spans="1:18" ht="17" customHeight="1" x14ac:dyDescent="0.15">
      <c r="A919" s="11" t="s">
        <v>4890</v>
      </c>
      <c r="B919" s="1" t="s">
        <v>4891</v>
      </c>
      <c r="C919" s="11" t="s">
        <v>4892</v>
      </c>
      <c r="D919" s="11" t="s">
        <v>4892</v>
      </c>
      <c r="E919" s="11" t="s">
        <v>4893</v>
      </c>
      <c r="F919" s="11" t="s">
        <v>4810</v>
      </c>
      <c r="G919" s="11" t="s">
        <v>4811</v>
      </c>
      <c r="H919" s="11" t="s">
        <v>4771</v>
      </c>
      <c r="I919" s="11" t="str">
        <f>HYPERLINK("http://www.orice.com/","www.orice.com")</f>
        <v>www.orice.com</v>
      </c>
      <c r="J919" s="12">
        <v>5326.1859999999997</v>
      </c>
      <c r="K919" s="12">
        <v>5326.1859999999997</v>
      </c>
      <c r="L919" s="13">
        <v>7659.09</v>
      </c>
      <c r="M919" s="12">
        <v>106.872</v>
      </c>
      <c r="N919" s="12">
        <v>106.872</v>
      </c>
      <c r="O919" s="12">
        <v>46.244999999999997</v>
      </c>
      <c r="P919" s="12">
        <v>12</v>
      </c>
      <c r="Q919" s="12">
        <v>12</v>
      </c>
      <c r="R919" s="12">
        <v>12</v>
      </c>
    </row>
    <row r="920" spans="1:18" ht="29.5" customHeight="1" x14ac:dyDescent="0.15">
      <c r="A920" s="8" t="s">
        <v>4894</v>
      </c>
      <c r="B920" s="9" t="s">
        <v>4895</v>
      </c>
      <c r="C920" s="8" t="s">
        <v>4896</v>
      </c>
      <c r="D920" s="8" t="s">
        <v>4896</v>
      </c>
      <c r="E920" s="8" t="s">
        <v>4897</v>
      </c>
      <c r="F920" s="8" t="s">
        <v>4840</v>
      </c>
      <c r="G920" s="8" t="s">
        <v>4898</v>
      </c>
      <c r="H920" s="8" t="s">
        <v>4784</v>
      </c>
      <c r="I920" s="8" t="str">
        <f>HYPERLINK("http://tvcgroup.it/","tvcgroup.it")</f>
        <v>tvcgroup.it</v>
      </c>
      <c r="J920" s="10">
        <v>5236.4620000000004</v>
      </c>
      <c r="K920" s="10">
        <v>5236.4620000000004</v>
      </c>
      <c r="L920" s="10">
        <v>7653.4690000000001</v>
      </c>
      <c r="M920" s="10">
        <v>152.10599999999999</v>
      </c>
      <c r="N920" s="10">
        <v>152.10599999999999</v>
      </c>
      <c r="O920" s="10">
        <v>691.58199999999999</v>
      </c>
      <c r="P920" s="10">
        <v>31</v>
      </c>
      <c r="Q920" s="10">
        <v>31</v>
      </c>
      <c r="R920" s="10">
        <v>31</v>
      </c>
    </row>
    <row r="921" spans="1:18" ht="29.5" customHeight="1" x14ac:dyDescent="0.15">
      <c r="A921" s="11" t="s">
        <v>4899</v>
      </c>
      <c r="B921" s="1" t="s">
        <v>4900</v>
      </c>
      <c r="C921" s="11" t="s">
        <v>4901</v>
      </c>
      <c r="D921" s="11" t="s">
        <v>4901</v>
      </c>
      <c r="E921" s="11" t="s">
        <v>4902</v>
      </c>
      <c r="F921" s="11" t="s">
        <v>4776</v>
      </c>
      <c r="G921" s="11" t="s">
        <v>4798</v>
      </c>
      <c r="H921" s="11" t="s">
        <v>4771</v>
      </c>
      <c r="I921" s="11" t="str">
        <f>HYPERLINK("http://www.florenceluxuryleather.it/","www.florenceluxuryleather.it")</f>
        <v>www.florenceluxuryleather.it</v>
      </c>
      <c r="J921" s="12">
        <v>7011.473</v>
      </c>
      <c r="K921" s="12">
        <v>7011.473</v>
      </c>
      <c r="L921" s="13">
        <v>7651.81</v>
      </c>
      <c r="M921" s="12">
        <v>132.55099999999999</v>
      </c>
      <c r="N921" s="12">
        <v>132.55099999999999</v>
      </c>
      <c r="O921" s="12">
        <v>112.086</v>
      </c>
      <c r="P921" s="12">
        <v>30</v>
      </c>
      <c r="Q921" s="12">
        <v>30</v>
      </c>
      <c r="R921" s="12">
        <v>31</v>
      </c>
    </row>
    <row r="922" spans="1:18" ht="17" customHeight="1" x14ac:dyDescent="0.15">
      <c r="A922" s="8" t="s">
        <v>4903</v>
      </c>
      <c r="B922" s="9" t="s">
        <v>4904</v>
      </c>
      <c r="C922" s="8" t="s">
        <v>4905</v>
      </c>
      <c r="D922" s="8" t="s">
        <v>4905</v>
      </c>
      <c r="E922" s="8" t="s">
        <v>4906</v>
      </c>
      <c r="F922" s="8" t="s">
        <v>4907</v>
      </c>
      <c r="G922" s="8" t="s">
        <v>4798</v>
      </c>
      <c r="H922" s="8" t="s">
        <v>4771</v>
      </c>
      <c r="I922" s="8" t="str">
        <f>HYPERLINK("http://www.anycasefashion.it/","www.anycasefashion.it")</f>
        <v>www.anycasefashion.it</v>
      </c>
      <c r="J922" s="10">
        <v>7619.1130000000003</v>
      </c>
      <c r="K922" s="10">
        <v>7619.1130000000003</v>
      </c>
      <c r="L922" s="10">
        <v>7648.8860000000004</v>
      </c>
      <c r="M922" s="10">
        <v>63.863999999999997</v>
      </c>
      <c r="N922" s="10">
        <v>63.863999999999997</v>
      </c>
      <c r="O922" s="10">
        <v>300.47800000000001</v>
      </c>
      <c r="P922" s="10">
        <v>15</v>
      </c>
      <c r="Q922" s="10">
        <v>15</v>
      </c>
      <c r="R922" s="10">
        <v>19</v>
      </c>
    </row>
    <row r="923" spans="1:18" ht="17" customHeight="1" x14ac:dyDescent="0.15">
      <c r="A923" s="11" t="s">
        <v>4908</v>
      </c>
      <c r="B923" s="1" t="s">
        <v>4909</v>
      </c>
      <c r="C923" s="11" t="s">
        <v>4910</v>
      </c>
      <c r="D923" s="11" t="s">
        <v>4910</v>
      </c>
      <c r="E923" s="11" t="s">
        <v>4911</v>
      </c>
      <c r="F923" s="11" t="s">
        <v>4803</v>
      </c>
      <c r="G923" s="11" t="s">
        <v>4777</v>
      </c>
      <c r="H923" s="11" t="s">
        <v>4771</v>
      </c>
      <c r="I923" s="11" t="str">
        <f>HYPERLINK("http://www.calzaturificiovictor.it/","www.calzaturificiovictor.it")</f>
        <v>www.calzaturificiovictor.it</v>
      </c>
      <c r="J923" s="12">
        <v>8579.0990000000002</v>
      </c>
      <c r="K923" s="12">
        <v>8579.0990000000002</v>
      </c>
      <c r="L923" s="13">
        <v>7642.5879999999997</v>
      </c>
      <c r="M923" s="12">
        <v>561.43899999999996</v>
      </c>
      <c r="N923" s="12">
        <v>561.43899999999996</v>
      </c>
      <c r="O923" s="12">
        <v>389.31200000000001</v>
      </c>
      <c r="P923" s="12">
        <v>43</v>
      </c>
      <c r="Q923" s="12">
        <v>43</v>
      </c>
      <c r="R923" s="12">
        <v>45</v>
      </c>
    </row>
    <row r="924" spans="1:18" ht="17" customHeight="1" x14ac:dyDescent="0.15">
      <c r="A924" s="8" t="s">
        <v>4912</v>
      </c>
      <c r="B924" s="9" t="s">
        <v>4913</v>
      </c>
      <c r="C924" s="8" t="s">
        <v>4914</v>
      </c>
      <c r="D924" s="8" t="s">
        <v>4914</v>
      </c>
      <c r="E924" s="8" t="s">
        <v>4915</v>
      </c>
      <c r="F924" s="8" t="s">
        <v>4888</v>
      </c>
      <c r="G924" s="8" t="s">
        <v>4798</v>
      </c>
      <c r="H924" s="8" t="s">
        <v>4771</v>
      </c>
      <c r="I924" s="8" t="str">
        <f>HYPERLINK("http://www.marf.passweb.it/","www.marf.passweb.it")</f>
        <v>www.marf.passweb.it</v>
      </c>
      <c r="J924" s="10">
        <v>8922.7430000000004</v>
      </c>
      <c r="K924" s="10">
        <v>8922.7430000000004</v>
      </c>
      <c r="L924" s="10">
        <v>7636.5910000000003</v>
      </c>
      <c r="M924" s="10">
        <v>105.636</v>
      </c>
      <c r="N924" s="10">
        <v>105.636</v>
      </c>
      <c r="O924" s="10">
        <v>125.123</v>
      </c>
      <c r="P924" s="15" t="s">
        <v>4793</v>
      </c>
      <c r="Q924" s="15" t="s">
        <v>4793</v>
      </c>
      <c r="R924" s="10">
        <v>14</v>
      </c>
    </row>
    <row r="925" spans="1:18" ht="17" customHeight="1" x14ac:dyDescent="0.15">
      <c r="A925" s="11" t="s">
        <v>4916</v>
      </c>
      <c r="B925" s="1" t="s">
        <v>4917</v>
      </c>
      <c r="C925" s="11" t="s">
        <v>4918</v>
      </c>
      <c r="D925" s="11" t="s">
        <v>4918</v>
      </c>
      <c r="E925" s="11" t="s">
        <v>4919</v>
      </c>
      <c r="F925" s="11" t="s">
        <v>4810</v>
      </c>
      <c r="G925" s="11" t="s">
        <v>4841</v>
      </c>
      <c r="H925" s="11" t="s">
        <v>4805</v>
      </c>
      <c r="I925" s="11" t="str">
        <f>HYPERLINK("http://valleesina.it/","valleesina.it")</f>
        <v>valleesina.it</v>
      </c>
      <c r="J925" s="12">
        <v>6614.4380000000001</v>
      </c>
      <c r="K925" s="12">
        <v>6614.4380000000001</v>
      </c>
      <c r="L925" s="13">
        <v>7602.5280000000002</v>
      </c>
      <c r="M925" s="12">
        <v>315.12799999999999</v>
      </c>
      <c r="N925" s="12">
        <v>315.12799999999999</v>
      </c>
      <c r="O925" s="12">
        <v>328.85</v>
      </c>
      <c r="P925" s="14" t="s">
        <v>4793</v>
      </c>
      <c r="Q925" s="14" t="s">
        <v>4793</v>
      </c>
      <c r="R925" s="12">
        <v>46</v>
      </c>
    </row>
    <row r="926" spans="1:18" ht="29.5" customHeight="1" x14ac:dyDescent="0.15">
      <c r="A926" s="8" t="s">
        <v>4920</v>
      </c>
      <c r="B926" s="9" t="s">
        <v>4921</v>
      </c>
      <c r="C926" s="8" t="s">
        <v>4922</v>
      </c>
      <c r="D926" s="8" t="s">
        <v>4923</v>
      </c>
      <c r="E926" s="8" t="s">
        <v>4924</v>
      </c>
      <c r="F926" s="8" t="s">
        <v>4782</v>
      </c>
      <c r="G926" s="8" t="s">
        <v>4816</v>
      </c>
      <c r="H926" s="8" t="s">
        <v>4817</v>
      </c>
      <c r="I926" s="8" t="str">
        <f>HYPERLINK("http://www.esseutesse.it/","www.esseutesse.it")</f>
        <v>www.esseutesse.it</v>
      </c>
      <c r="J926" s="10">
        <v>6880.5140000000001</v>
      </c>
      <c r="K926" s="10">
        <v>6880.5140000000001</v>
      </c>
      <c r="L926" s="10">
        <v>7583.6469999999999</v>
      </c>
      <c r="M926" s="10">
        <v>5.9349999999999996</v>
      </c>
      <c r="N926" s="10">
        <v>5.9349999999999996</v>
      </c>
      <c r="O926" s="10">
        <v>9.0679999999999996</v>
      </c>
      <c r="P926" s="10">
        <v>38</v>
      </c>
      <c r="Q926" s="10">
        <v>38</v>
      </c>
      <c r="R926" s="10">
        <v>38</v>
      </c>
    </row>
    <row r="927" spans="1:18" ht="17" customHeight="1" x14ac:dyDescent="0.15">
      <c r="A927" s="11" t="s">
        <v>4925</v>
      </c>
      <c r="B927" s="1" t="s">
        <v>4926</v>
      </c>
      <c r="C927" s="11" t="s">
        <v>4927</v>
      </c>
      <c r="D927" s="11" t="s">
        <v>4927</v>
      </c>
      <c r="E927" s="11" t="s">
        <v>4928</v>
      </c>
      <c r="F927" s="11" t="s">
        <v>4872</v>
      </c>
      <c r="G927" s="11" t="s">
        <v>4929</v>
      </c>
      <c r="H927" s="11" t="s">
        <v>4784</v>
      </c>
      <c r="I927" s="11" t="str">
        <f>HYPERLINK("http://www.micosport.com/","www.micosport.com")</f>
        <v>www.micosport.com</v>
      </c>
      <c r="J927" s="12">
        <v>7837.5990000000002</v>
      </c>
      <c r="K927" s="12">
        <v>7837.5990000000002</v>
      </c>
      <c r="L927" s="13">
        <v>7582.4250000000002</v>
      </c>
      <c r="M927" s="12">
        <v>731.31700000000001</v>
      </c>
      <c r="N927" s="12">
        <v>731.31700000000001</v>
      </c>
      <c r="O927" s="12">
        <v>250.48400000000001</v>
      </c>
      <c r="P927" s="12">
        <v>34</v>
      </c>
      <c r="Q927" s="12">
        <v>34</v>
      </c>
      <c r="R927" s="12">
        <v>41</v>
      </c>
    </row>
    <row r="928" spans="1:18" ht="17" customHeight="1" x14ac:dyDescent="0.15">
      <c r="A928" s="8" t="s">
        <v>4930</v>
      </c>
      <c r="B928" s="9" t="s">
        <v>4931</v>
      </c>
      <c r="C928" s="8" t="s">
        <v>4932</v>
      </c>
      <c r="D928" s="8" t="s">
        <v>4932</v>
      </c>
      <c r="E928" s="8" t="s">
        <v>4933</v>
      </c>
      <c r="F928" s="8" t="s">
        <v>4840</v>
      </c>
      <c r="G928" s="8" t="s">
        <v>4770</v>
      </c>
      <c r="H928" s="8" t="s">
        <v>4771</v>
      </c>
      <c r="I928" s="8" t="str">
        <f>HYPERLINK("http://tacchificiopienne.it/","tacchificiopienne.it")</f>
        <v>tacchificiopienne.it</v>
      </c>
      <c r="J928" s="10">
        <v>6578.22</v>
      </c>
      <c r="K928" s="10">
        <v>6578.22</v>
      </c>
      <c r="L928" s="10">
        <v>7578.3069999999998</v>
      </c>
      <c r="M928" s="10">
        <v>1092.739</v>
      </c>
      <c r="N928" s="10">
        <v>1092.739</v>
      </c>
      <c r="O928" s="10">
        <v>1186.8710000000001</v>
      </c>
      <c r="P928" s="10">
        <v>27</v>
      </c>
      <c r="Q928" s="10">
        <v>27</v>
      </c>
      <c r="R928" s="10">
        <v>29</v>
      </c>
    </row>
    <row r="929" spans="1:18" ht="17" customHeight="1" x14ac:dyDescent="0.15">
      <c r="A929" s="11" t="s">
        <v>4934</v>
      </c>
      <c r="B929" s="1" t="s">
        <v>4935</v>
      </c>
      <c r="C929" s="11" t="s">
        <v>4936</v>
      </c>
      <c r="D929" s="11" t="s">
        <v>4936</v>
      </c>
      <c r="E929" s="11" t="s">
        <v>4937</v>
      </c>
      <c r="F929" s="11" t="s">
        <v>4938</v>
      </c>
      <c r="G929" s="11" t="s">
        <v>4939</v>
      </c>
      <c r="H929" s="11" t="s">
        <v>4940</v>
      </c>
      <c r="I929" s="11" t="str">
        <f>HYPERLINK("http://www.fvfsrl.it/","www.fvfsrl.it")</f>
        <v>www.fvfsrl.it</v>
      </c>
      <c r="J929" s="12">
        <v>6490.558</v>
      </c>
      <c r="K929" s="12">
        <v>4393.1049999999996</v>
      </c>
      <c r="L929" s="13">
        <v>7570.5020000000004</v>
      </c>
      <c r="M929" s="12">
        <v>316.19099999999997</v>
      </c>
      <c r="N929" s="12">
        <v>186.376</v>
      </c>
      <c r="O929" s="12">
        <v>560.47199999999998</v>
      </c>
      <c r="P929" s="12">
        <v>37</v>
      </c>
      <c r="Q929" s="12">
        <v>47</v>
      </c>
      <c r="R929" s="12">
        <v>62</v>
      </c>
    </row>
    <row r="930" spans="1:18" ht="17" customHeight="1" x14ac:dyDescent="0.15">
      <c r="A930" s="8" t="s">
        <v>4941</v>
      </c>
      <c r="B930" s="9" t="s">
        <v>4942</v>
      </c>
      <c r="C930" s="8" t="s">
        <v>4943</v>
      </c>
      <c r="D930" s="8" t="s">
        <v>4943</v>
      </c>
      <c r="E930" s="8" t="s">
        <v>4944</v>
      </c>
      <c r="F930" s="8" t="s">
        <v>4945</v>
      </c>
      <c r="G930" s="8" t="s">
        <v>4946</v>
      </c>
      <c r="H930" s="8" t="s">
        <v>4947</v>
      </c>
      <c r="I930" s="8" t="str">
        <f>HYPERLINK("http://www.beltsystem.it/","www.beltsystem.it")</f>
        <v>www.beltsystem.it</v>
      </c>
      <c r="J930" s="10">
        <v>6982.2510000000002</v>
      </c>
      <c r="K930" s="10">
        <v>6982.2510000000002</v>
      </c>
      <c r="L930" s="10">
        <v>7554.67</v>
      </c>
      <c r="M930" s="10">
        <v>70.572999999999993</v>
      </c>
      <c r="N930" s="10">
        <v>70.572999999999993</v>
      </c>
      <c r="O930" s="10">
        <v>49.061999999999998</v>
      </c>
      <c r="P930" s="10">
        <v>9</v>
      </c>
      <c r="Q930" s="10">
        <v>9</v>
      </c>
      <c r="R930" s="10">
        <v>9</v>
      </c>
    </row>
    <row r="931" spans="1:18" ht="17" customHeight="1" x14ac:dyDescent="0.15">
      <c r="A931" s="11" t="s">
        <v>4948</v>
      </c>
      <c r="B931" s="1" t="s">
        <v>4949</v>
      </c>
      <c r="C931" s="11" t="s">
        <v>4950</v>
      </c>
      <c r="D931" s="11" t="s">
        <v>4950</v>
      </c>
      <c r="E931" s="11" t="s">
        <v>4951</v>
      </c>
      <c r="F931" s="11" t="s">
        <v>4938</v>
      </c>
      <c r="G931" s="11" t="s">
        <v>4952</v>
      </c>
      <c r="H931" s="11" t="s">
        <v>4953</v>
      </c>
      <c r="I931" s="11" t="str">
        <f>HYPERLINK("http://www.blaze-milano.com/","www.blaze-milano.com")</f>
        <v>www.blaze-milano.com</v>
      </c>
      <c r="J931" s="12">
        <v>11118.938</v>
      </c>
      <c r="K931" s="12">
        <v>11118.938</v>
      </c>
      <c r="L931" s="13">
        <v>7549.8230000000003</v>
      </c>
      <c r="M931" s="12">
        <v>2061.77</v>
      </c>
      <c r="N931" s="12">
        <v>2061.77</v>
      </c>
      <c r="O931" s="12">
        <v>851.58600000000001</v>
      </c>
      <c r="P931" s="12">
        <v>20</v>
      </c>
      <c r="Q931" s="12">
        <v>20</v>
      </c>
      <c r="R931" s="12">
        <v>15</v>
      </c>
    </row>
    <row r="932" spans="1:18" ht="17" customHeight="1" x14ac:dyDescent="0.15">
      <c r="A932" s="8" t="s">
        <v>4954</v>
      </c>
      <c r="B932" s="9" t="s">
        <v>4955</v>
      </c>
      <c r="C932" s="8" t="s">
        <v>4956</v>
      </c>
      <c r="D932" s="8" t="s">
        <v>4956</v>
      </c>
      <c r="E932" s="8" t="s">
        <v>4957</v>
      </c>
      <c r="F932" s="8" t="s">
        <v>4958</v>
      </c>
      <c r="G932" s="8" t="s">
        <v>4959</v>
      </c>
      <c r="H932" s="8" t="s">
        <v>4960</v>
      </c>
      <c r="I932" s="8" t="str">
        <f>HYPERLINK("http://www.maglificiocxl.it/","www.maglificiocxl.it")</f>
        <v>www.maglificiocxl.it</v>
      </c>
      <c r="J932" s="10">
        <v>7868.6480000000001</v>
      </c>
      <c r="K932" s="10">
        <v>7868.6480000000001</v>
      </c>
      <c r="L932" s="10">
        <v>7543.1270000000004</v>
      </c>
      <c r="M932" s="10">
        <v>452.798</v>
      </c>
      <c r="N932" s="10">
        <v>452.798</v>
      </c>
      <c r="O932" s="10">
        <v>-15.942</v>
      </c>
      <c r="P932" s="10">
        <v>5</v>
      </c>
      <c r="Q932" s="10">
        <v>5</v>
      </c>
      <c r="R932" s="10">
        <v>7</v>
      </c>
    </row>
    <row r="933" spans="1:18" ht="17" customHeight="1" x14ac:dyDescent="0.15">
      <c r="A933" s="11" t="s">
        <v>4961</v>
      </c>
      <c r="B933" s="1" t="s">
        <v>4962</v>
      </c>
      <c r="C933" s="11" t="s">
        <v>4963</v>
      </c>
      <c r="D933" s="11" t="s">
        <v>4963</v>
      </c>
      <c r="E933" s="11" t="s">
        <v>4964</v>
      </c>
      <c r="F933" s="11" t="s">
        <v>4965</v>
      </c>
      <c r="G933" s="11" t="s">
        <v>4959</v>
      </c>
      <c r="H933" s="11" t="s">
        <v>4960</v>
      </c>
      <c r="I933" s="11" t="str">
        <f>HYPERLINK("http://bellissima.it/","bellissima.it")</f>
        <v>bellissima.it</v>
      </c>
      <c r="J933" s="12">
        <v>6373.3059999999996</v>
      </c>
      <c r="K933" s="12">
        <v>6373.3059999999996</v>
      </c>
      <c r="L933" s="13">
        <v>7535.6270000000004</v>
      </c>
      <c r="M933" s="12">
        <v>460.471</v>
      </c>
      <c r="N933" s="12">
        <v>460.471</v>
      </c>
      <c r="O933" s="12">
        <v>738.75599999999997</v>
      </c>
      <c r="P933" s="12">
        <v>14</v>
      </c>
      <c r="Q933" s="12">
        <v>14</v>
      </c>
      <c r="R933" s="12">
        <v>14</v>
      </c>
    </row>
    <row r="934" spans="1:18" ht="17" customHeight="1" x14ac:dyDescent="0.15">
      <c r="A934" s="8" t="s">
        <v>4966</v>
      </c>
      <c r="B934" s="9" t="s">
        <v>4967</v>
      </c>
      <c r="C934" s="8" t="s">
        <v>4968</v>
      </c>
      <c r="D934" s="8" t="s">
        <v>4968</v>
      </c>
      <c r="E934" s="8" t="s">
        <v>4969</v>
      </c>
      <c r="F934" s="8" t="s">
        <v>4970</v>
      </c>
      <c r="G934" s="8" t="s">
        <v>4971</v>
      </c>
      <c r="H934" s="8" t="s">
        <v>4947</v>
      </c>
      <c r="I934" s="8" t="str">
        <f>HYPERLINK("http://conceriajolly.it/","conceriajolly.it")</f>
        <v>conceriajolly.it</v>
      </c>
      <c r="J934" s="10">
        <v>5742.45</v>
      </c>
      <c r="K934" s="10">
        <v>5742.45</v>
      </c>
      <c r="L934" s="10">
        <v>7535.6080000000002</v>
      </c>
      <c r="M934" s="10">
        <v>-113.681</v>
      </c>
      <c r="N934" s="10">
        <v>-113.681</v>
      </c>
      <c r="O934" s="10">
        <v>-59.686999999999998</v>
      </c>
      <c r="P934" s="10">
        <v>28</v>
      </c>
      <c r="Q934" s="10">
        <v>28</v>
      </c>
      <c r="R934" s="10">
        <v>30</v>
      </c>
    </row>
    <row r="935" spans="1:18" ht="17" customHeight="1" x14ac:dyDescent="0.15">
      <c r="A935" s="11" t="s">
        <v>4972</v>
      </c>
      <c r="B935" s="1" t="s">
        <v>4973</v>
      </c>
      <c r="C935" s="11" t="s">
        <v>4974</v>
      </c>
      <c r="D935" s="11" t="s">
        <v>4974</v>
      </c>
      <c r="E935" s="11" t="s">
        <v>4975</v>
      </c>
      <c r="F935" s="11" t="s">
        <v>4938</v>
      </c>
      <c r="G935" s="11" t="s">
        <v>4952</v>
      </c>
      <c r="H935" s="11" t="s">
        <v>4953</v>
      </c>
      <c r="I935" s="11" t="str">
        <f>HYPERLINK("http://wandamode.it/","wandamode.it")</f>
        <v>wandamode.it</v>
      </c>
      <c r="J935" s="12">
        <v>7741.134</v>
      </c>
      <c r="K935" s="12">
        <v>7741.134</v>
      </c>
      <c r="L935" s="13">
        <v>7533.8739999999998</v>
      </c>
      <c r="M935" s="12">
        <v>309.322</v>
      </c>
      <c r="N935" s="12">
        <v>309.322</v>
      </c>
      <c r="O935" s="12">
        <v>301.85399999999998</v>
      </c>
      <c r="P935" s="12">
        <v>32</v>
      </c>
      <c r="Q935" s="12">
        <v>32</v>
      </c>
      <c r="R935" s="12">
        <v>32</v>
      </c>
    </row>
    <row r="936" spans="1:18" ht="17" customHeight="1" x14ac:dyDescent="0.15">
      <c r="A936" s="8" t="s">
        <v>4976</v>
      </c>
      <c r="B936" s="9" t="s">
        <v>4977</v>
      </c>
      <c r="C936" s="8" t="s">
        <v>4978</v>
      </c>
      <c r="D936" s="8" t="s">
        <v>4978</v>
      </c>
      <c r="E936" s="8" t="s">
        <v>4979</v>
      </c>
      <c r="F936" s="8" t="s">
        <v>4980</v>
      </c>
      <c r="G936" s="8" t="s">
        <v>4946</v>
      </c>
      <c r="H936" s="8" t="s">
        <v>4947</v>
      </c>
      <c r="I936" s="8" t="str">
        <f>HYPERLINK("http://www.carreraaccessori.it/","www.carreraaccessori.it")</f>
        <v>www.carreraaccessori.it</v>
      </c>
      <c r="J936" s="10">
        <v>5889.1189999999997</v>
      </c>
      <c r="K936" s="10">
        <v>5889.1189999999997</v>
      </c>
      <c r="L936" s="10">
        <v>7522.3789999999999</v>
      </c>
      <c r="M936" s="10">
        <v>63.265000000000001</v>
      </c>
      <c r="N936" s="10">
        <v>63.265000000000001</v>
      </c>
      <c r="O936" s="10">
        <v>-20.907</v>
      </c>
      <c r="P936" s="15" t="s">
        <v>4981</v>
      </c>
      <c r="Q936" s="15" t="s">
        <v>4981</v>
      </c>
      <c r="R936" s="15" t="s">
        <v>4981</v>
      </c>
    </row>
    <row r="937" spans="1:18" ht="17" customHeight="1" x14ac:dyDescent="0.15">
      <c r="A937" s="11" t="s">
        <v>4982</v>
      </c>
      <c r="B937" s="1" t="s">
        <v>4983</v>
      </c>
      <c r="C937" s="11" t="s">
        <v>4984</v>
      </c>
      <c r="D937" s="11" t="s">
        <v>4984</v>
      </c>
      <c r="E937" s="11" t="s">
        <v>4985</v>
      </c>
      <c r="F937" s="11" t="s">
        <v>4986</v>
      </c>
      <c r="G937" s="11" t="s">
        <v>4987</v>
      </c>
      <c r="H937" s="11" t="s">
        <v>4988</v>
      </c>
      <c r="I937" s="11" t="str">
        <f>HYPERLINK("http://www.lunatikabags.it/","http://www.lunatikabags.it")</f>
        <v>http://www.lunatikabags.it</v>
      </c>
      <c r="J937" s="12">
        <v>5963.5460000000003</v>
      </c>
      <c r="K937" s="12">
        <v>5963.5460000000003</v>
      </c>
      <c r="L937" s="13">
        <v>7519.7929999999997</v>
      </c>
      <c r="M937" s="12">
        <v>64.988</v>
      </c>
      <c r="N937" s="12">
        <v>64.988</v>
      </c>
      <c r="O937" s="12">
        <v>150.31299999999999</v>
      </c>
      <c r="P937" s="14" t="s">
        <v>4981</v>
      </c>
      <c r="Q937" s="14" t="s">
        <v>4981</v>
      </c>
      <c r="R937" s="12">
        <v>34</v>
      </c>
    </row>
    <row r="938" spans="1:18" ht="17" customHeight="1" x14ac:dyDescent="0.15">
      <c r="A938" s="8" t="s">
        <v>4989</v>
      </c>
      <c r="B938" s="9" t="s">
        <v>4990</v>
      </c>
      <c r="C938" s="8" t="s">
        <v>4991</v>
      </c>
      <c r="D938" s="8" t="s">
        <v>4992</v>
      </c>
      <c r="E938" s="8" t="s">
        <v>4993</v>
      </c>
      <c r="F938" s="8" t="s">
        <v>4938</v>
      </c>
      <c r="G938" s="8" t="s">
        <v>4994</v>
      </c>
      <c r="H938" s="8" t="s">
        <v>4995</v>
      </c>
      <c r="I938" s="8" t="str">
        <f>HYPERLINK("http://carlag.com/","carlag.com")</f>
        <v>carlag.com</v>
      </c>
      <c r="J938" s="10">
        <v>9121.241</v>
      </c>
      <c r="K938" s="10">
        <v>9121.241</v>
      </c>
      <c r="L938" s="10">
        <v>7519.6809999999996</v>
      </c>
      <c r="M938" s="10">
        <v>-825.322</v>
      </c>
      <c r="N938" s="10">
        <v>-825.322</v>
      </c>
      <c r="O938" s="10">
        <v>316.15100000000001</v>
      </c>
      <c r="P938" s="10">
        <v>61</v>
      </c>
      <c r="Q938" s="10">
        <v>61</v>
      </c>
      <c r="R938" s="10">
        <v>43</v>
      </c>
    </row>
    <row r="939" spans="1:18" ht="17" customHeight="1" x14ac:dyDescent="0.15">
      <c r="A939" s="11" t="s">
        <v>4996</v>
      </c>
      <c r="B939" s="1" t="s">
        <v>4997</v>
      </c>
      <c r="C939" s="11" t="s">
        <v>4998</v>
      </c>
      <c r="D939" s="11" t="s">
        <v>4998</v>
      </c>
      <c r="E939" s="11" t="s">
        <v>4999</v>
      </c>
      <c r="F939" s="11" t="s">
        <v>4986</v>
      </c>
      <c r="G939" s="11" t="s">
        <v>5000</v>
      </c>
      <c r="H939" s="11" t="s">
        <v>4953</v>
      </c>
      <c r="I939" s="11" t="str">
        <f>HYPERLINK("http://www.principe.it/","www.principe.it")</f>
        <v>www.principe.it</v>
      </c>
      <c r="J939" s="12">
        <v>10296.253000000001</v>
      </c>
      <c r="K939" s="12">
        <v>10296.253000000001</v>
      </c>
      <c r="L939" s="13">
        <v>7519.4960000000001</v>
      </c>
      <c r="M939" s="12">
        <v>38.273000000000003</v>
      </c>
      <c r="N939" s="12">
        <v>38.273000000000003</v>
      </c>
      <c r="O939" s="12">
        <v>-1497.5840000000001</v>
      </c>
      <c r="P939" s="12">
        <v>21</v>
      </c>
      <c r="Q939" s="12">
        <v>21</v>
      </c>
      <c r="R939" s="12">
        <v>28</v>
      </c>
    </row>
    <row r="940" spans="1:18" ht="29.5" customHeight="1" x14ac:dyDescent="0.15">
      <c r="A940" s="8" t="s">
        <v>5001</v>
      </c>
      <c r="B940" s="9" t="s">
        <v>5002</v>
      </c>
      <c r="C940" s="8" t="s">
        <v>5003</v>
      </c>
      <c r="D940" s="8" t="s">
        <v>5003</v>
      </c>
      <c r="E940" s="8" t="s">
        <v>5004</v>
      </c>
      <c r="F940" s="8" t="s">
        <v>4970</v>
      </c>
      <c r="G940" s="8" t="s">
        <v>4971</v>
      </c>
      <c r="H940" s="8" t="s">
        <v>4947</v>
      </c>
      <c r="I940" s="8" t="str">
        <f>HYPERLINK("http://www.concerialomar.it/","www.concerialomar.it")</f>
        <v>www.concerialomar.it</v>
      </c>
      <c r="J940" s="10">
        <v>5586.0339999999997</v>
      </c>
      <c r="K940" s="10">
        <v>5586.0339999999997</v>
      </c>
      <c r="L940" s="10">
        <v>7515.7690000000002</v>
      </c>
      <c r="M940" s="10">
        <v>43.213000000000001</v>
      </c>
      <c r="N940" s="10">
        <v>43.213000000000001</v>
      </c>
      <c r="O940" s="10">
        <v>69.269000000000005</v>
      </c>
      <c r="P940" s="10">
        <v>19</v>
      </c>
      <c r="Q940" s="10">
        <v>19</v>
      </c>
      <c r="R940" s="10">
        <v>23</v>
      </c>
    </row>
    <row r="941" spans="1:18" ht="29.5" customHeight="1" x14ac:dyDescent="0.15">
      <c r="A941" s="11" t="s">
        <v>5005</v>
      </c>
      <c r="B941" s="1" t="s">
        <v>5006</v>
      </c>
      <c r="C941" s="11" t="s">
        <v>5007</v>
      </c>
      <c r="D941" s="11" t="s">
        <v>5007</v>
      </c>
      <c r="E941" s="11" t="s">
        <v>5008</v>
      </c>
      <c r="F941" s="11" t="s">
        <v>5009</v>
      </c>
      <c r="G941" s="11" t="s">
        <v>5010</v>
      </c>
      <c r="H941" s="11" t="s">
        <v>4995</v>
      </c>
      <c r="I941" s="11" t="str">
        <f>HYPERLINK("http://shop.aleafashion.com/","shop.aleafashion.com")</f>
        <v>shop.aleafashion.com</v>
      </c>
      <c r="J941" s="12">
        <v>8331.4069999999992</v>
      </c>
      <c r="K941" s="12">
        <v>8331.4069999999992</v>
      </c>
      <c r="L941" s="13">
        <v>7509.6719999999996</v>
      </c>
      <c r="M941" s="12">
        <v>542.81600000000003</v>
      </c>
      <c r="N941" s="12">
        <v>542.81600000000003</v>
      </c>
      <c r="O941" s="12">
        <v>173.797</v>
      </c>
      <c r="P941" s="12">
        <v>19</v>
      </c>
      <c r="Q941" s="12">
        <v>19</v>
      </c>
      <c r="R941" s="12">
        <v>24</v>
      </c>
    </row>
    <row r="942" spans="1:18" ht="17" customHeight="1" x14ac:dyDescent="0.15">
      <c r="A942" s="8" t="s">
        <v>5011</v>
      </c>
      <c r="B942" s="9" t="s">
        <v>5012</v>
      </c>
      <c r="C942" s="8" t="s">
        <v>5013</v>
      </c>
      <c r="D942" s="8" t="s">
        <v>5013</v>
      </c>
      <c r="E942" s="8" t="s">
        <v>5014</v>
      </c>
      <c r="F942" s="8" t="s">
        <v>5009</v>
      </c>
      <c r="G942" s="8" t="s">
        <v>5015</v>
      </c>
      <c r="H942" s="8" t="s">
        <v>4953</v>
      </c>
      <c r="I942" s="8" t="str">
        <f>HYPERLINK("http://www.genesi-seamless.it/","www.genesi-seamless.it")</f>
        <v>www.genesi-seamless.it</v>
      </c>
      <c r="J942" s="10">
        <v>5720.8149999999996</v>
      </c>
      <c r="K942" s="10">
        <v>5720.8149999999996</v>
      </c>
      <c r="L942" s="10">
        <v>7496.0940000000001</v>
      </c>
      <c r="M942" s="10">
        <v>49.759</v>
      </c>
      <c r="N942" s="10">
        <v>49.759</v>
      </c>
      <c r="O942" s="10">
        <v>161.03399999999999</v>
      </c>
      <c r="P942" s="10">
        <v>26</v>
      </c>
      <c r="Q942" s="10">
        <v>26</v>
      </c>
      <c r="R942" s="10">
        <v>24</v>
      </c>
    </row>
    <row r="943" spans="1:18" ht="17" customHeight="1" x14ac:dyDescent="0.15">
      <c r="A943" s="11" t="s">
        <v>5016</v>
      </c>
      <c r="B943" s="1" t="s">
        <v>5017</v>
      </c>
      <c r="C943" s="11" t="s">
        <v>5018</v>
      </c>
      <c r="D943" s="11" t="s">
        <v>5018</v>
      </c>
      <c r="E943" s="11" t="s">
        <v>5019</v>
      </c>
      <c r="F943" s="11" t="s">
        <v>4980</v>
      </c>
      <c r="G943" s="11" t="s">
        <v>5020</v>
      </c>
      <c r="H943" s="11" t="s">
        <v>4953</v>
      </c>
      <c r="I943" s="11" t="str">
        <f>HYPERLINK("http://www.talescomo.it/","www.talescomo.it")</f>
        <v>www.talescomo.it</v>
      </c>
      <c r="J943" s="12">
        <v>7350.8590000000004</v>
      </c>
      <c r="K943" s="12">
        <v>7350.8590000000004</v>
      </c>
      <c r="L943" s="13">
        <v>7493.3469999999998</v>
      </c>
      <c r="M943" s="12">
        <v>88.603999999999999</v>
      </c>
      <c r="N943" s="12">
        <v>88.603999999999999</v>
      </c>
      <c r="O943" s="12">
        <v>-12.778</v>
      </c>
      <c r="P943" s="12">
        <v>34</v>
      </c>
      <c r="Q943" s="12">
        <v>34</v>
      </c>
      <c r="R943" s="12">
        <v>37</v>
      </c>
    </row>
    <row r="944" spans="1:18" ht="17" customHeight="1" x14ac:dyDescent="0.15">
      <c r="A944" s="8" t="s">
        <v>5021</v>
      </c>
      <c r="B944" s="9" t="s">
        <v>5022</v>
      </c>
      <c r="C944" s="8" t="s">
        <v>5023</v>
      </c>
      <c r="D944" s="8" t="s">
        <v>5023</v>
      </c>
      <c r="E944" s="8" t="s">
        <v>5024</v>
      </c>
      <c r="F944" s="8" t="s">
        <v>5025</v>
      </c>
      <c r="G944" s="8" t="s">
        <v>5026</v>
      </c>
      <c r="H944" s="8" t="s">
        <v>4953</v>
      </c>
      <c r="I944" s="8" t="str">
        <f>HYPERLINK("http://www.dfcompany.com/","www.dfcompany.com")</f>
        <v>www.dfcompany.com</v>
      </c>
      <c r="J944" s="10">
        <v>6990.3209999999999</v>
      </c>
      <c r="K944" s="10">
        <v>6990.3209999999999</v>
      </c>
      <c r="L944" s="10">
        <v>7482.7669999999998</v>
      </c>
      <c r="M944" s="10">
        <v>27.178999999999998</v>
      </c>
      <c r="N944" s="10">
        <v>27.178999999999998</v>
      </c>
      <c r="O944" s="10">
        <v>166.673</v>
      </c>
      <c r="P944" s="10">
        <v>37</v>
      </c>
      <c r="Q944" s="10">
        <v>37</v>
      </c>
      <c r="R944" s="10">
        <v>35</v>
      </c>
    </row>
    <row r="945" spans="1:18" ht="29.5" customHeight="1" x14ac:dyDescent="0.15">
      <c r="A945" s="11" t="s">
        <v>5027</v>
      </c>
      <c r="B945" s="1" t="s">
        <v>5028</v>
      </c>
      <c r="C945" s="11" t="s">
        <v>5029</v>
      </c>
      <c r="D945" s="11" t="s">
        <v>5029</v>
      </c>
      <c r="E945" s="11" t="s">
        <v>5030</v>
      </c>
      <c r="F945" s="11" t="s">
        <v>4945</v>
      </c>
      <c r="G945" s="11" t="s">
        <v>5031</v>
      </c>
      <c r="H945" s="11" t="s">
        <v>4947</v>
      </c>
      <c r="I945" s="11" t="str">
        <f>HYPERLINK("http://www.lm-michielon.com/","www.lm-michielon.com")</f>
        <v>www.lm-michielon.com</v>
      </c>
      <c r="J945" s="12">
        <v>4105.3959999999997</v>
      </c>
      <c r="K945" s="12">
        <v>4105.3959999999997</v>
      </c>
      <c r="L945" s="13">
        <v>7473.0029999999997</v>
      </c>
      <c r="M945" s="12">
        <v>-285.23099999999999</v>
      </c>
      <c r="N945" s="12">
        <v>-285.23099999999999</v>
      </c>
      <c r="O945" s="12">
        <v>714.23500000000001</v>
      </c>
      <c r="P945" s="12">
        <v>41</v>
      </c>
      <c r="Q945" s="12">
        <v>41</v>
      </c>
      <c r="R945" s="12">
        <v>41</v>
      </c>
    </row>
    <row r="946" spans="1:18" ht="17" customHeight="1" x14ac:dyDescent="0.15">
      <c r="A946" s="8" t="s">
        <v>5032</v>
      </c>
      <c r="B946" s="9" t="s">
        <v>5033</v>
      </c>
      <c r="C946" s="8" t="s">
        <v>5034</v>
      </c>
      <c r="D946" s="8" t="s">
        <v>5034</v>
      </c>
      <c r="E946" s="8" t="s">
        <v>5035</v>
      </c>
      <c r="F946" s="8" t="s">
        <v>4938</v>
      </c>
      <c r="G946" s="8" t="s">
        <v>5036</v>
      </c>
      <c r="H946" s="8" t="s">
        <v>4995</v>
      </c>
      <c r="I946" s="8" t="str">
        <f>HYPERLINK("http://www.minardicollezioni.it/","www.minardicollezioni.it")</f>
        <v>www.minardicollezioni.it</v>
      </c>
      <c r="J946" s="10">
        <v>8288.59</v>
      </c>
      <c r="K946" s="10">
        <v>8232.6020000000008</v>
      </c>
      <c r="L946" s="10">
        <v>7457.0730000000003</v>
      </c>
      <c r="M946" s="10">
        <v>464.46800000000002</v>
      </c>
      <c r="N946" s="10">
        <v>341.42700000000002</v>
      </c>
      <c r="O946" s="10">
        <v>90.468999999999994</v>
      </c>
      <c r="P946" s="10">
        <v>22</v>
      </c>
      <c r="Q946" s="10">
        <v>23</v>
      </c>
      <c r="R946" s="10">
        <v>18</v>
      </c>
    </row>
    <row r="947" spans="1:18" ht="17" customHeight="1" x14ac:dyDescent="0.15">
      <c r="A947" s="11" t="s">
        <v>5037</v>
      </c>
      <c r="B947" s="1" t="s">
        <v>5038</v>
      </c>
      <c r="C947" s="11" t="s">
        <v>5039</v>
      </c>
      <c r="D947" s="11" t="s">
        <v>5039</v>
      </c>
      <c r="E947" s="11" t="s">
        <v>5040</v>
      </c>
      <c r="F947" s="11" t="s">
        <v>5041</v>
      </c>
      <c r="G947" s="11" t="s">
        <v>5042</v>
      </c>
      <c r="H947" s="11" t="s">
        <v>5043</v>
      </c>
      <c r="I947" s="11" t="str">
        <f>HYPERLINK("http://moma.it/","moma.it")</f>
        <v>moma.it</v>
      </c>
      <c r="J947" s="12">
        <v>7021.2659999999996</v>
      </c>
      <c r="K947" s="12">
        <v>7021.2659999999996</v>
      </c>
      <c r="L947" s="13">
        <v>7436.1080000000002</v>
      </c>
      <c r="M947" s="12">
        <v>-280.85300000000001</v>
      </c>
      <c r="N947" s="12">
        <v>-280.85300000000001</v>
      </c>
      <c r="O947" s="12">
        <v>-269.46100000000001</v>
      </c>
      <c r="P947" s="12">
        <v>40</v>
      </c>
      <c r="Q947" s="12">
        <v>40</v>
      </c>
      <c r="R947" s="12">
        <v>39</v>
      </c>
    </row>
    <row r="948" spans="1:18" ht="17" customHeight="1" x14ac:dyDescent="0.15">
      <c r="A948" s="8" t="s">
        <v>5044</v>
      </c>
      <c r="B948" s="9" t="s">
        <v>5045</v>
      </c>
      <c r="C948" s="8" t="s">
        <v>5046</v>
      </c>
      <c r="D948" s="8" t="s">
        <v>5046</v>
      </c>
      <c r="E948" s="8" t="s">
        <v>5047</v>
      </c>
      <c r="F948" s="8" t="s">
        <v>4986</v>
      </c>
      <c r="G948" s="8" t="s">
        <v>5048</v>
      </c>
      <c r="H948" s="8" t="s">
        <v>4960</v>
      </c>
      <c r="I948" s="8" t="str">
        <f>HYPERLINK("http://www.3cpelletterie.it/","http://www.3cpelletterie.it")</f>
        <v>http://www.3cpelletterie.it</v>
      </c>
      <c r="J948" s="10">
        <v>6894.2830000000004</v>
      </c>
      <c r="K948" s="10">
        <v>6894.2830000000004</v>
      </c>
      <c r="L948" s="10">
        <v>7424.2430000000004</v>
      </c>
      <c r="M948" s="10">
        <v>-222.39400000000001</v>
      </c>
      <c r="N948" s="10">
        <v>-222.39400000000001</v>
      </c>
      <c r="O948" s="10">
        <v>-9.35</v>
      </c>
      <c r="P948" s="10">
        <v>37</v>
      </c>
      <c r="Q948" s="10">
        <v>37</v>
      </c>
      <c r="R948" s="10">
        <v>31</v>
      </c>
    </row>
    <row r="949" spans="1:18" ht="29.5" customHeight="1" x14ac:dyDescent="0.15">
      <c r="A949" s="11" t="s">
        <v>5049</v>
      </c>
      <c r="B949" s="1" t="s">
        <v>5050</v>
      </c>
      <c r="C949" s="11" t="s">
        <v>5051</v>
      </c>
      <c r="D949" s="11" t="s">
        <v>5051</v>
      </c>
      <c r="E949" s="11" t="s">
        <v>5052</v>
      </c>
      <c r="F949" s="11" t="s">
        <v>4970</v>
      </c>
      <c r="G949" s="11" t="s">
        <v>4971</v>
      </c>
      <c r="H949" s="11" t="s">
        <v>4947</v>
      </c>
      <c r="I949" s="11" t="str">
        <f>HYPERLINK("http://www.industriaconciariamontorso.com/","www.industriaconciariamontorso.com")</f>
        <v>www.industriaconciariamontorso.com</v>
      </c>
      <c r="J949" s="12">
        <v>6835.835</v>
      </c>
      <c r="K949" s="12">
        <v>6835.835</v>
      </c>
      <c r="L949" s="13">
        <v>7424.0020000000004</v>
      </c>
      <c r="M949" s="12">
        <v>94.447000000000003</v>
      </c>
      <c r="N949" s="12">
        <v>94.447000000000003</v>
      </c>
      <c r="O949" s="12">
        <v>183.90299999999999</v>
      </c>
      <c r="P949" s="14" t="s">
        <v>4981</v>
      </c>
      <c r="Q949" s="14" t="s">
        <v>4981</v>
      </c>
      <c r="R949" s="12">
        <v>14</v>
      </c>
    </row>
    <row r="950" spans="1:18" ht="17" customHeight="1" x14ac:dyDescent="0.15">
      <c r="A950" s="8" t="s">
        <v>5053</v>
      </c>
      <c r="B950" s="9" t="s">
        <v>5054</v>
      </c>
      <c r="C950" s="8" t="s">
        <v>5055</v>
      </c>
      <c r="D950" s="8" t="s">
        <v>5055</v>
      </c>
      <c r="E950" s="8" t="s">
        <v>5056</v>
      </c>
      <c r="F950" s="8" t="s">
        <v>4970</v>
      </c>
      <c r="G950" s="8" t="s">
        <v>5057</v>
      </c>
      <c r="H950" s="8" t="s">
        <v>4960</v>
      </c>
      <c r="I950" s="8" t="str">
        <f>HYPERLINK("http://www.selispa.it/","www.selispa.it")</f>
        <v>www.selispa.it</v>
      </c>
      <c r="J950" s="10">
        <v>5829.4589999999998</v>
      </c>
      <c r="K950" s="10">
        <v>5829.4589999999998</v>
      </c>
      <c r="L950" s="10">
        <v>7410.8760000000002</v>
      </c>
      <c r="M950" s="10">
        <v>-182.47900000000001</v>
      </c>
      <c r="N950" s="10">
        <v>-182.47900000000001</v>
      </c>
      <c r="O950" s="10">
        <v>53.875999999999998</v>
      </c>
      <c r="P950" s="10">
        <v>17</v>
      </c>
      <c r="Q950" s="10">
        <v>17</v>
      </c>
      <c r="R950" s="10">
        <v>17</v>
      </c>
    </row>
    <row r="951" spans="1:18" ht="17" customHeight="1" x14ac:dyDescent="0.15">
      <c r="A951" s="11" t="s">
        <v>5058</v>
      </c>
      <c r="B951" s="1" t="s">
        <v>5059</v>
      </c>
      <c r="C951" s="11" t="s">
        <v>5060</v>
      </c>
      <c r="D951" s="11" t="s">
        <v>5060</v>
      </c>
      <c r="E951" s="11" t="s">
        <v>5061</v>
      </c>
      <c r="F951" s="11" t="s">
        <v>4945</v>
      </c>
      <c r="G951" s="11" t="s">
        <v>5062</v>
      </c>
      <c r="H951" s="11" t="s">
        <v>4953</v>
      </c>
      <c r="I951" s="11" t="str">
        <f>HYPERLINK("https://calzaturesolazzo.it/","https://calzaturesolazzo.it")</f>
        <v>https://calzaturesolazzo.it</v>
      </c>
      <c r="J951" s="12">
        <v>4277.0150000000003</v>
      </c>
      <c r="K951" s="12">
        <v>4277.0150000000003</v>
      </c>
      <c r="L951" s="13">
        <v>7400.1660000000002</v>
      </c>
      <c r="M951" s="12">
        <v>76.453000000000003</v>
      </c>
      <c r="N951" s="12">
        <v>76.453000000000003</v>
      </c>
      <c r="O951" s="12">
        <v>339.601</v>
      </c>
      <c r="P951" s="12">
        <v>44</v>
      </c>
      <c r="Q951" s="12">
        <v>44</v>
      </c>
      <c r="R951" s="12">
        <v>44</v>
      </c>
    </row>
    <row r="952" spans="1:18" ht="17" customHeight="1" x14ac:dyDescent="0.15">
      <c r="A952" s="8" t="s">
        <v>5063</v>
      </c>
      <c r="B952" s="9" t="s">
        <v>5064</v>
      </c>
      <c r="C952" s="8" t="s">
        <v>5065</v>
      </c>
      <c r="D952" s="8" t="s">
        <v>5065</v>
      </c>
      <c r="E952" s="8" t="s">
        <v>5066</v>
      </c>
      <c r="F952" s="8" t="s">
        <v>4945</v>
      </c>
      <c r="G952" s="8" t="s">
        <v>5010</v>
      </c>
      <c r="H952" s="8" t="s">
        <v>4995</v>
      </c>
      <c r="I952" s="8" t="str">
        <f>HYPERLINK("http://www.soledan.191.it/","www.soledan.191.it")</f>
        <v>www.soledan.191.it</v>
      </c>
      <c r="J952" s="10">
        <v>8139.8059999999996</v>
      </c>
      <c r="K952" s="10">
        <v>8139.8059999999996</v>
      </c>
      <c r="L952" s="10">
        <v>7391.8239999999996</v>
      </c>
      <c r="M952" s="10">
        <v>712.38099999999997</v>
      </c>
      <c r="N952" s="10">
        <v>712.38099999999997</v>
      </c>
      <c r="O952" s="10">
        <v>689.65899999999999</v>
      </c>
      <c r="P952" s="10">
        <v>53</v>
      </c>
      <c r="Q952" s="10">
        <v>53</v>
      </c>
      <c r="R952" s="10">
        <v>49</v>
      </c>
    </row>
    <row r="953" spans="1:18" ht="17" customHeight="1" x14ac:dyDescent="0.15">
      <c r="A953" s="11" t="s">
        <v>5067</v>
      </c>
      <c r="B953" s="1" t="s">
        <v>5068</v>
      </c>
      <c r="C953" s="11" t="s">
        <v>5069</v>
      </c>
      <c r="D953" s="11" t="s">
        <v>5069</v>
      </c>
      <c r="E953" s="11" t="s">
        <v>5070</v>
      </c>
      <c r="F953" s="11" t="s">
        <v>5071</v>
      </c>
      <c r="G953" s="11" t="s">
        <v>5015</v>
      </c>
      <c r="H953" s="11" t="s">
        <v>4953</v>
      </c>
      <c r="I953" s="11" t="str">
        <f>HYPERLINK("http://www.sottocasco.it/","www.sottocasco.it")</f>
        <v>www.sottocasco.it</v>
      </c>
      <c r="J953" s="12">
        <v>7639.4219999999996</v>
      </c>
      <c r="K953" s="12">
        <v>7639.4219999999996</v>
      </c>
      <c r="L953" s="13">
        <v>7381.8149999999996</v>
      </c>
      <c r="M953" s="12">
        <v>941.78700000000003</v>
      </c>
      <c r="N953" s="12">
        <v>941.78700000000003</v>
      </c>
      <c r="O953" s="12">
        <v>477.35300000000001</v>
      </c>
      <c r="P953" s="12">
        <v>16</v>
      </c>
      <c r="Q953" s="12">
        <v>16</v>
      </c>
      <c r="R953" s="12">
        <v>17</v>
      </c>
    </row>
    <row r="954" spans="1:18" ht="17" customHeight="1" x14ac:dyDescent="0.15">
      <c r="A954" s="8" t="s">
        <v>5072</v>
      </c>
      <c r="B954" s="9" t="s">
        <v>5073</v>
      </c>
      <c r="C954" s="8" t="s">
        <v>5074</v>
      </c>
      <c r="D954" s="8" t="s">
        <v>5074</v>
      </c>
      <c r="E954" s="8" t="s">
        <v>5075</v>
      </c>
      <c r="F954" s="8" t="s">
        <v>5009</v>
      </c>
      <c r="G954" s="8" t="s">
        <v>5076</v>
      </c>
      <c r="H954" s="8" t="s">
        <v>5077</v>
      </c>
      <c r="I954" s="8" t="str">
        <f>HYPERLINK("http://www.baby2srl.com/","www.baby2srl.com")</f>
        <v>www.baby2srl.com</v>
      </c>
      <c r="J954" s="10">
        <v>5264.56</v>
      </c>
      <c r="K954" s="10">
        <v>5264.56</v>
      </c>
      <c r="L954" s="10">
        <v>7373.8940000000002</v>
      </c>
      <c r="M954" s="10">
        <v>626.27200000000005</v>
      </c>
      <c r="N954" s="10">
        <v>626.27200000000005</v>
      </c>
      <c r="O954" s="10">
        <v>1446.375</v>
      </c>
      <c r="P954" s="15" t="s">
        <v>4981</v>
      </c>
      <c r="Q954" s="15" t="s">
        <v>4981</v>
      </c>
      <c r="R954" s="10">
        <v>18</v>
      </c>
    </row>
    <row r="955" spans="1:18" ht="17" customHeight="1" x14ac:dyDescent="0.15">
      <c r="A955" s="11" t="s">
        <v>5078</v>
      </c>
      <c r="B955" s="1" t="s">
        <v>5079</v>
      </c>
      <c r="C955" s="11" t="s">
        <v>5080</v>
      </c>
      <c r="D955" s="11" t="s">
        <v>5080</v>
      </c>
      <c r="E955" s="11" t="s">
        <v>5081</v>
      </c>
      <c r="F955" s="11" t="s">
        <v>4970</v>
      </c>
      <c r="G955" s="11" t="s">
        <v>4971</v>
      </c>
      <c r="H955" s="11" t="s">
        <v>4947</v>
      </c>
      <c r="I955" s="11" t="str">
        <f>HYPERLINK("http://www.a22conceria.com/","www.a22conceria.com")</f>
        <v>www.a22conceria.com</v>
      </c>
      <c r="J955" s="12">
        <v>7095.7370000000001</v>
      </c>
      <c r="K955" s="12">
        <v>7095.7370000000001</v>
      </c>
      <c r="L955" s="13">
        <v>7366.2539999999999</v>
      </c>
      <c r="M955" s="12">
        <v>62.701000000000001</v>
      </c>
      <c r="N955" s="12">
        <v>62.701000000000001</v>
      </c>
      <c r="O955" s="12">
        <v>57.648000000000003</v>
      </c>
      <c r="P955" s="12">
        <v>15</v>
      </c>
      <c r="Q955" s="12">
        <v>15</v>
      </c>
      <c r="R955" s="12">
        <v>12</v>
      </c>
    </row>
    <row r="956" spans="1:18" ht="17" customHeight="1" x14ac:dyDescent="0.15">
      <c r="A956" s="8" t="s">
        <v>5082</v>
      </c>
      <c r="B956" s="9" t="s">
        <v>5083</v>
      </c>
      <c r="C956" s="8" t="s">
        <v>5084</v>
      </c>
      <c r="D956" s="8" t="s">
        <v>5084</v>
      </c>
      <c r="E956" s="8" t="s">
        <v>5085</v>
      </c>
      <c r="F956" s="8" t="s">
        <v>4938</v>
      </c>
      <c r="G956" s="8" t="s">
        <v>4959</v>
      </c>
      <c r="H956" s="8" t="s">
        <v>4960</v>
      </c>
      <c r="I956" s="8" t="str">
        <f>HYPERLINK("http://flaviocastellani.it/","flaviocastellani.it")</f>
        <v>flaviocastellani.it</v>
      </c>
      <c r="J956" s="10">
        <v>6475.0739999999996</v>
      </c>
      <c r="K956" s="10">
        <v>6475.0739999999996</v>
      </c>
      <c r="L956" s="10">
        <v>7364.8459999999995</v>
      </c>
      <c r="M956" s="10">
        <v>627.85599999999999</v>
      </c>
      <c r="N956" s="10">
        <v>627.85599999999999</v>
      </c>
      <c r="O956" s="10">
        <v>496.41800000000001</v>
      </c>
      <c r="P956" s="10">
        <v>8</v>
      </c>
      <c r="Q956" s="10">
        <v>8</v>
      </c>
      <c r="R956" s="10">
        <v>8</v>
      </c>
    </row>
    <row r="957" spans="1:18" ht="43" customHeight="1" x14ac:dyDescent="0.15">
      <c r="A957" s="11" t="s">
        <v>5086</v>
      </c>
      <c r="B957" s="1" t="s">
        <v>5087</v>
      </c>
      <c r="C957" s="11" t="s">
        <v>5088</v>
      </c>
      <c r="D957" s="11" t="s">
        <v>5088</v>
      </c>
      <c r="E957" s="11" t="s">
        <v>5089</v>
      </c>
      <c r="F957" s="11" t="s">
        <v>4986</v>
      </c>
      <c r="G957" s="11" t="s">
        <v>5048</v>
      </c>
      <c r="H957" s="11" t="s">
        <v>4960</v>
      </c>
      <c r="I957" s="11" t="str">
        <f>HYPERLINK("http://www.fashionstudios.it/","www.fashionstudios.it")</f>
        <v>www.fashionstudios.it</v>
      </c>
      <c r="J957" s="12">
        <v>6406.2359999999999</v>
      </c>
      <c r="K957" s="12">
        <v>6406.2359999999999</v>
      </c>
      <c r="L957" s="13">
        <v>7364.5839999999998</v>
      </c>
      <c r="M957" s="12">
        <v>-244.43600000000001</v>
      </c>
      <c r="N957" s="12">
        <v>-244.43600000000001</v>
      </c>
      <c r="O957" s="12">
        <v>154.001</v>
      </c>
      <c r="P957" s="12">
        <v>11</v>
      </c>
      <c r="Q957" s="12">
        <v>11</v>
      </c>
      <c r="R957" s="12">
        <v>15</v>
      </c>
    </row>
    <row r="958" spans="1:18" ht="17" customHeight="1" x14ac:dyDescent="0.15">
      <c r="A958" s="8" t="s">
        <v>5090</v>
      </c>
      <c r="B958" s="9" t="s">
        <v>5091</v>
      </c>
      <c r="C958" s="8" t="s">
        <v>5092</v>
      </c>
      <c r="D958" s="8" t="s">
        <v>5092</v>
      </c>
      <c r="E958" s="8" t="s">
        <v>5093</v>
      </c>
      <c r="F958" s="8" t="s">
        <v>4945</v>
      </c>
      <c r="G958" s="8" t="s">
        <v>5094</v>
      </c>
      <c r="H958" s="8" t="s">
        <v>4947</v>
      </c>
      <c r="I958" s="8" t="str">
        <f>HYPERLINK("http://dike.works/","dike.works")</f>
        <v>dike.works</v>
      </c>
      <c r="J958" s="10">
        <v>7245.1790000000001</v>
      </c>
      <c r="K958" s="10">
        <v>7245.1790000000001</v>
      </c>
      <c r="L958" s="10">
        <v>7362.2290000000003</v>
      </c>
      <c r="M958" s="10">
        <v>-165.88399999999999</v>
      </c>
      <c r="N958" s="10">
        <v>-165.88399999999999</v>
      </c>
      <c r="O958" s="10">
        <v>161.52699999999999</v>
      </c>
      <c r="P958" s="10">
        <v>8</v>
      </c>
      <c r="Q958" s="10">
        <v>8</v>
      </c>
      <c r="R958" s="10">
        <v>9</v>
      </c>
    </row>
    <row r="959" spans="1:18" ht="17" customHeight="1" x14ac:dyDescent="0.15">
      <c r="A959" s="11" t="s">
        <v>5095</v>
      </c>
      <c r="B959" s="1" t="s">
        <v>5096</v>
      </c>
      <c r="C959" s="11" t="s">
        <v>5097</v>
      </c>
      <c r="D959" s="11" t="s">
        <v>5097</v>
      </c>
      <c r="E959" s="11" t="s">
        <v>5098</v>
      </c>
      <c r="F959" s="11" t="s">
        <v>4965</v>
      </c>
      <c r="G959" s="11" t="s">
        <v>5094</v>
      </c>
      <c r="H959" s="11" t="s">
        <v>4947</v>
      </c>
      <c r="I959" s="11" t="str">
        <f>HYPERLINK("http://gtamoda.com/","gtamoda.com")</f>
        <v>gtamoda.com</v>
      </c>
      <c r="J959" s="12">
        <v>9449.6959999999999</v>
      </c>
      <c r="K959" s="12">
        <v>9449.6959999999999</v>
      </c>
      <c r="L959" s="13">
        <v>7345.1949999999997</v>
      </c>
      <c r="M959" s="12">
        <v>108.28</v>
      </c>
      <c r="N959" s="12">
        <v>108.28</v>
      </c>
      <c r="O959" s="12">
        <v>6.1310000000000002</v>
      </c>
      <c r="P959" s="12">
        <v>18</v>
      </c>
      <c r="Q959" s="12">
        <v>18</v>
      </c>
      <c r="R959" s="12">
        <v>19</v>
      </c>
    </row>
    <row r="960" spans="1:18" ht="17" customHeight="1" x14ac:dyDescent="0.15">
      <c r="A960" s="8" t="s">
        <v>5099</v>
      </c>
      <c r="B960" s="9" t="s">
        <v>5100</v>
      </c>
      <c r="C960" s="8" t="s">
        <v>5101</v>
      </c>
      <c r="D960" s="8" t="s">
        <v>5101</v>
      </c>
      <c r="E960" s="8" t="s">
        <v>5102</v>
      </c>
      <c r="F960" s="8" t="s">
        <v>4970</v>
      </c>
      <c r="G960" s="8" t="s">
        <v>5057</v>
      </c>
      <c r="H960" s="8" t="s">
        <v>4960</v>
      </c>
      <c r="I960" s="8" t="str">
        <f>HYPERLINK("http://www.reptilis.it/","http://www.reptilis.it")</f>
        <v>http://www.reptilis.it</v>
      </c>
      <c r="J960" s="10">
        <v>3666.6370000000002</v>
      </c>
      <c r="K960" s="10">
        <v>3666.6370000000002</v>
      </c>
      <c r="L960" s="10">
        <v>7327.5469999999996</v>
      </c>
      <c r="M960" s="10">
        <v>14.417999999999999</v>
      </c>
      <c r="N960" s="10">
        <v>14.417999999999999</v>
      </c>
      <c r="O960" s="10">
        <v>849.53200000000004</v>
      </c>
      <c r="P960" s="10">
        <v>18</v>
      </c>
      <c r="Q960" s="10">
        <v>18</v>
      </c>
      <c r="R960" s="10">
        <v>20</v>
      </c>
    </row>
    <row r="961" spans="1:18" ht="17" customHeight="1" x14ac:dyDescent="0.15">
      <c r="A961" s="11" t="s">
        <v>5103</v>
      </c>
      <c r="B961" s="1" t="s">
        <v>5104</v>
      </c>
      <c r="C961" s="11" t="s">
        <v>5105</v>
      </c>
      <c r="D961" s="11" t="s">
        <v>5105</v>
      </c>
      <c r="E961" s="11" t="s">
        <v>5106</v>
      </c>
      <c r="F961" s="11" t="s">
        <v>5107</v>
      </c>
      <c r="G961" s="11" t="s">
        <v>5108</v>
      </c>
      <c r="H961" s="11" t="s">
        <v>5109</v>
      </c>
      <c r="I961" s="11" t="str">
        <f>HYPERLINK("http://www.projectofficinacreativa.it/","www.projectofficinacreativa.it")</f>
        <v>www.projectofficinacreativa.it</v>
      </c>
      <c r="J961" s="12">
        <v>9560.5419999999995</v>
      </c>
      <c r="K961" s="12">
        <v>9560.5419999999995</v>
      </c>
      <c r="L961" s="13">
        <v>7316.1189999999997</v>
      </c>
      <c r="M961" s="12">
        <v>524.52800000000002</v>
      </c>
      <c r="N961" s="12">
        <v>524.52800000000002</v>
      </c>
      <c r="O961" s="12">
        <v>3.8879999999999999</v>
      </c>
      <c r="P961" s="12">
        <v>65</v>
      </c>
      <c r="Q961" s="12">
        <v>65</v>
      </c>
      <c r="R961" s="12">
        <v>52</v>
      </c>
    </row>
    <row r="962" spans="1:18" ht="17" customHeight="1" x14ac:dyDescent="0.15">
      <c r="A962" s="8" t="s">
        <v>5110</v>
      </c>
      <c r="B962" s="9" t="s">
        <v>5111</v>
      </c>
      <c r="C962" s="8" t="s">
        <v>5112</v>
      </c>
      <c r="D962" s="8" t="s">
        <v>5112</v>
      </c>
      <c r="E962" s="8" t="s">
        <v>5113</v>
      </c>
      <c r="F962" s="8" t="s">
        <v>5114</v>
      </c>
      <c r="G962" s="8" t="s">
        <v>5115</v>
      </c>
      <c r="H962" s="8" t="s">
        <v>5116</v>
      </c>
      <c r="I962" s="8" t="str">
        <f>HYPERLINK("http://www.fasefactory.it/","www.fasefactory.it")</f>
        <v>www.fasefactory.it</v>
      </c>
      <c r="J962" s="10">
        <v>6360.76</v>
      </c>
      <c r="K962" s="10">
        <v>6360.76</v>
      </c>
      <c r="L962" s="10">
        <v>7313.1350000000002</v>
      </c>
      <c r="M962" s="10">
        <v>387.22899999999998</v>
      </c>
      <c r="N962" s="10">
        <v>387.22899999999998</v>
      </c>
      <c r="O962" s="10">
        <v>915.58</v>
      </c>
      <c r="P962" s="10">
        <v>50</v>
      </c>
      <c r="Q962" s="10">
        <v>50</v>
      </c>
      <c r="R962" s="10">
        <v>49</v>
      </c>
    </row>
    <row r="963" spans="1:18" ht="29.5" customHeight="1" x14ac:dyDescent="0.15">
      <c r="A963" s="11" t="s">
        <v>5117</v>
      </c>
      <c r="B963" s="1" t="s">
        <v>5118</v>
      </c>
      <c r="C963" s="11" t="s">
        <v>5119</v>
      </c>
      <c r="D963" s="11" t="s">
        <v>5119</v>
      </c>
      <c r="E963" s="11" t="s">
        <v>5120</v>
      </c>
      <c r="F963" s="11" t="s">
        <v>5121</v>
      </c>
      <c r="G963" s="11" t="s">
        <v>5122</v>
      </c>
      <c r="H963" s="11" t="s">
        <v>5123</v>
      </c>
      <c r="I963" s="11" t="str">
        <f>HYPERLINK("http://www.lorenzo-mari.com/","www.lorenzo-mari.com")</f>
        <v>www.lorenzo-mari.com</v>
      </c>
      <c r="J963" s="12">
        <v>6035.1670000000004</v>
      </c>
      <c r="K963" s="12">
        <v>6035.1670000000004</v>
      </c>
      <c r="L963" s="13">
        <v>7304.0479999999998</v>
      </c>
      <c r="M963" s="12">
        <v>266.71600000000001</v>
      </c>
      <c r="N963" s="12">
        <v>266.71600000000001</v>
      </c>
      <c r="O963" s="12">
        <v>444.23</v>
      </c>
      <c r="P963" s="12">
        <v>49</v>
      </c>
      <c r="Q963" s="12">
        <v>49</v>
      </c>
      <c r="R963" s="12">
        <v>45</v>
      </c>
    </row>
    <row r="964" spans="1:18" ht="17" customHeight="1" x14ac:dyDescent="0.15">
      <c r="A964" s="8" t="s">
        <v>5124</v>
      </c>
      <c r="B964" s="9" t="s">
        <v>5125</v>
      </c>
      <c r="C964" s="8" t="s">
        <v>5126</v>
      </c>
      <c r="D964" s="8" t="s">
        <v>5126</v>
      </c>
      <c r="E964" s="8" t="s">
        <v>5127</v>
      </c>
      <c r="F964" s="8" t="s">
        <v>5128</v>
      </c>
      <c r="G964" s="8" t="s">
        <v>5129</v>
      </c>
      <c r="H964" s="8" t="s">
        <v>5130</v>
      </c>
      <c r="I964" s="8" t="str">
        <f>HYPERLINK("http://gpemax.com/","gpemax.com")</f>
        <v>gpemax.com</v>
      </c>
      <c r="J964" s="10">
        <v>5335.6890000000003</v>
      </c>
      <c r="K964" s="10">
        <v>5335.6890000000003</v>
      </c>
      <c r="L964" s="10">
        <v>7302.3029999999999</v>
      </c>
      <c r="M964" s="10">
        <v>37.834000000000003</v>
      </c>
      <c r="N964" s="10">
        <v>37.834000000000003</v>
      </c>
      <c r="O964" s="10">
        <v>317.81700000000001</v>
      </c>
      <c r="P964" s="15" t="s">
        <v>5131</v>
      </c>
      <c r="Q964" s="15" t="s">
        <v>5131</v>
      </c>
      <c r="R964" s="10">
        <v>37</v>
      </c>
    </row>
    <row r="965" spans="1:18" ht="43" customHeight="1" x14ac:dyDescent="0.15">
      <c r="A965" s="11" t="s">
        <v>5132</v>
      </c>
      <c r="B965" s="1" t="s">
        <v>5133</v>
      </c>
      <c r="C965" s="11" t="s">
        <v>5134</v>
      </c>
      <c r="D965" s="11" t="s">
        <v>5134</v>
      </c>
      <c r="E965" s="11" t="s">
        <v>5135</v>
      </c>
      <c r="F965" s="11" t="s">
        <v>5121</v>
      </c>
      <c r="G965" s="11" t="s">
        <v>5129</v>
      </c>
      <c r="H965" s="11" t="s">
        <v>5130</v>
      </c>
      <c r="I965" s="11" t="str">
        <f>HYPERLINK("http://www.nadacalzaturificio.eu/","www.nadacalzaturificio.eu")</f>
        <v>www.nadacalzaturificio.eu</v>
      </c>
      <c r="J965" s="12">
        <v>6828.0739999999996</v>
      </c>
      <c r="K965" s="12">
        <v>6828.0739999999996</v>
      </c>
      <c r="L965" s="13">
        <v>7274.9369999999999</v>
      </c>
      <c r="M965" s="12">
        <v>-883.42</v>
      </c>
      <c r="N965" s="12">
        <v>-883.42</v>
      </c>
      <c r="O965" s="12">
        <v>-439.61700000000002</v>
      </c>
      <c r="P965" s="12">
        <v>130</v>
      </c>
      <c r="Q965" s="12">
        <v>130</v>
      </c>
      <c r="R965" s="12">
        <v>135</v>
      </c>
    </row>
    <row r="966" spans="1:18" ht="17" customHeight="1" x14ac:dyDescent="0.15">
      <c r="A966" s="8" t="s">
        <v>5136</v>
      </c>
      <c r="B966" s="9" t="s">
        <v>5137</v>
      </c>
      <c r="C966" s="8" t="s">
        <v>5138</v>
      </c>
      <c r="D966" s="8" t="s">
        <v>5138</v>
      </c>
      <c r="E966" s="8" t="s">
        <v>5139</v>
      </c>
      <c r="F966" s="8" t="s">
        <v>5140</v>
      </c>
      <c r="G966" s="8" t="s">
        <v>5141</v>
      </c>
      <c r="H966" s="8" t="s">
        <v>5142</v>
      </c>
      <c r="I966" s="8" t="str">
        <f>HYPERLINK("http://www.galileosrl.eu/","www.galileosrl.eu")</f>
        <v>www.galileosrl.eu</v>
      </c>
      <c r="J966" s="10">
        <v>4670.0290000000005</v>
      </c>
      <c r="K966" s="10">
        <v>4670.0290000000005</v>
      </c>
      <c r="L966" s="10">
        <v>7263.1769999999997</v>
      </c>
      <c r="M966" s="10">
        <v>-168.971</v>
      </c>
      <c r="N966" s="10">
        <v>-168.971</v>
      </c>
      <c r="O966" s="10">
        <v>149.57900000000001</v>
      </c>
      <c r="P966" s="10">
        <v>15</v>
      </c>
      <c r="Q966" s="10">
        <v>15</v>
      </c>
      <c r="R966" s="10">
        <v>14</v>
      </c>
    </row>
    <row r="967" spans="1:18" ht="17" customHeight="1" x14ac:dyDescent="0.15">
      <c r="A967" s="11" t="s">
        <v>5143</v>
      </c>
      <c r="B967" s="1" t="s">
        <v>5144</v>
      </c>
      <c r="C967" s="11" t="s">
        <v>5145</v>
      </c>
      <c r="D967" s="11" t="s">
        <v>5145</v>
      </c>
      <c r="E967" s="11" t="s">
        <v>5146</v>
      </c>
      <c r="F967" s="11" t="s">
        <v>5147</v>
      </c>
      <c r="G967" s="11" t="s">
        <v>5148</v>
      </c>
      <c r="H967" s="11" t="s">
        <v>5142</v>
      </c>
      <c r="I967" s="11" t="str">
        <f>HYPERLINK("http://www.stadiumflorence.it/","www.stadiumflorence.it")</f>
        <v>www.stadiumflorence.it</v>
      </c>
      <c r="J967" s="12">
        <v>6833.4579999999996</v>
      </c>
      <c r="K967" s="12">
        <v>6833.4579999999996</v>
      </c>
      <c r="L967" s="13">
        <v>7240.5820000000003</v>
      </c>
      <c r="M967" s="12">
        <v>582.42200000000003</v>
      </c>
      <c r="N967" s="12">
        <v>582.42200000000003</v>
      </c>
      <c r="O967" s="12">
        <v>613.88</v>
      </c>
      <c r="P967" s="12">
        <v>21</v>
      </c>
      <c r="Q967" s="12">
        <v>21</v>
      </c>
      <c r="R967" s="12">
        <v>21</v>
      </c>
    </row>
    <row r="968" spans="1:18" ht="17" customHeight="1" x14ac:dyDescent="0.15">
      <c r="A968" s="8" t="s">
        <v>5149</v>
      </c>
      <c r="B968" s="9" t="s">
        <v>5150</v>
      </c>
      <c r="C968" s="8" t="s">
        <v>5151</v>
      </c>
      <c r="D968" s="8" t="s">
        <v>5151</v>
      </c>
      <c r="E968" s="8" t="s">
        <v>5152</v>
      </c>
      <c r="F968" s="8" t="s">
        <v>5153</v>
      </c>
      <c r="G968" s="8" t="s">
        <v>5122</v>
      </c>
      <c r="H968" s="8" t="s">
        <v>5123</v>
      </c>
      <c r="I968" s="8" t="str">
        <f>HYPERLINK("http://www.incotone.it/","http://www.incotone.it")</f>
        <v>http://www.incotone.it</v>
      </c>
      <c r="J968" s="10">
        <v>2042.8050000000001</v>
      </c>
      <c r="K968" s="10">
        <v>2042.8050000000001</v>
      </c>
      <c r="L968" s="10">
        <v>7239.2</v>
      </c>
      <c r="M968" s="10">
        <v>-848.13400000000001</v>
      </c>
      <c r="N968" s="10">
        <v>-848.13400000000001</v>
      </c>
      <c r="O968" s="10">
        <v>128.91999999999999</v>
      </c>
      <c r="P968" s="10">
        <v>10</v>
      </c>
      <c r="Q968" s="10">
        <v>10</v>
      </c>
      <c r="R968" s="10">
        <v>11</v>
      </c>
    </row>
    <row r="969" spans="1:18" ht="17" customHeight="1" x14ac:dyDescent="0.15">
      <c r="A969" s="11" t="s">
        <v>5154</v>
      </c>
      <c r="B969" s="1" t="s">
        <v>5155</v>
      </c>
      <c r="C969" s="11" t="s">
        <v>5156</v>
      </c>
      <c r="D969" s="11" t="s">
        <v>5156</v>
      </c>
      <c r="E969" s="11" t="s">
        <v>5157</v>
      </c>
      <c r="F969" s="11" t="s">
        <v>5158</v>
      </c>
      <c r="G969" s="11" t="s">
        <v>5159</v>
      </c>
      <c r="H969" s="11" t="s">
        <v>5116</v>
      </c>
      <c r="I969" s="11" t="str">
        <f>HYPERLINK("http://www.maryley.com/","www.maryley.com")</f>
        <v>www.maryley.com</v>
      </c>
      <c r="J969" s="12">
        <v>7293.3689999999997</v>
      </c>
      <c r="K969" s="12">
        <v>7293.3689999999997</v>
      </c>
      <c r="L969" s="13">
        <v>7222.7070000000003</v>
      </c>
      <c r="M969" s="12">
        <v>3.9660000000000002</v>
      </c>
      <c r="N969" s="12">
        <v>3.9660000000000002</v>
      </c>
      <c r="O969" s="12">
        <v>47.372999999999998</v>
      </c>
      <c r="P969" s="14" t="s">
        <v>5131</v>
      </c>
      <c r="Q969" s="14" t="s">
        <v>5131</v>
      </c>
      <c r="R969" s="12">
        <v>19</v>
      </c>
    </row>
    <row r="970" spans="1:18" ht="17" customHeight="1" x14ac:dyDescent="0.15">
      <c r="A970" s="8" t="s">
        <v>5160</v>
      </c>
      <c r="B970" s="9" t="s">
        <v>5161</v>
      </c>
      <c r="C970" s="8" t="s">
        <v>5162</v>
      </c>
      <c r="D970" s="8" t="s">
        <v>5162</v>
      </c>
      <c r="E970" s="8" t="s">
        <v>5163</v>
      </c>
      <c r="F970" s="8" t="s">
        <v>5107</v>
      </c>
      <c r="G970" s="8" t="s">
        <v>5164</v>
      </c>
      <c r="H970" s="8" t="s">
        <v>5116</v>
      </c>
      <c r="I970" s="8" t="str">
        <f>HYPERLINK("http://www.sama.it/","www.sama.it")</f>
        <v>www.sama.it</v>
      </c>
      <c r="J970" s="10">
        <v>6844.6570000000002</v>
      </c>
      <c r="K970" s="10">
        <v>6844.6570000000002</v>
      </c>
      <c r="L970" s="10">
        <v>7219.1490000000003</v>
      </c>
      <c r="M970" s="10">
        <v>456.89299999999997</v>
      </c>
      <c r="N970" s="10">
        <v>456.89299999999997</v>
      </c>
      <c r="O970" s="10">
        <v>397.404</v>
      </c>
      <c r="P970" s="10">
        <v>10</v>
      </c>
      <c r="Q970" s="10">
        <v>10</v>
      </c>
      <c r="R970" s="10">
        <v>12</v>
      </c>
    </row>
    <row r="971" spans="1:18" ht="17" customHeight="1" x14ac:dyDescent="0.15">
      <c r="A971" s="11" t="s">
        <v>5165</v>
      </c>
      <c r="B971" s="1" t="s">
        <v>5166</v>
      </c>
      <c r="C971" s="11" t="s">
        <v>5167</v>
      </c>
      <c r="D971" s="11" t="s">
        <v>5167</v>
      </c>
      <c r="E971" s="11" t="s">
        <v>5168</v>
      </c>
      <c r="F971" s="11" t="s">
        <v>5121</v>
      </c>
      <c r="G971" s="11" t="s">
        <v>5148</v>
      </c>
      <c r="H971" s="11" t="s">
        <v>5142</v>
      </c>
      <c r="I971" s="11" t="str">
        <f>HYPERLINK("http://www.grigiarancio.it/","http://www.grigiarancio.it")</f>
        <v>http://www.grigiarancio.it</v>
      </c>
      <c r="J971" s="12">
        <v>9451.3389999999999</v>
      </c>
      <c r="K971" s="12">
        <v>9451.3389999999999</v>
      </c>
      <c r="L971" s="13">
        <v>7215.46</v>
      </c>
      <c r="M971" s="12">
        <v>540.88499999999999</v>
      </c>
      <c r="N971" s="12">
        <v>540.88499999999999</v>
      </c>
      <c r="O971" s="12">
        <v>146.28100000000001</v>
      </c>
      <c r="P971" s="12">
        <v>35</v>
      </c>
      <c r="Q971" s="12">
        <v>35</v>
      </c>
      <c r="R971" s="12">
        <v>35</v>
      </c>
    </row>
    <row r="972" spans="1:18" ht="17" customHeight="1" x14ac:dyDescent="0.15">
      <c r="A972" s="8" t="s">
        <v>5169</v>
      </c>
      <c r="B972" s="9" t="s">
        <v>5170</v>
      </c>
      <c r="C972" s="8" t="s">
        <v>5171</v>
      </c>
      <c r="D972" s="8" t="s">
        <v>5171</v>
      </c>
      <c r="E972" s="8" t="s">
        <v>5172</v>
      </c>
      <c r="F972" s="8" t="s">
        <v>5128</v>
      </c>
      <c r="G972" s="8" t="s">
        <v>5173</v>
      </c>
      <c r="H972" s="8" t="s">
        <v>5142</v>
      </c>
      <c r="I972" s="8" t="str">
        <f>HYPERLINK("http://www.garland74.it/","www.garland74.it")</f>
        <v>www.garland74.it</v>
      </c>
      <c r="J972" s="10">
        <v>8557.3719999999994</v>
      </c>
      <c r="K972" s="10">
        <v>8557.3719999999994</v>
      </c>
      <c r="L972" s="10">
        <v>7159.8590000000004</v>
      </c>
      <c r="M972" s="10">
        <v>547.47</v>
      </c>
      <c r="N972" s="10">
        <v>547.47</v>
      </c>
      <c r="O972" s="10">
        <v>123.538</v>
      </c>
      <c r="P972" s="10">
        <v>148</v>
      </c>
      <c r="Q972" s="10">
        <v>148</v>
      </c>
      <c r="R972" s="10">
        <v>124</v>
      </c>
    </row>
    <row r="973" spans="1:18" ht="17" customHeight="1" x14ac:dyDescent="0.15">
      <c r="A973" s="11" t="s">
        <v>5174</v>
      </c>
      <c r="B973" s="1" t="s">
        <v>5175</v>
      </c>
      <c r="C973" s="11" t="s">
        <v>5176</v>
      </c>
      <c r="D973" s="11" t="s">
        <v>5176</v>
      </c>
      <c r="E973" s="11" t="s">
        <v>5177</v>
      </c>
      <c r="F973" s="11" t="s">
        <v>5140</v>
      </c>
      <c r="G973" s="11" t="s">
        <v>5141</v>
      </c>
      <c r="H973" s="11" t="s">
        <v>5142</v>
      </c>
      <c r="I973" s="11" t="str">
        <f>HYPERLINK("http://www.conceriagiava.it/","www.conceriagiava.it")</f>
        <v>www.conceriagiava.it</v>
      </c>
      <c r="J973" s="12">
        <v>7105.8940000000002</v>
      </c>
      <c r="K973" s="12">
        <v>7105.8940000000002</v>
      </c>
      <c r="L973" s="13">
        <v>7142.0780000000004</v>
      </c>
      <c r="M973" s="12">
        <v>19.666</v>
      </c>
      <c r="N973" s="12">
        <v>19.666</v>
      </c>
      <c r="O973" s="12">
        <v>86.442999999999998</v>
      </c>
      <c r="P973" s="12">
        <v>16</v>
      </c>
      <c r="Q973" s="12">
        <v>16</v>
      </c>
      <c r="R973" s="12">
        <v>13</v>
      </c>
    </row>
    <row r="974" spans="1:18" ht="17" customHeight="1" x14ac:dyDescent="0.15">
      <c r="A974" s="8" t="s">
        <v>5178</v>
      </c>
      <c r="B974" s="9" t="s">
        <v>5179</v>
      </c>
      <c r="C974" s="8" t="s">
        <v>5180</v>
      </c>
      <c r="D974" s="8" t="s">
        <v>5180</v>
      </c>
      <c r="E974" s="8" t="s">
        <v>5181</v>
      </c>
      <c r="F974" s="8" t="s">
        <v>5158</v>
      </c>
      <c r="G974" s="8" t="s">
        <v>5182</v>
      </c>
      <c r="H974" s="8" t="s">
        <v>5183</v>
      </c>
      <c r="I974" s="8" t="str">
        <f>HYPERLINK("http://olimpia.it/","olimpia.it")</f>
        <v>olimpia.it</v>
      </c>
      <c r="J974" s="10">
        <v>6404.1170000000002</v>
      </c>
      <c r="K974" s="10">
        <v>6404.1170000000002</v>
      </c>
      <c r="L974" s="10">
        <v>7129.3509999999997</v>
      </c>
      <c r="M974" s="10">
        <v>118.614</v>
      </c>
      <c r="N974" s="10">
        <v>118.614</v>
      </c>
      <c r="O974" s="10">
        <v>599.702</v>
      </c>
      <c r="P974" s="10">
        <v>59</v>
      </c>
      <c r="Q974" s="10">
        <v>59</v>
      </c>
      <c r="R974" s="10">
        <v>57</v>
      </c>
    </row>
    <row r="975" spans="1:18" ht="29.5" customHeight="1" x14ac:dyDescent="0.15">
      <c r="A975" s="11" t="s">
        <v>5184</v>
      </c>
      <c r="B975" s="1" t="s">
        <v>5185</v>
      </c>
      <c r="C975" s="11" t="s">
        <v>5186</v>
      </c>
      <c r="D975" s="11" t="s">
        <v>5186</v>
      </c>
      <c r="E975" s="11" t="s">
        <v>5187</v>
      </c>
      <c r="F975" s="11" t="s">
        <v>5121</v>
      </c>
      <c r="G975" s="11" t="s">
        <v>5188</v>
      </c>
      <c r="H975" s="11" t="s">
        <v>5142</v>
      </c>
      <c r="I975" s="11" t="str">
        <f>HYPERLINK("http://www.riccoplast.it/","www.riccoplast.it")</f>
        <v>www.riccoplast.it</v>
      </c>
      <c r="J975" s="12">
        <v>9111.3420000000006</v>
      </c>
      <c r="K975" s="12">
        <v>9111.3420000000006</v>
      </c>
      <c r="L975" s="13">
        <v>7128.4639999999999</v>
      </c>
      <c r="M975" s="12">
        <v>3.5030000000000001</v>
      </c>
      <c r="N975" s="12">
        <v>3.5030000000000001</v>
      </c>
      <c r="O975" s="12">
        <v>14.118</v>
      </c>
      <c r="P975" s="12">
        <v>61</v>
      </c>
      <c r="Q975" s="12">
        <v>61</v>
      </c>
      <c r="R975" s="12">
        <v>47</v>
      </c>
    </row>
    <row r="976" spans="1:18" ht="17" customHeight="1" x14ac:dyDescent="0.15">
      <c r="A976" s="8" t="s">
        <v>5189</v>
      </c>
      <c r="B976" s="9" t="s">
        <v>5190</v>
      </c>
      <c r="C976" s="8" t="s">
        <v>5191</v>
      </c>
      <c r="D976" s="8" t="s">
        <v>5191</v>
      </c>
      <c r="E976" s="8" t="s">
        <v>5192</v>
      </c>
      <c r="F976" s="8" t="s">
        <v>5193</v>
      </c>
      <c r="G976" s="8" t="s">
        <v>5194</v>
      </c>
      <c r="H976" s="8" t="s">
        <v>5116</v>
      </c>
      <c r="I976" s="8" t="str">
        <f>HYPERLINK("http://www.benetti.biz/","www.benetti.biz")</f>
        <v>www.benetti.biz</v>
      </c>
      <c r="J976" s="10">
        <v>7114.1610000000001</v>
      </c>
      <c r="K976" s="10">
        <v>7114.1610000000001</v>
      </c>
      <c r="L976" s="10">
        <v>7126.4129999999996</v>
      </c>
      <c r="M976" s="10">
        <v>13.534000000000001</v>
      </c>
      <c r="N976" s="10">
        <v>13.534000000000001</v>
      </c>
      <c r="O976" s="10">
        <v>202.12700000000001</v>
      </c>
      <c r="P976" s="10">
        <v>19</v>
      </c>
      <c r="Q976" s="10">
        <v>19</v>
      </c>
      <c r="R976" s="10">
        <v>18</v>
      </c>
    </row>
    <row r="977" spans="1:18" ht="17" customHeight="1" x14ac:dyDescent="0.15">
      <c r="A977" s="11" t="s">
        <v>5195</v>
      </c>
      <c r="B977" s="1" t="s">
        <v>5196</v>
      </c>
      <c r="C977" s="11" t="s">
        <v>5197</v>
      </c>
      <c r="D977" s="11" t="s">
        <v>5197</v>
      </c>
      <c r="E977" s="11" t="s">
        <v>5198</v>
      </c>
      <c r="F977" s="11" t="s">
        <v>5114</v>
      </c>
      <c r="G977" s="11" t="s">
        <v>5108</v>
      </c>
      <c r="H977" s="11" t="s">
        <v>5109</v>
      </c>
      <c r="I977" s="11" t="str">
        <f>HYPERLINK("http://www.majorconf.com/","www.majorconf.com")</f>
        <v>www.majorconf.com</v>
      </c>
      <c r="J977" s="12">
        <v>9353.7279999999992</v>
      </c>
      <c r="K977" s="12">
        <v>9353.7279999999992</v>
      </c>
      <c r="L977" s="13">
        <v>7125.1189999999997</v>
      </c>
      <c r="M977" s="12">
        <v>321.78100000000001</v>
      </c>
      <c r="N977" s="12">
        <v>321.78100000000001</v>
      </c>
      <c r="O977" s="12">
        <v>-194.928</v>
      </c>
      <c r="P977" s="12">
        <v>40</v>
      </c>
      <c r="Q977" s="12">
        <v>40</v>
      </c>
      <c r="R977" s="12">
        <v>34</v>
      </c>
    </row>
    <row r="978" spans="1:18" ht="17" customHeight="1" x14ac:dyDescent="0.15">
      <c r="A978" s="8" t="s">
        <v>5199</v>
      </c>
      <c r="B978" s="9" t="s">
        <v>5200</v>
      </c>
      <c r="C978" s="8" t="s">
        <v>5201</v>
      </c>
      <c r="D978" s="8" t="s">
        <v>5201</v>
      </c>
      <c r="E978" s="8" t="s">
        <v>5202</v>
      </c>
      <c r="F978" s="8" t="s">
        <v>5193</v>
      </c>
      <c r="G978" s="8" t="s">
        <v>5148</v>
      </c>
      <c r="H978" s="8" t="s">
        <v>5142</v>
      </c>
      <c r="I978" s="8" t="str">
        <f>HYPERLINK("http://www.azadora.com/","www.azadora.com")</f>
        <v>www.azadora.com</v>
      </c>
      <c r="J978" s="10">
        <v>8206.3050000000003</v>
      </c>
      <c r="K978" s="10">
        <v>8206.3050000000003</v>
      </c>
      <c r="L978" s="10">
        <v>7096.8490000000002</v>
      </c>
      <c r="M978" s="10">
        <v>350.05599999999998</v>
      </c>
      <c r="N978" s="10">
        <v>350.05599999999998</v>
      </c>
      <c r="O978" s="10">
        <v>326.45800000000003</v>
      </c>
      <c r="P978" s="15" t="s">
        <v>5131</v>
      </c>
      <c r="Q978" s="15" t="s">
        <v>5131</v>
      </c>
      <c r="R978" s="10">
        <v>59</v>
      </c>
    </row>
    <row r="979" spans="1:18" ht="17" customHeight="1" x14ac:dyDescent="0.15">
      <c r="A979" s="11" t="s">
        <v>5203</v>
      </c>
      <c r="B979" s="1" t="s">
        <v>5204</v>
      </c>
      <c r="C979" s="11" t="s">
        <v>5205</v>
      </c>
      <c r="D979" s="11" t="s">
        <v>5206</v>
      </c>
      <c r="E979" s="11" t="s">
        <v>5207</v>
      </c>
      <c r="F979" s="11" t="s">
        <v>5208</v>
      </c>
      <c r="G979" s="11" t="s">
        <v>5209</v>
      </c>
      <c r="H979" s="11" t="s">
        <v>5210</v>
      </c>
      <c r="I979" s="11" t="str">
        <f>HYPERLINK("http://kaama.it/","kaama.it")</f>
        <v>kaama.it</v>
      </c>
      <c r="J979" s="12">
        <v>8346.3140000000003</v>
      </c>
      <c r="K979" s="12">
        <v>8346.3140000000003</v>
      </c>
      <c r="L979" s="13">
        <v>7092.0990000000002</v>
      </c>
      <c r="M979" s="12">
        <v>157.79900000000001</v>
      </c>
      <c r="N979" s="12">
        <v>157.79900000000001</v>
      </c>
      <c r="O979" s="12">
        <v>313.19600000000003</v>
      </c>
      <c r="P979" s="12">
        <v>19</v>
      </c>
      <c r="Q979" s="12">
        <v>19</v>
      </c>
      <c r="R979" s="12">
        <v>17</v>
      </c>
    </row>
    <row r="980" spans="1:18" ht="17" customHeight="1" x14ac:dyDescent="0.15">
      <c r="A980" s="8" t="s">
        <v>5211</v>
      </c>
      <c r="B980" s="9" t="s">
        <v>5212</v>
      </c>
      <c r="C980" s="8" t="s">
        <v>5213</v>
      </c>
      <c r="D980" s="8" t="s">
        <v>5213</v>
      </c>
      <c r="E980" s="8" t="s">
        <v>5214</v>
      </c>
      <c r="F980" s="8" t="s">
        <v>5208</v>
      </c>
      <c r="G980" s="8" t="s">
        <v>5215</v>
      </c>
      <c r="H980" s="8" t="s">
        <v>5216</v>
      </c>
      <c r="I980" s="8" t="str">
        <f>HYPERLINK("http://www.catapanosrl.it/","www.catapanosrl.it")</f>
        <v>www.catapanosrl.it</v>
      </c>
      <c r="J980" s="10">
        <v>9467.98</v>
      </c>
      <c r="K980" s="10">
        <v>9467.98</v>
      </c>
      <c r="L980" s="10">
        <v>7088.6260000000002</v>
      </c>
      <c r="M980" s="10">
        <v>18.510999999999999</v>
      </c>
      <c r="N980" s="10">
        <v>18.510999999999999</v>
      </c>
      <c r="O980" s="10">
        <v>108.857</v>
      </c>
      <c r="P980" s="15" t="s">
        <v>5131</v>
      </c>
      <c r="Q980" s="15" t="s">
        <v>5131</v>
      </c>
      <c r="R980" s="10">
        <v>41</v>
      </c>
    </row>
    <row r="981" spans="1:18" ht="17" customHeight="1" x14ac:dyDescent="0.15">
      <c r="A981" s="11" t="s">
        <v>5217</v>
      </c>
      <c r="B981" s="1" t="s">
        <v>5218</v>
      </c>
      <c r="C981" s="11" t="s">
        <v>5219</v>
      </c>
      <c r="D981" s="11" t="s">
        <v>5219</v>
      </c>
      <c r="E981" s="11" t="s">
        <v>5220</v>
      </c>
      <c r="F981" s="11" t="s">
        <v>5114</v>
      </c>
      <c r="G981" s="11" t="s">
        <v>5221</v>
      </c>
      <c r="H981" s="11" t="s">
        <v>5142</v>
      </c>
      <c r="I981" s="11" t="str">
        <f>HYPERLINK("http://www.piellepiu.it/","www.piellepiu.it")</f>
        <v>www.piellepiu.it</v>
      </c>
      <c r="J981" s="12">
        <v>6543.0529999999999</v>
      </c>
      <c r="K981" s="12">
        <v>6543.0529999999999</v>
      </c>
      <c r="L981" s="13">
        <v>7088.2839999999997</v>
      </c>
      <c r="M981" s="12">
        <v>82.475999999999999</v>
      </c>
      <c r="N981" s="12">
        <v>82.475999999999999</v>
      </c>
      <c r="O981" s="12">
        <v>164.291</v>
      </c>
      <c r="P981" s="12">
        <v>17</v>
      </c>
      <c r="Q981" s="12">
        <v>17</v>
      </c>
      <c r="R981" s="12">
        <v>14</v>
      </c>
    </row>
    <row r="982" spans="1:18" ht="17" customHeight="1" x14ac:dyDescent="0.15">
      <c r="A982" s="8" t="s">
        <v>5222</v>
      </c>
      <c r="B982" s="9" t="s">
        <v>5223</v>
      </c>
      <c r="C982" s="8" t="s">
        <v>5224</v>
      </c>
      <c r="D982" s="8" t="s">
        <v>5224</v>
      </c>
      <c r="E982" s="8" t="s">
        <v>5225</v>
      </c>
      <c r="F982" s="8" t="s">
        <v>5226</v>
      </c>
      <c r="G982" s="8" t="s">
        <v>5164</v>
      </c>
      <c r="H982" s="8" t="s">
        <v>5116</v>
      </c>
      <c r="I982" s="8" t="str">
        <f>HYPERLINK("http://www.lcmsuolificio.it/","http://www.lcmsuolificio.it")</f>
        <v>http://www.lcmsuolificio.it</v>
      </c>
      <c r="J982" s="10">
        <v>6293.625</v>
      </c>
      <c r="K982" s="10">
        <v>6293.625</v>
      </c>
      <c r="L982" s="10">
        <v>7086.0969999999998</v>
      </c>
      <c r="M982" s="10">
        <v>586.63300000000004</v>
      </c>
      <c r="N982" s="10">
        <v>586.63300000000004</v>
      </c>
      <c r="O982" s="10">
        <v>459.77199999999999</v>
      </c>
      <c r="P982" s="10">
        <v>30</v>
      </c>
      <c r="Q982" s="10">
        <v>30</v>
      </c>
      <c r="R982" s="10">
        <v>38</v>
      </c>
    </row>
    <row r="983" spans="1:18" ht="17" customHeight="1" x14ac:dyDescent="0.15">
      <c r="A983" s="11" t="s">
        <v>5227</v>
      </c>
      <c r="B983" s="1" t="s">
        <v>5228</v>
      </c>
      <c r="C983" s="11" t="s">
        <v>5229</v>
      </c>
      <c r="D983" s="11" t="s">
        <v>5229</v>
      </c>
      <c r="E983" s="11" t="s">
        <v>5230</v>
      </c>
      <c r="F983" s="11" t="s">
        <v>5140</v>
      </c>
      <c r="G983" s="11" t="s">
        <v>5141</v>
      </c>
      <c r="H983" s="11" t="s">
        <v>5142</v>
      </c>
      <c r="I983" s="11" t="str">
        <f>HYPERLINK("http://www.samanta.com/","http://www.samanta.com/")</f>
        <v>http://www.samanta.com/</v>
      </c>
      <c r="J983" s="12">
        <v>11546.554</v>
      </c>
      <c r="K983" s="12">
        <v>11546.554</v>
      </c>
      <c r="L983" s="13">
        <v>7078.0659999999998</v>
      </c>
      <c r="M983" s="12">
        <v>-4851.7160000000003</v>
      </c>
      <c r="N983" s="12">
        <v>-4851.7160000000003</v>
      </c>
      <c r="O983" s="12">
        <v>-4843.7889999999998</v>
      </c>
      <c r="P983" s="12">
        <v>53</v>
      </c>
      <c r="Q983" s="12">
        <v>53</v>
      </c>
      <c r="R983" s="12">
        <v>53</v>
      </c>
    </row>
    <row r="984" spans="1:18" ht="17" customHeight="1" x14ac:dyDescent="0.15">
      <c r="A984" s="8" t="s">
        <v>5231</v>
      </c>
      <c r="B984" s="9" t="s">
        <v>5232</v>
      </c>
      <c r="C984" s="8" t="s">
        <v>5233</v>
      </c>
      <c r="D984" s="8" t="s">
        <v>5233</v>
      </c>
      <c r="E984" s="8" t="s">
        <v>5234</v>
      </c>
      <c r="F984" s="8" t="s">
        <v>5121</v>
      </c>
      <c r="G984" s="8" t="s">
        <v>5235</v>
      </c>
      <c r="H984" s="8" t="s">
        <v>5109</v>
      </c>
      <c r="I984" s="8" t="str">
        <f>HYPERLINK("http://www.zocal.com/","www.zocal.com")</f>
        <v>www.zocal.com</v>
      </c>
      <c r="J984" s="10">
        <v>7698.3530000000001</v>
      </c>
      <c r="K984" s="10">
        <v>7698.3530000000001</v>
      </c>
      <c r="L984" s="10">
        <v>7076.0050000000001</v>
      </c>
      <c r="M984" s="10">
        <v>9.9760000000000009</v>
      </c>
      <c r="N984" s="10">
        <v>9.9760000000000009</v>
      </c>
      <c r="O984" s="10">
        <v>29.527999999999999</v>
      </c>
      <c r="P984" s="10">
        <v>37</v>
      </c>
      <c r="Q984" s="10">
        <v>37</v>
      </c>
      <c r="R984" s="10">
        <v>36</v>
      </c>
    </row>
    <row r="985" spans="1:18" ht="17" customHeight="1" x14ac:dyDescent="0.15">
      <c r="A985" s="11" t="s">
        <v>5236</v>
      </c>
      <c r="B985" s="1" t="s">
        <v>5237</v>
      </c>
      <c r="C985" s="11" t="s">
        <v>5238</v>
      </c>
      <c r="D985" s="11" t="s">
        <v>5238</v>
      </c>
      <c r="E985" s="11" t="s">
        <v>5239</v>
      </c>
      <c r="F985" s="11" t="s">
        <v>5140</v>
      </c>
      <c r="G985" s="11" t="s">
        <v>5141</v>
      </c>
      <c r="H985" s="11" t="s">
        <v>5142</v>
      </c>
      <c r="I985" s="11" t="str">
        <f>HYPERLINK("http://www.libertytannery.it/","http://www.libertytannery.it")</f>
        <v>http://www.libertytannery.it</v>
      </c>
      <c r="J985" s="12">
        <v>7202.317</v>
      </c>
      <c r="K985" s="12">
        <v>7202.317</v>
      </c>
      <c r="L985" s="13">
        <v>7063.6769999999997</v>
      </c>
      <c r="M985" s="12">
        <v>195.387</v>
      </c>
      <c r="N985" s="12">
        <v>195.387</v>
      </c>
      <c r="O985" s="12">
        <v>386.50900000000001</v>
      </c>
      <c r="P985" s="14" t="s">
        <v>5131</v>
      </c>
      <c r="Q985" s="14" t="s">
        <v>5131</v>
      </c>
      <c r="R985" s="12">
        <v>13</v>
      </c>
    </row>
    <row r="986" spans="1:18" ht="29.5" customHeight="1" x14ac:dyDescent="0.15">
      <c r="A986" s="8" t="s">
        <v>5240</v>
      </c>
      <c r="B986" s="9" t="s">
        <v>5241</v>
      </c>
      <c r="C986" s="8" t="s">
        <v>5242</v>
      </c>
      <c r="D986" s="8" t="s">
        <v>5242</v>
      </c>
      <c r="E986" s="8" t="s">
        <v>5243</v>
      </c>
      <c r="F986" s="8" t="s">
        <v>5140</v>
      </c>
      <c r="G986" s="8" t="s">
        <v>5108</v>
      </c>
      <c r="H986" s="8" t="s">
        <v>5109</v>
      </c>
      <c r="I986" s="8" t="str">
        <f>HYPERLINK("http://www.scabrenta.it/","www.scabrenta.it")</f>
        <v>www.scabrenta.it</v>
      </c>
      <c r="J986" s="10">
        <v>2937.4780000000001</v>
      </c>
      <c r="K986" s="10">
        <v>2937.4780000000001</v>
      </c>
      <c r="L986" s="10">
        <v>7050.951</v>
      </c>
      <c r="M986" s="10">
        <v>-306.98899999999998</v>
      </c>
      <c r="N986" s="10">
        <v>-306.98899999999998</v>
      </c>
      <c r="O986" s="10">
        <v>-247.94</v>
      </c>
      <c r="P986" s="10">
        <v>12</v>
      </c>
      <c r="Q986" s="10">
        <v>12</v>
      </c>
      <c r="R986" s="10">
        <v>17</v>
      </c>
    </row>
    <row r="987" spans="1:18" ht="17" customHeight="1" x14ac:dyDescent="0.15">
      <c r="A987" s="11" t="s">
        <v>5244</v>
      </c>
      <c r="B987" s="1" t="s">
        <v>5245</v>
      </c>
      <c r="C987" s="11" t="s">
        <v>5246</v>
      </c>
      <c r="D987" s="11" t="s">
        <v>5246</v>
      </c>
      <c r="E987" s="11" t="s">
        <v>5247</v>
      </c>
      <c r="F987" s="11" t="s">
        <v>5158</v>
      </c>
      <c r="G987" s="11" t="s">
        <v>5108</v>
      </c>
      <c r="H987" s="11" t="s">
        <v>5109</v>
      </c>
      <c r="I987" s="11" t="str">
        <f>HYPERLINK("http://www.denimservice.info/","www.denimservice.info")</f>
        <v>www.denimservice.info</v>
      </c>
      <c r="J987" s="12">
        <v>11423.710999999999</v>
      </c>
      <c r="K987" s="12">
        <v>11423.710999999999</v>
      </c>
      <c r="L987" s="13">
        <v>7035.1610000000001</v>
      </c>
      <c r="M987" s="12">
        <v>376.41199999999998</v>
      </c>
      <c r="N987" s="12">
        <v>376.41199999999998</v>
      </c>
      <c r="O987" s="12">
        <v>-160.95099999999999</v>
      </c>
      <c r="P987" s="12">
        <v>26</v>
      </c>
      <c r="Q987" s="12">
        <v>26</v>
      </c>
      <c r="R987" s="12">
        <v>22</v>
      </c>
    </row>
    <row r="988" spans="1:18" ht="17" customHeight="1" x14ac:dyDescent="0.15">
      <c r="A988" s="8" t="s">
        <v>5248</v>
      </c>
      <c r="B988" s="9" t="s">
        <v>5249</v>
      </c>
      <c r="C988" s="8" t="s">
        <v>5250</v>
      </c>
      <c r="D988" s="8" t="s">
        <v>5250</v>
      </c>
      <c r="E988" s="8" t="s">
        <v>5251</v>
      </c>
      <c r="F988" s="8" t="s">
        <v>5121</v>
      </c>
      <c r="G988" s="8" t="s">
        <v>5252</v>
      </c>
      <c r="H988" s="8" t="s">
        <v>5142</v>
      </c>
      <c r="I988" s="8" t="str">
        <f>HYPERLINK("http://www.suolificiodick.it/","www.suolificiodick.it")</f>
        <v>www.suolificiodick.it</v>
      </c>
      <c r="J988" s="10">
        <v>5900.85</v>
      </c>
      <c r="K988" s="10">
        <v>5900.85</v>
      </c>
      <c r="L988" s="10">
        <v>6993.6369999999997</v>
      </c>
      <c r="M988" s="10">
        <v>46.265000000000001</v>
      </c>
      <c r="N988" s="10">
        <v>46.265000000000001</v>
      </c>
      <c r="O988" s="10">
        <v>247.42500000000001</v>
      </c>
      <c r="P988" s="10">
        <v>30</v>
      </c>
      <c r="Q988" s="10">
        <v>30</v>
      </c>
      <c r="R988" s="10">
        <v>28</v>
      </c>
    </row>
    <row r="989" spans="1:18" ht="17" customHeight="1" x14ac:dyDescent="0.15">
      <c r="A989" s="11" t="s">
        <v>5253</v>
      </c>
      <c r="B989" s="1" t="s">
        <v>5254</v>
      </c>
      <c r="C989" s="11" t="s">
        <v>5255</v>
      </c>
      <c r="D989" s="11" t="s">
        <v>5255</v>
      </c>
      <c r="E989" s="11" t="s">
        <v>5256</v>
      </c>
      <c r="F989" s="11" t="s">
        <v>5153</v>
      </c>
      <c r="G989" s="11" t="s">
        <v>5164</v>
      </c>
      <c r="H989" s="11" t="s">
        <v>5116</v>
      </c>
      <c r="I989" s="11" t="str">
        <f>HYPERLINK("http://www.giellecompany.com/","www.giellecompany.com")</f>
        <v>www.giellecompany.com</v>
      </c>
      <c r="J989" s="12">
        <v>3758.3150000000001</v>
      </c>
      <c r="K989" s="12">
        <v>3758.3150000000001</v>
      </c>
      <c r="L989" s="13">
        <v>6984.7939999999999</v>
      </c>
      <c r="M989" s="12">
        <v>35.389000000000003</v>
      </c>
      <c r="N989" s="12">
        <v>35.389000000000003</v>
      </c>
      <c r="O989" s="12">
        <v>134.26400000000001</v>
      </c>
      <c r="P989" s="12">
        <v>9</v>
      </c>
      <c r="Q989" s="12">
        <v>9</v>
      </c>
      <c r="R989" s="12">
        <v>10</v>
      </c>
    </row>
    <row r="990" spans="1:18" ht="17" customHeight="1" x14ac:dyDescent="0.15">
      <c r="A990" s="8" t="s">
        <v>5257</v>
      </c>
      <c r="B990" s="9" t="s">
        <v>5258</v>
      </c>
      <c r="C990" s="8" t="s">
        <v>5259</v>
      </c>
      <c r="D990" s="8" t="s">
        <v>5259</v>
      </c>
      <c r="E990" s="8" t="s">
        <v>5260</v>
      </c>
      <c r="F990" s="8" t="s">
        <v>5193</v>
      </c>
      <c r="G990" s="8" t="s">
        <v>5261</v>
      </c>
      <c r="H990" s="8" t="s">
        <v>5262</v>
      </c>
      <c r="I990" s="8" t="str">
        <f>HYPERLINK("http://www.cristianoclass.it/","www.cristianoclass.it/")</f>
        <v>www.cristianoclass.it/</v>
      </c>
      <c r="J990" s="10">
        <v>7345.2610000000004</v>
      </c>
      <c r="K990" s="10">
        <v>7345.2610000000004</v>
      </c>
      <c r="L990" s="10">
        <v>6967.3320000000003</v>
      </c>
      <c r="M990" s="10">
        <v>67.234999999999999</v>
      </c>
      <c r="N990" s="10">
        <v>67.234999999999999</v>
      </c>
      <c r="O990" s="10">
        <v>52.68</v>
      </c>
      <c r="P990" s="10">
        <v>7</v>
      </c>
      <c r="Q990" s="10">
        <v>7</v>
      </c>
      <c r="R990" s="10">
        <v>8</v>
      </c>
    </row>
    <row r="991" spans="1:18" ht="17" customHeight="1" x14ac:dyDescent="0.15">
      <c r="A991" s="11" t="s">
        <v>5263</v>
      </c>
      <c r="B991" s="1" t="s">
        <v>5264</v>
      </c>
      <c r="C991" s="11" t="s">
        <v>5265</v>
      </c>
      <c r="D991" s="11" t="s">
        <v>5265</v>
      </c>
      <c r="E991" s="11" t="s">
        <v>5266</v>
      </c>
      <c r="F991" s="11" t="s">
        <v>5267</v>
      </c>
      <c r="G991" s="11" t="s">
        <v>5235</v>
      </c>
      <c r="H991" s="11" t="s">
        <v>5109</v>
      </c>
      <c r="I991" s="11" t="str">
        <f>HYPERLINK("http://lnx.maglificiomgs.it/","lnx.maglificiomgs.it")</f>
        <v>lnx.maglificiomgs.it</v>
      </c>
      <c r="J991" s="12">
        <v>7124.1120000000001</v>
      </c>
      <c r="K991" s="12">
        <v>7124.1120000000001</v>
      </c>
      <c r="L991" s="13">
        <v>6965.9539999999997</v>
      </c>
      <c r="M991" s="12">
        <v>70.843999999999994</v>
      </c>
      <c r="N991" s="12">
        <v>70.843999999999994</v>
      </c>
      <c r="O991" s="12">
        <v>73.046000000000006</v>
      </c>
      <c r="P991" s="12">
        <v>10</v>
      </c>
      <c r="Q991" s="12">
        <v>10</v>
      </c>
      <c r="R991" s="12">
        <v>10</v>
      </c>
    </row>
    <row r="992" spans="1:18" ht="17" customHeight="1" x14ac:dyDescent="0.15">
      <c r="A992" s="8" t="s">
        <v>5268</v>
      </c>
      <c r="B992" s="9" t="s">
        <v>5269</v>
      </c>
      <c r="C992" s="8" t="s">
        <v>5270</v>
      </c>
      <c r="D992" s="8" t="s">
        <v>5270</v>
      </c>
      <c r="E992" s="8" t="s">
        <v>5271</v>
      </c>
      <c r="F992" s="8" t="s">
        <v>5272</v>
      </c>
      <c r="G992" s="8" t="s">
        <v>5273</v>
      </c>
      <c r="H992" s="8" t="s">
        <v>5116</v>
      </c>
      <c r="I992" s="8" t="str">
        <f>HYPERLINK("http://www.polettishirts.com/","http://www.polettishirts.com")</f>
        <v>http://www.polettishirts.com</v>
      </c>
      <c r="J992" s="10">
        <v>7848.9369999999999</v>
      </c>
      <c r="K992" s="10">
        <v>7848.9369999999999</v>
      </c>
      <c r="L992" s="10">
        <v>6965.2449999999999</v>
      </c>
      <c r="M992" s="10">
        <v>220.04900000000001</v>
      </c>
      <c r="N992" s="10">
        <v>220.04900000000001</v>
      </c>
      <c r="O992" s="10">
        <v>24.552</v>
      </c>
      <c r="P992" s="10">
        <v>23</v>
      </c>
      <c r="Q992" s="10">
        <v>23</v>
      </c>
      <c r="R992" s="10">
        <v>23</v>
      </c>
    </row>
    <row r="993" spans="1:18" ht="17" customHeight="1" x14ac:dyDescent="0.15">
      <c r="A993" s="11" t="s">
        <v>5274</v>
      </c>
      <c r="B993" s="1" t="s">
        <v>5275</v>
      </c>
      <c r="C993" s="11" t="s">
        <v>5276</v>
      </c>
      <c r="D993" s="11" t="s">
        <v>5276</v>
      </c>
      <c r="E993" s="11" t="s">
        <v>5277</v>
      </c>
      <c r="F993" s="11" t="s">
        <v>5278</v>
      </c>
      <c r="G993" s="11" t="s">
        <v>5279</v>
      </c>
      <c r="H993" s="11" t="s">
        <v>5280</v>
      </c>
      <c r="I993" s="11" t="str">
        <f>HYPERLINK("http://www.tmcorp.it/","www.tmcorp.it")</f>
        <v>www.tmcorp.it</v>
      </c>
      <c r="J993" s="12">
        <v>6561.152</v>
      </c>
      <c r="K993" s="12">
        <v>6561.152</v>
      </c>
      <c r="L993" s="13">
        <v>6961.8919999999998</v>
      </c>
      <c r="M993" s="12">
        <v>96.409000000000006</v>
      </c>
      <c r="N993" s="12">
        <v>96.409000000000006</v>
      </c>
      <c r="O993" s="12">
        <v>322.04700000000003</v>
      </c>
      <c r="P993" s="12">
        <v>66</v>
      </c>
      <c r="Q993" s="12">
        <v>66</v>
      </c>
      <c r="R993" s="12">
        <v>70</v>
      </c>
    </row>
    <row r="994" spans="1:18" ht="17" customHeight="1" x14ac:dyDescent="0.15">
      <c r="A994" s="8" t="s">
        <v>5281</v>
      </c>
      <c r="B994" s="9" t="s">
        <v>5282</v>
      </c>
      <c r="C994" s="8" t="s">
        <v>5283</v>
      </c>
      <c r="D994" s="8" t="s">
        <v>5283</v>
      </c>
      <c r="E994" s="8" t="s">
        <v>5284</v>
      </c>
      <c r="F994" s="8" t="s">
        <v>5285</v>
      </c>
      <c r="G994" s="8" t="s">
        <v>5286</v>
      </c>
      <c r="H994" s="8" t="s">
        <v>5287</v>
      </c>
      <c r="I994" s="8" t="str">
        <f>HYPERLINK("http://www.calzaturificiolusar.it/","www.calzaturificiolusar.it")</f>
        <v>www.calzaturificiolusar.it</v>
      </c>
      <c r="J994" s="10">
        <v>7067.4369999999999</v>
      </c>
      <c r="K994" s="10">
        <v>7176.643</v>
      </c>
      <c r="L994" s="10">
        <v>6958.3379999999997</v>
      </c>
      <c r="M994" s="10">
        <v>0.76400000000000001</v>
      </c>
      <c r="N994" s="10">
        <v>41.018000000000001</v>
      </c>
      <c r="O994" s="10">
        <v>41.874000000000002</v>
      </c>
      <c r="P994" s="15" t="s">
        <v>5288</v>
      </c>
      <c r="Q994" s="10">
        <v>33</v>
      </c>
      <c r="R994" s="10">
        <v>32</v>
      </c>
    </row>
    <row r="995" spans="1:18" ht="17" customHeight="1" x14ac:dyDescent="0.15">
      <c r="A995" s="11" t="s">
        <v>5289</v>
      </c>
      <c r="B995" s="1" t="s">
        <v>5290</v>
      </c>
      <c r="C995" s="11" t="s">
        <v>5291</v>
      </c>
      <c r="D995" s="11" t="s">
        <v>5291</v>
      </c>
      <c r="E995" s="11" t="s">
        <v>5292</v>
      </c>
      <c r="F995" s="11" t="s">
        <v>5293</v>
      </c>
      <c r="G995" s="11" t="s">
        <v>5294</v>
      </c>
      <c r="H995" s="11" t="s">
        <v>5295</v>
      </c>
      <c r="I995" s="11" t="str">
        <f>HYPERLINK("http://www.goldmeitalia.com/","www.goldmeitalia.com")</f>
        <v>www.goldmeitalia.com</v>
      </c>
      <c r="J995" s="12">
        <v>6969.7340000000004</v>
      </c>
      <c r="K995" s="12">
        <v>6969.7340000000004</v>
      </c>
      <c r="L995" s="13">
        <v>6946.28</v>
      </c>
      <c r="M995" s="12">
        <v>64.716999999999999</v>
      </c>
      <c r="N995" s="12">
        <v>64.716999999999999</v>
      </c>
      <c r="O995" s="12">
        <v>66.366</v>
      </c>
      <c r="P995" s="12">
        <v>22</v>
      </c>
      <c r="Q995" s="12">
        <v>22</v>
      </c>
      <c r="R995" s="12">
        <v>21</v>
      </c>
    </row>
    <row r="996" spans="1:18" ht="43" customHeight="1" x14ac:dyDescent="0.15">
      <c r="A996" s="8" t="s">
        <v>5296</v>
      </c>
      <c r="B996" s="9" t="s">
        <v>5297</v>
      </c>
      <c r="C996" s="8" t="s">
        <v>5298</v>
      </c>
      <c r="D996" s="8" t="s">
        <v>5298</v>
      </c>
      <c r="E996" s="8" t="s">
        <v>5299</v>
      </c>
      <c r="F996" s="8" t="s">
        <v>5293</v>
      </c>
      <c r="G996" s="8" t="s">
        <v>5300</v>
      </c>
      <c r="H996" s="8" t="s">
        <v>5301</v>
      </c>
      <c r="I996" s="8" t="str">
        <f>HYPERLINK("http://www.cataldigroup.it/","www.cataldigroup.it")</f>
        <v>www.cataldigroup.it</v>
      </c>
      <c r="J996" s="10">
        <v>2532.7339999999999</v>
      </c>
      <c r="K996" s="10">
        <v>2532.7339999999999</v>
      </c>
      <c r="L996" s="10">
        <v>6940.9979999999996</v>
      </c>
      <c r="M996" s="10">
        <v>-990.75199999999995</v>
      </c>
      <c r="N996" s="10">
        <v>-990.75199999999995</v>
      </c>
      <c r="O996" s="10">
        <v>-225.87200000000001</v>
      </c>
      <c r="P996" s="10">
        <v>19</v>
      </c>
      <c r="Q996" s="10">
        <v>19</v>
      </c>
      <c r="R996" s="10">
        <v>25</v>
      </c>
    </row>
    <row r="997" spans="1:18" ht="29.5" customHeight="1" x14ac:dyDescent="0.15">
      <c r="A997" s="11" t="s">
        <v>5302</v>
      </c>
      <c r="B997" s="1" t="s">
        <v>5303</v>
      </c>
      <c r="C997" s="11" t="s">
        <v>5304</v>
      </c>
      <c r="D997" s="11" t="s">
        <v>5304</v>
      </c>
      <c r="E997" s="11" t="s">
        <v>5305</v>
      </c>
      <c r="F997" s="11" t="s">
        <v>5306</v>
      </c>
      <c r="G997" s="11" t="s">
        <v>5307</v>
      </c>
      <c r="H997" s="11" t="s">
        <v>5295</v>
      </c>
      <c r="I997" s="11" t="str">
        <f>HYPERLINK("http://www.unionleathers.com/","www.unionleathers.com")</f>
        <v>www.unionleathers.com</v>
      </c>
      <c r="J997" s="12">
        <v>6967.7929999999997</v>
      </c>
      <c r="K997" s="12">
        <v>6967.7929999999997</v>
      </c>
      <c r="L997" s="13">
        <v>6938.2659999999996</v>
      </c>
      <c r="M997" s="12">
        <v>15.903</v>
      </c>
      <c r="N997" s="12">
        <v>15.903</v>
      </c>
      <c r="O997" s="12">
        <v>-38.186999999999998</v>
      </c>
      <c r="P997" s="12">
        <v>12</v>
      </c>
      <c r="Q997" s="12">
        <v>12</v>
      </c>
      <c r="R997" s="12">
        <v>14</v>
      </c>
    </row>
    <row r="998" spans="1:18" ht="17" customHeight="1" x14ac:dyDescent="0.15">
      <c r="A998" s="8" t="s">
        <v>5308</v>
      </c>
      <c r="B998" s="9" t="s">
        <v>5309</v>
      </c>
      <c r="C998" s="8" t="s">
        <v>5310</v>
      </c>
      <c r="D998" s="8" t="s">
        <v>5310</v>
      </c>
      <c r="E998" s="8" t="s">
        <v>5311</v>
      </c>
      <c r="F998" s="8" t="s">
        <v>5312</v>
      </c>
      <c r="G998" s="8" t="s">
        <v>5313</v>
      </c>
      <c r="H998" s="8" t="s">
        <v>5280</v>
      </c>
      <c r="I998" s="8" t="str">
        <f>HYPERLINK("http://www.e9planet.com/","www.e9planet.com")</f>
        <v>www.e9planet.com</v>
      </c>
      <c r="J998" s="10">
        <v>9805.9330000000009</v>
      </c>
      <c r="K998" s="10">
        <v>9805.9330000000009</v>
      </c>
      <c r="L998" s="10">
        <v>6935.72</v>
      </c>
      <c r="M998" s="10">
        <v>1496.606</v>
      </c>
      <c r="N998" s="10">
        <v>1496.606</v>
      </c>
      <c r="O998" s="10">
        <v>1056.479</v>
      </c>
      <c r="P998" s="10">
        <v>10</v>
      </c>
      <c r="Q998" s="10">
        <v>10</v>
      </c>
      <c r="R998" s="10">
        <v>9</v>
      </c>
    </row>
    <row r="999" spans="1:18" ht="17" customHeight="1" x14ac:dyDescent="0.15">
      <c r="A999" s="11" t="s">
        <v>5314</v>
      </c>
      <c r="B999" s="1" t="s">
        <v>5315</v>
      </c>
      <c r="C999" s="11" t="s">
        <v>5316</v>
      </c>
      <c r="D999" s="11" t="s">
        <v>5316</v>
      </c>
      <c r="E999" s="11" t="s">
        <v>5317</v>
      </c>
      <c r="F999" s="11" t="s">
        <v>5312</v>
      </c>
      <c r="G999" s="11" t="s">
        <v>5318</v>
      </c>
      <c r="H999" s="11" t="s">
        <v>5319</v>
      </c>
      <c r="I999" s="11" t="str">
        <f>HYPERLINK("http://4giveness.com/","4giveness.com")</f>
        <v>4giveness.com</v>
      </c>
      <c r="J999" s="12">
        <v>7075.8739999999998</v>
      </c>
      <c r="K999" s="12">
        <v>7075.8739999999998</v>
      </c>
      <c r="L999" s="13">
        <v>6934.5720000000001</v>
      </c>
      <c r="M999" s="12">
        <v>663.94399999999996</v>
      </c>
      <c r="N999" s="12">
        <v>663.94399999999996</v>
      </c>
      <c r="O999" s="12">
        <v>664.59500000000003</v>
      </c>
      <c r="P999" s="12">
        <v>18</v>
      </c>
      <c r="Q999" s="12">
        <v>18</v>
      </c>
      <c r="R999" s="12">
        <v>22</v>
      </c>
    </row>
    <row r="1000" spans="1:18" ht="17" customHeight="1" x14ac:dyDescent="0.15">
      <c r="A1000" s="8" t="s">
        <v>5320</v>
      </c>
      <c r="B1000" s="9" t="s">
        <v>5321</v>
      </c>
      <c r="C1000" s="8" t="s">
        <v>5322</v>
      </c>
      <c r="D1000" s="8" t="s">
        <v>5322</v>
      </c>
      <c r="E1000" s="8" t="s">
        <v>5323</v>
      </c>
      <c r="F1000" s="8" t="s">
        <v>5306</v>
      </c>
      <c r="G1000" s="8" t="s">
        <v>5324</v>
      </c>
      <c r="H1000" s="8" t="s">
        <v>5301</v>
      </c>
      <c r="I1000" s="8" t="str">
        <f>HYPERLINK("http://www.conceriasirte.com/","www.conceriasirte.com")</f>
        <v>www.conceriasirte.com</v>
      </c>
      <c r="J1000" s="10">
        <v>6390.4380000000001</v>
      </c>
      <c r="K1000" s="10">
        <v>6390.4380000000001</v>
      </c>
      <c r="L1000" s="10">
        <v>6912.6459999999997</v>
      </c>
      <c r="M1000" s="10">
        <v>-777.77800000000002</v>
      </c>
      <c r="N1000" s="10">
        <v>-777.77800000000002</v>
      </c>
      <c r="O1000" s="10">
        <v>-1170.2860000000001</v>
      </c>
      <c r="P1000" s="10">
        <v>31</v>
      </c>
      <c r="Q1000" s="10">
        <v>31</v>
      </c>
      <c r="R1000" s="10">
        <v>41</v>
      </c>
    </row>
    <row r="1001" spans="1:18" ht="17" customHeight="1" x14ac:dyDescent="0.15">
      <c r="A1001" s="11" t="s">
        <v>5325</v>
      </c>
      <c r="B1001" s="1" t="s">
        <v>5326</v>
      </c>
      <c r="C1001" s="11" t="s">
        <v>5327</v>
      </c>
      <c r="D1001" s="11" t="s">
        <v>5327</v>
      </c>
      <c r="E1001" s="11" t="s">
        <v>5328</v>
      </c>
      <c r="F1001" s="11" t="s">
        <v>5306</v>
      </c>
      <c r="G1001" s="11" t="s">
        <v>5307</v>
      </c>
      <c r="H1001" s="11" t="s">
        <v>5295</v>
      </c>
      <c r="I1001" s="11" t="str">
        <f>HYPERLINK("http://www.oppellami.it/","www.oppellami.it")</f>
        <v>www.oppellami.it</v>
      </c>
      <c r="J1001" s="12">
        <v>6038.74</v>
      </c>
      <c r="K1001" s="12">
        <v>6038.74</v>
      </c>
      <c r="L1001" s="13">
        <v>6878.9669999999996</v>
      </c>
      <c r="M1001" s="12">
        <v>55.255000000000003</v>
      </c>
      <c r="N1001" s="12">
        <v>55.255000000000003</v>
      </c>
      <c r="O1001" s="12">
        <v>35.223999999999997</v>
      </c>
      <c r="P1001" s="12">
        <v>7</v>
      </c>
      <c r="Q1001" s="12">
        <v>7</v>
      </c>
      <c r="R1001" s="12">
        <v>11</v>
      </c>
    </row>
    <row r="1002" spans="1:18" ht="17" customHeight="1" x14ac:dyDescent="0.15">
      <c r="A1002" s="8" t="s">
        <v>5329</v>
      </c>
      <c r="B1002" s="9" t="s">
        <v>5330</v>
      </c>
      <c r="C1002" s="8" t="s">
        <v>5331</v>
      </c>
      <c r="D1002" s="8" t="s">
        <v>5331</v>
      </c>
      <c r="E1002" s="8" t="s">
        <v>5332</v>
      </c>
      <c r="F1002" s="8" t="s">
        <v>5333</v>
      </c>
      <c r="G1002" s="8" t="s">
        <v>5334</v>
      </c>
      <c r="H1002" s="8" t="s">
        <v>5287</v>
      </c>
      <c r="I1002" s="8" t="str">
        <f>HYPERLINK("http://www.guidopasquali.it/","www.guidopasquali.it")</f>
        <v>www.guidopasquali.it</v>
      </c>
      <c r="J1002" s="10">
        <v>4253.9219999999996</v>
      </c>
      <c r="K1002" s="10">
        <v>4253.9219999999996</v>
      </c>
      <c r="L1002" s="10">
        <v>6859.616</v>
      </c>
      <c r="M1002" s="10">
        <v>-113.41500000000001</v>
      </c>
      <c r="N1002" s="10">
        <v>-113.41500000000001</v>
      </c>
      <c r="O1002" s="10">
        <v>171.78800000000001</v>
      </c>
      <c r="P1002" s="10">
        <v>29</v>
      </c>
      <c r="Q1002" s="10">
        <v>29</v>
      </c>
      <c r="R1002" s="10">
        <v>39</v>
      </c>
    </row>
    <row r="1003" spans="1:18" ht="29.5" customHeight="1" x14ac:dyDescent="0.15">
      <c r="A1003" s="11" t="s">
        <v>5335</v>
      </c>
      <c r="B1003" s="1" t="s">
        <v>5336</v>
      </c>
      <c r="C1003" s="11" t="s">
        <v>5337</v>
      </c>
      <c r="D1003" s="11" t="s">
        <v>5337</v>
      </c>
      <c r="E1003" s="11" t="s">
        <v>5338</v>
      </c>
      <c r="F1003" s="11" t="s">
        <v>5306</v>
      </c>
      <c r="G1003" s="11" t="s">
        <v>5324</v>
      </c>
      <c r="H1003" s="11" t="s">
        <v>5301</v>
      </c>
      <c r="I1003" s="11" t="str">
        <f>HYPERLINK("http://www.arnella.it/","www.arnella.it")</f>
        <v>www.arnella.it</v>
      </c>
      <c r="J1003" s="12">
        <v>3719.2979999999998</v>
      </c>
      <c r="K1003" s="12">
        <v>3719.2979999999998</v>
      </c>
      <c r="L1003" s="13">
        <v>6856.067</v>
      </c>
      <c r="M1003" s="12">
        <v>29.709</v>
      </c>
      <c r="N1003" s="12">
        <v>29.709</v>
      </c>
      <c r="O1003" s="12">
        <v>404.35599999999999</v>
      </c>
      <c r="P1003" s="12">
        <v>15</v>
      </c>
      <c r="Q1003" s="12">
        <v>15</v>
      </c>
      <c r="R1003" s="12">
        <v>16</v>
      </c>
    </row>
    <row r="1004" spans="1:18" ht="17" customHeight="1" x14ac:dyDescent="0.15">
      <c r="A1004" s="8" t="s">
        <v>5339</v>
      </c>
      <c r="B1004" s="9" t="s">
        <v>5340</v>
      </c>
      <c r="C1004" s="8" t="s">
        <v>5341</v>
      </c>
      <c r="D1004" s="8" t="s">
        <v>5341</v>
      </c>
      <c r="E1004" s="8" t="s">
        <v>5342</v>
      </c>
      <c r="F1004" s="8" t="s">
        <v>5343</v>
      </c>
      <c r="G1004" s="8" t="s">
        <v>5344</v>
      </c>
      <c r="H1004" s="8" t="s">
        <v>5345</v>
      </c>
      <c r="I1004" s="8" t="str">
        <f>HYPERLINK("http://www.paladinilingerie.com/","www.paladinilingerie.com")</f>
        <v>www.paladinilingerie.com</v>
      </c>
      <c r="J1004" s="10">
        <v>7055.9970000000003</v>
      </c>
      <c r="K1004" s="10">
        <v>7055.9970000000003</v>
      </c>
      <c r="L1004" s="10">
        <v>6847.5020000000004</v>
      </c>
      <c r="M1004" s="10">
        <v>19.123999999999999</v>
      </c>
      <c r="N1004" s="10">
        <v>19.123999999999999</v>
      </c>
      <c r="O1004" s="10">
        <v>11.34</v>
      </c>
      <c r="P1004" s="10">
        <v>30</v>
      </c>
      <c r="Q1004" s="10">
        <v>30</v>
      </c>
      <c r="R1004" s="10">
        <v>31</v>
      </c>
    </row>
    <row r="1005" spans="1:18" ht="17" customHeight="1" x14ac:dyDescent="0.15">
      <c r="A1005" s="11" t="s">
        <v>5346</v>
      </c>
      <c r="B1005" s="1" t="s">
        <v>5347</v>
      </c>
      <c r="C1005" s="11" t="s">
        <v>5348</v>
      </c>
      <c r="D1005" s="11" t="s">
        <v>5348</v>
      </c>
      <c r="E1005" s="11" t="s">
        <v>5349</v>
      </c>
      <c r="F1005" s="11" t="s">
        <v>5278</v>
      </c>
      <c r="G1005" s="11" t="s">
        <v>5350</v>
      </c>
      <c r="H1005" s="11" t="s">
        <v>5301</v>
      </c>
      <c r="I1005" s="11" t="str">
        <f>HYPERLINK("http://www.arespelletteria.com/","www.arespelletteria.com")</f>
        <v>www.arespelletteria.com</v>
      </c>
      <c r="J1005" s="12">
        <v>5291.3209999999999</v>
      </c>
      <c r="K1005" s="12">
        <v>5291.3209999999999</v>
      </c>
      <c r="L1005" s="13">
        <v>6846.5240000000003</v>
      </c>
      <c r="M1005" s="12">
        <v>-109.702</v>
      </c>
      <c r="N1005" s="12">
        <v>-109.702</v>
      </c>
      <c r="O1005" s="12">
        <v>303.43299999999999</v>
      </c>
      <c r="P1005" s="12">
        <v>49</v>
      </c>
      <c r="Q1005" s="12">
        <v>49</v>
      </c>
      <c r="R1005" s="12">
        <v>49</v>
      </c>
    </row>
    <row r="1006" spans="1:18" ht="17" customHeight="1" x14ac:dyDescent="0.15">
      <c r="A1006" s="8" t="s">
        <v>5351</v>
      </c>
      <c r="B1006" s="9" t="s">
        <v>5352</v>
      </c>
      <c r="C1006" s="8" t="s">
        <v>5353</v>
      </c>
      <c r="D1006" s="8" t="s">
        <v>5353</v>
      </c>
      <c r="E1006" s="8" t="s">
        <v>5354</v>
      </c>
      <c r="F1006" s="8" t="s">
        <v>5306</v>
      </c>
      <c r="G1006" s="8" t="s">
        <v>5355</v>
      </c>
      <c r="H1006" s="8" t="s">
        <v>5356</v>
      </c>
      <c r="I1006" s="8" t="str">
        <f>HYPERLINK("http://www.denasesrl.it/","www.denasesrl.it")</f>
        <v>www.denasesrl.it</v>
      </c>
      <c r="J1006" s="10">
        <v>6630.7860000000001</v>
      </c>
      <c r="K1006" s="10">
        <v>6630.7860000000001</v>
      </c>
      <c r="L1006" s="10">
        <v>6845.5619999999999</v>
      </c>
      <c r="M1006" s="10">
        <v>60.668999999999997</v>
      </c>
      <c r="N1006" s="10">
        <v>60.668999999999997</v>
      </c>
      <c r="O1006" s="10">
        <v>112.845</v>
      </c>
      <c r="P1006" s="10">
        <v>38</v>
      </c>
      <c r="Q1006" s="10">
        <v>38</v>
      </c>
      <c r="R1006" s="10">
        <v>37</v>
      </c>
    </row>
    <row r="1007" spans="1:18" ht="17" customHeight="1" x14ac:dyDescent="0.15">
      <c r="A1007" s="11" t="s">
        <v>5357</v>
      </c>
      <c r="B1007" s="1" t="s">
        <v>5358</v>
      </c>
      <c r="C1007" s="11" t="s">
        <v>5359</v>
      </c>
      <c r="D1007" s="11" t="s">
        <v>5359</v>
      </c>
      <c r="E1007" s="11" t="s">
        <v>5360</v>
      </c>
      <c r="F1007" s="11" t="s">
        <v>5285</v>
      </c>
      <c r="G1007" s="11" t="s">
        <v>5279</v>
      </c>
      <c r="H1007" s="11" t="s">
        <v>5280</v>
      </c>
      <c r="I1007" s="11" t="str">
        <f>HYPERLINK("http://www.amarene.eu/","www.amarene.eu")</f>
        <v>www.amarene.eu</v>
      </c>
      <c r="J1007" s="12">
        <v>4195.7449999999999</v>
      </c>
      <c r="K1007" s="12">
        <v>4195.7449999999999</v>
      </c>
      <c r="L1007" s="13">
        <v>6819.1819999999998</v>
      </c>
      <c r="M1007" s="12">
        <v>468.24900000000002</v>
      </c>
      <c r="N1007" s="12">
        <v>468.24900000000002</v>
      </c>
      <c r="O1007" s="12">
        <v>398.21600000000001</v>
      </c>
      <c r="P1007" s="14" t="s">
        <v>5288</v>
      </c>
      <c r="Q1007" s="14" t="s">
        <v>5288</v>
      </c>
      <c r="R1007" s="12">
        <v>30</v>
      </c>
    </row>
    <row r="1008" spans="1:18" ht="17" customHeight="1" x14ac:dyDescent="0.15">
      <c r="A1008" s="8" t="s">
        <v>5361</v>
      </c>
      <c r="B1008" s="9" t="s">
        <v>5362</v>
      </c>
      <c r="C1008" s="8" t="s">
        <v>5363</v>
      </c>
      <c r="D1008" s="8" t="s">
        <v>5363</v>
      </c>
      <c r="E1008" s="8" t="s">
        <v>5364</v>
      </c>
      <c r="F1008" s="8" t="s">
        <v>5306</v>
      </c>
      <c r="G1008" s="8" t="s">
        <v>5307</v>
      </c>
      <c r="H1008" s="8" t="s">
        <v>5295</v>
      </c>
      <c r="I1008" s="8" t="str">
        <f>HYPERLINK("http://www.professionepelli.com/","www.professionepelli.com")</f>
        <v>www.professionepelli.com</v>
      </c>
      <c r="J1008" s="10">
        <v>5875.3059999999996</v>
      </c>
      <c r="K1008" s="10">
        <v>5875.3059999999996</v>
      </c>
      <c r="L1008" s="10">
        <v>6816.2569999999996</v>
      </c>
      <c r="M1008" s="10">
        <v>63.183999999999997</v>
      </c>
      <c r="N1008" s="10">
        <v>63.183999999999997</v>
      </c>
      <c r="O1008" s="10">
        <v>151.14400000000001</v>
      </c>
      <c r="P1008" s="10">
        <v>2</v>
      </c>
      <c r="Q1008" s="10">
        <v>2</v>
      </c>
      <c r="R1008" s="10">
        <v>3</v>
      </c>
    </row>
    <row r="1009" spans="1:18" ht="29.5" customHeight="1" x14ac:dyDescent="0.15">
      <c r="A1009" s="11" t="s">
        <v>5365</v>
      </c>
      <c r="B1009" s="1" t="s">
        <v>5366</v>
      </c>
      <c r="C1009" s="11" t="s">
        <v>5367</v>
      </c>
      <c r="D1009" s="11" t="s">
        <v>5367</v>
      </c>
      <c r="E1009" s="11" t="s">
        <v>5368</v>
      </c>
      <c r="F1009" s="11" t="s">
        <v>5306</v>
      </c>
      <c r="G1009" s="11" t="s">
        <v>5324</v>
      </c>
      <c r="H1009" s="11" t="s">
        <v>5301</v>
      </c>
      <c r="I1009" s="11" t="str">
        <f>HYPERLINK("http://tuscaniaspa.it/","tuscaniaspa.it")</f>
        <v>tuscaniaspa.it</v>
      </c>
      <c r="J1009" s="12">
        <v>7001.0829999999996</v>
      </c>
      <c r="K1009" s="12">
        <v>7001.0829999999996</v>
      </c>
      <c r="L1009" s="13">
        <v>6815.2389999999996</v>
      </c>
      <c r="M1009" s="12">
        <v>14.336</v>
      </c>
      <c r="N1009" s="12">
        <v>14.336</v>
      </c>
      <c r="O1009" s="12">
        <v>156.73599999999999</v>
      </c>
      <c r="P1009" s="12">
        <v>35</v>
      </c>
      <c r="Q1009" s="12">
        <v>35</v>
      </c>
      <c r="R1009" s="12">
        <v>38</v>
      </c>
    </row>
    <row r="1010" spans="1:18" ht="17" customHeight="1" x14ac:dyDescent="0.15">
      <c r="A1010" s="8" t="s">
        <v>5369</v>
      </c>
      <c r="B1010" s="9" t="s">
        <v>5370</v>
      </c>
      <c r="C1010" s="8" t="s">
        <v>5371</v>
      </c>
      <c r="D1010" s="8" t="s">
        <v>5371</v>
      </c>
      <c r="E1010" s="8" t="s">
        <v>5372</v>
      </c>
      <c r="F1010" s="8" t="s">
        <v>5285</v>
      </c>
      <c r="G1010" s="8" t="s">
        <v>5373</v>
      </c>
      <c r="H1010" s="8" t="s">
        <v>5301</v>
      </c>
      <c r="I1010" s="8" t="str">
        <f>HYPERLINK("http://www.scorpiosrl.it/","www.scorpiosrl.it")</f>
        <v>www.scorpiosrl.it</v>
      </c>
      <c r="J1010" s="10">
        <v>6927.125</v>
      </c>
      <c r="K1010" s="10">
        <v>6927.125</v>
      </c>
      <c r="L1010" s="10">
        <v>6808.5870000000004</v>
      </c>
      <c r="M1010" s="10">
        <v>-149.369</v>
      </c>
      <c r="N1010" s="10">
        <v>-149.369</v>
      </c>
      <c r="O1010" s="10">
        <v>-32.469000000000001</v>
      </c>
      <c r="P1010" s="10">
        <v>6</v>
      </c>
      <c r="Q1010" s="10">
        <v>6</v>
      </c>
      <c r="R1010" s="10">
        <v>3</v>
      </c>
    </row>
    <row r="1011" spans="1:18" ht="17" customHeight="1" x14ac:dyDescent="0.15">
      <c r="A1011" s="11" t="s">
        <v>5374</v>
      </c>
      <c r="B1011" s="1" t="s">
        <v>5375</v>
      </c>
      <c r="C1011" s="11" t="s">
        <v>5376</v>
      </c>
      <c r="D1011" s="11" t="s">
        <v>5376</v>
      </c>
      <c r="E1011" s="11" t="s">
        <v>5377</v>
      </c>
      <c r="F1011" s="11" t="s">
        <v>5285</v>
      </c>
      <c r="G1011" s="11" t="s">
        <v>5378</v>
      </c>
      <c r="H1011" s="11" t="s">
        <v>5356</v>
      </c>
      <c r="I1011" s="11" t="str">
        <f>HYPERLINK("http://gierreandson.com/","gierreandson.com")</f>
        <v>gierreandson.com</v>
      </c>
      <c r="J1011" s="12">
        <v>7213.1120000000001</v>
      </c>
      <c r="K1011" s="12">
        <v>7213.1120000000001</v>
      </c>
      <c r="L1011" s="13">
        <v>6795.7420000000002</v>
      </c>
      <c r="M1011" s="12">
        <v>1413.99</v>
      </c>
      <c r="N1011" s="12">
        <v>1413.99</v>
      </c>
      <c r="O1011" s="12">
        <v>955.13300000000004</v>
      </c>
      <c r="P1011" s="12">
        <v>29</v>
      </c>
      <c r="Q1011" s="12">
        <v>29</v>
      </c>
      <c r="R1011" s="12">
        <v>30</v>
      </c>
    </row>
    <row r="1012" spans="1:18" ht="17" customHeight="1" x14ac:dyDescent="0.15">
      <c r="A1012" s="8" t="s">
        <v>5379</v>
      </c>
      <c r="B1012" s="9" t="s">
        <v>5380</v>
      </c>
      <c r="C1012" s="8" t="s">
        <v>5381</v>
      </c>
      <c r="D1012" s="8" t="s">
        <v>5381</v>
      </c>
      <c r="E1012" s="8" t="s">
        <v>5382</v>
      </c>
      <c r="F1012" s="8" t="s">
        <v>5383</v>
      </c>
      <c r="G1012" s="8" t="s">
        <v>5378</v>
      </c>
      <c r="H1012" s="8" t="s">
        <v>5356</v>
      </c>
      <c r="I1012" s="8" t="str">
        <f>HYPERLINK("http://www.conceria-tari.com/","www.conceria-tari.com")</f>
        <v>www.conceria-tari.com</v>
      </c>
      <c r="J1012" s="10">
        <v>4075.2910000000002</v>
      </c>
      <c r="K1012" s="10">
        <v>4075.2910000000002</v>
      </c>
      <c r="L1012" s="10">
        <v>6783.384</v>
      </c>
      <c r="M1012" s="10">
        <v>86.331999999999994</v>
      </c>
      <c r="N1012" s="10">
        <v>86.331999999999994</v>
      </c>
      <c r="O1012" s="10">
        <v>25.957000000000001</v>
      </c>
      <c r="P1012" s="15" t="s">
        <v>5288</v>
      </c>
      <c r="Q1012" s="15" t="s">
        <v>5288</v>
      </c>
      <c r="R1012" s="10">
        <v>40</v>
      </c>
    </row>
    <row r="1013" spans="1:18" ht="17" customHeight="1" x14ac:dyDescent="0.15">
      <c r="A1013" s="11" t="s">
        <v>5384</v>
      </c>
      <c r="B1013" s="1" t="s">
        <v>5385</v>
      </c>
      <c r="C1013" s="11" t="s">
        <v>5386</v>
      </c>
      <c r="D1013" s="11" t="s">
        <v>5386</v>
      </c>
      <c r="E1013" s="11" t="s">
        <v>5387</v>
      </c>
      <c r="F1013" s="11" t="s">
        <v>5285</v>
      </c>
      <c r="G1013" s="11" t="s">
        <v>5324</v>
      </c>
      <c r="H1013" s="11" t="s">
        <v>5301</v>
      </c>
      <c r="I1013" s="11" t="str">
        <f>HYPERLINK("http://www.calzaturificiostatus.it/","www.calzaturificiostatus.it")</f>
        <v>www.calzaturificiostatus.it</v>
      </c>
      <c r="J1013" s="12">
        <v>6824.0950000000003</v>
      </c>
      <c r="K1013" s="12">
        <v>6824.0950000000003</v>
      </c>
      <c r="L1013" s="13">
        <v>6776.8789999999999</v>
      </c>
      <c r="M1013" s="12">
        <v>26.207000000000001</v>
      </c>
      <c r="N1013" s="12">
        <v>26.207000000000001</v>
      </c>
      <c r="O1013" s="12">
        <v>43.59</v>
      </c>
      <c r="P1013" s="12">
        <v>13</v>
      </c>
      <c r="Q1013" s="12">
        <v>13</v>
      </c>
      <c r="R1013" s="12">
        <v>13</v>
      </c>
    </row>
    <row r="1014" spans="1:18" ht="17" customHeight="1" x14ac:dyDescent="0.15">
      <c r="A1014" s="8" t="s">
        <v>5388</v>
      </c>
      <c r="B1014" s="9" t="s">
        <v>5389</v>
      </c>
      <c r="C1014" s="8" t="s">
        <v>5390</v>
      </c>
      <c r="D1014" s="8" t="s">
        <v>5390</v>
      </c>
      <c r="E1014" s="8" t="s">
        <v>5391</v>
      </c>
      <c r="F1014" s="8" t="s">
        <v>5285</v>
      </c>
      <c r="G1014" s="8" t="s">
        <v>5392</v>
      </c>
      <c r="H1014" s="8" t="s">
        <v>5295</v>
      </c>
      <c r="I1014" s="8" t="str">
        <f>HYPERLINK("http://www.fpsport.it/","www.fpsport.it")</f>
        <v>www.fpsport.it</v>
      </c>
      <c r="J1014" s="10">
        <v>6297.9970000000003</v>
      </c>
      <c r="K1014" s="10">
        <v>6297.9970000000003</v>
      </c>
      <c r="L1014" s="10">
        <v>6764.5469999999996</v>
      </c>
      <c r="M1014" s="10">
        <v>61.119</v>
      </c>
      <c r="N1014" s="10">
        <v>61.119</v>
      </c>
      <c r="O1014" s="10">
        <v>13.01</v>
      </c>
      <c r="P1014" s="10">
        <v>41</v>
      </c>
      <c r="Q1014" s="10">
        <v>41</v>
      </c>
      <c r="R1014" s="10">
        <v>41</v>
      </c>
    </row>
    <row r="1015" spans="1:18" ht="17" customHeight="1" x14ac:dyDescent="0.15">
      <c r="A1015" s="11" t="s">
        <v>5393</v>
      </c>
      <c r="B1015" s="1" t="s">
        <v>5394</v>
      </c>
      <c r="C1015" s="11" t="s">
        <v>5395</v>
      </c>
      <c r="D1015" s="11" t="s">
        <v>5395</v>
      </c>
      <c r="E1015" s="11" t="s">
        <v>5396</v>
      </c>
      <c r="F1015" s="11" t="s">
        <v>5285</v>
      </c>
      <c r="G1015" s="11" t="s">
        <v>5378</v>
      </c>
      <c r="H1015" s="11" t="s">
        <v>5356</v>
      </c>
      <c r="I1015" s="11" t="str">
        <f>HYPERLINK("http://www.sharonsrl.it/","www.sharonsrl.it")</f>
        <v>www.sharonsrl.it</v>
      </c>
      <c r="J1015" s="12">
        <v>5764.2479999999996</v>
      </c>
      <c r="K1015" s="12">
        <v>5764.2479999999996</v>
      </c>
      <c r="L1015" s="13">
        <v>6753.5780000000004</v>
      </c>
      <c r="M1015" s="12">
        <v>178.51400000000001</v>
      </c>
      <c r="N1015" s="12">
        <v>178.51400000000001</v>
      </c>
      <c r="O1015" s="12">
        <v>149.315</v>
      </c>
      <c r="P1015" s="12">
        <v>50</v>
      </c>
      <c r="Q1015" s="12">
        <v>50</v>
      </c>
      <c r="R1015" s="12">
        <v>45</v>
      </c>
    </row>
    <row r="1016" spans="1:18" ht="17" customHeight="1" x14ac:dyDescent="0.15">
      <c r="A1016" s="8" t="s">
        <v>5397</v>
      </c>
      <c r="B1016" s="9" t="s">
        <v>5398</v>
      </c>
      <c r="C1016" s="8" t="s">
        <v>5399</v>
      </c>
      <c r="D1016" s="8" t="s">
        <v>5399</v>
      </c>
      <c r="E1016" s="8" t="s">
        <v>5400</v>
      </c>
      <c r="F1016" s="8" t="s">
        <v>5293</v>
      </c>
      <c r="G1016" s="8" t="s">
        <v>5401</v>
      </c>
      <c r="H1016" s="8" t="s">
        <v>5295</v>
      </c>
      <c r="I1016" s="8" t="str">
        <f>HYPERLINK("http://www.denimpeople.it/","www.denimpeople.it/")</f>
        <v>www.denimpeople.it/</v>
      </c>
      <c r="J1016" s="10">
        <v>9867.9089999999997</v>
      </c>
      <c r="K1016" s="10">
        <v>9867.9089999999997</v>
      </c>
      <c r="L1016" s="10">
        <v>6753.4309999999996</v>
      </c>
      <c r="M1016" s="10">
        <v>370.78500000000003</v>
      </c>
      <c r="N1016" s="10">
        <v>370.78500000000003</v>
      </c>
      <c r="O1016" s="10">
        <v>188.477</v>
      </c>
      <c r="P1016" s="10">
        <v>10</v>
      </c>
      <c r="Q1016" s="10">
        <v>10</v>
      </c>
      <c r="R1016" s="10">
        <v>8</v>
      </c>
    </row>
    <row r="1017" spans="1:18" ht="17" customHeight="1" x14ac:dyDescent="0.15">
      <c r="A1017" s="11" t="s">
        <v>5402</v>
      </c>
      <c r="B1017" s="1" t="s">
        <v>5403</v>
      </c>
      <c r="C1017" s="11" t="s">
        <v>5404</v>
      </c>
      <c r="D1017" s="11" t="s">
        <v>5404</v>
      </c>
      <c r="E1017" s="11" t="s">
        <v>5405</v>
      </c>
      <c r="F1017" s="11" t="s">
        <v>5306</v>
      </c>
      <c r="G1017" s="11" t="s">
        <v>5324</v>
      </c>
      <c r="H1017" s="11" t="s">
        <v>5301</v>
      </c>
      <c r="I1017" s="11" t="str">
        <f>HYPERLINK("http://www.vicar.it/","www.vicar.it")</f>
        <v>www.vicar.it</v>
      </c>
      <c r="J1017" s="12">
        <v>7247.4059999999999</v>
      </c>
      <c r="K1017" s="12">
        <v>7247.4059999999999</v>
      </c>
      <c r="L1017" s="13">
        <v>6744.0959999999995</v>
      </c>
      <c r="M1017" s="12">
        <v>827.73599999999999</v>
      </c>
      <c r="N1017" s="12">
        <v>827.73599999999999</v>
      </c>
      <c r="O1017" s="12">
        <v>438.596</v>
      </c>
      <c r="P1017" s="14" t="s">
        <v>5288</v>
      </c>
      <c r="Q1017" s="14" t="s">
        <v>5288</v>
      </c>
      <c r="R1017" s="12">
        <v>20</v>
      </c>
    </row>
    <row r="1018" spans="1:18" ht="17" customHeight="1" x14ac:dyDescent="0.15">
      <c r="A1018" s="8" t="s">
        <v>5406</v>
      </c>
      <c r="B1018" s="9" t="s">
        <v>5407</v>
      </c>
      <c r="C1018" s="8" t="s">
        <v>5408</v>
      </c>
      <c r="D1018" s="8" t="s">
        <v>5408</v>
      </c>
      <c r="E1018" s="8" t="s">
        <v>5409</v>
      </c>
      <c r="F1018" s="8" t="s">
        <v>5278</v>
      </c>
      <c r="G1018" s="8" t="s">
        <v>5307</v>
      </c>
      <c r="H1018" s="8" t="s">
        <v>5295</v>
      </c>
      <c r="I1018" s="8" t="str">
        <f>HYPERLINK("http://www.zanellato.com/","www.zanellato.com")</f>
        <v>www.zanellato.com</v>
      </c>
      <c r="J1018" s="10">
        <v>7903.7330000000002</v>
      </c>
      <c r="K1018" s="10">
        <v>7903.7330000000002</v>
      </c>
      <c r="L1018" s="10">
        <v>6721.3850000000002</v>
      </c>
      <c r="M1018" s="10">
        <v>81.784999999999997</v>
      </c>
      <c r="N1018" s="10">
        <v>81.784999999999997</v>
      </c>
      <c r="O1018" s="10">
        <v>-206.917</v>
      </c>
      <c r="P1018" s="10">
        <v>23</v>
      </c>
      <c r="Q1018" s="10">
        <v>23</v>
      </c>
      <c r="R1018" s="10">
        <v>19</v>
      </c>
    </row>
    <row r="1019" spans="1:18" ht="17" customHeight="1" x14ac:dyDescent="0.15">
      <c r="A1019" s="11" t="s">
        <v>5410</v>
      </c>
      <c r="B1019" s="1" t="s">
        <v>5411</v>
      </c>
      <c r="C1019" s="11" t="s">
        <v>5412</v>
      </c>
      <c r="D1019" s="11" t="s">
        <v>5412</v>
      </c>
      <c r="E1019" s="11" t="s">
        <v>5413</v>
      </c>
      <c r="F1019" s="11" t="s">
        <v>5414</v>
      </c>
      <c r="G1019" s="11" t="s">
        <v>5300</v>
      </c>
      <c r="H1019" s="11" t="s">
        <v>5301</v>
      </c>
      <c r="I1019" s="11" t="str">
        <f>HYPERLINK("http://cunningam.com/","cunningam.com")</f>
        <v>cunningam.com</v>
      </c>
      <c r="J1019" s="12">
        <v>5549.1319999999996</v>
      </c>
      <c r="K1019" s="12">
        <v>5549.1319999999996</v>
      </c>
      <c r="L1019" s="13">
        <v>6721.3490000000002</v>
      </c>
      <c r="M1019" s="12">
        <v>8.2409999999999997</v>
      </c>
      <c r="N1019" s="12">
        <v>8.2409999999999997</v>
      </c>
      <c r="O1019" s="12">
        <v>27.196000000000002</v>
      </c>
      <c r="P1019" s="12">
        <v>19</v>
      </c>
      <c r="Q1019" s="12">
        <v>19</v>
      </c>
      <c r="R1019" s="12">
        <v>20</v>
      </c>
    </row>
    <row r="1020" spans="1:18" ht="29.5" customHeight="1" x14ac:dyDescent="0.15">
      <c r="A1020" s="8" t="s">
        <v>5415</v>
      </c>
      <c r="B1020" s="9" t="s">
        <v>5416</v>
      </c>
      <c r="C1020" s="8" t="s">
        <v>5417</v>
      </c>
      <c r="D1020" s="8" t="s">
        <v>5417</v>
      </c>
      <c r="E1020" s="8" t="s">
        <v>5418</v>
      </c>
      <c r="F1020" s="8" t="s">
        <v>5306</v>
      </c>
      <c r="G1020" s="8" t="s">
        <v>5419</v>
      </c>
      <c r="H1020" s="8" t="s">
        <v>5280</v>
      </c>
      <c r="I1020" s="8" t="str">
        <f>HYPERLINK("http://www.concerianuvolari.com/","www.concerianuvolari.com")</f>
        <v>www.concerianuvolari.com</v>
      </c>
      <c r="J1020" s="10">
        <v>8451.77</v>
      </c>
      <c r="K1020" s="10">
        <v>8451.77</v>
      </c>
      <c r="L1020" s="10">
        <v>6711.0829999999996</v>
      </c>
      <c r="M1020" s="10">
        <v>253.54900000000001</v>
      </c>
      <c r="N1020" s="10">
        <v>253.54900000000001</v>
      </c>
      <c r="O1020" s="10">
        <v>213.45599999999999</v>
      </c>
      <c r="P1020" s="10">
        <v>1</v>
      </c>
      <c r="Q1020" s="10">
        <v>1</v>
      </c>
      <c r="R1020" s="10">
        <v>1</v>
      </c>
    </row>
    <row r="1021" spans="1:18" ht="17" customHeight="1" x14ac:dyDescent="0.15">
      <c r="A1021" s="11" t="s">
        <v>5420</v>
      </c>
      <c r="B1021" s="1" t="s">
        <v>5421</v>
      </c>
      <c r="C1021" s="11" t="s">
        <v>5422</v>
      </c>
      <c r="D1021" s="11" t="s">
        <v>5422</v>
      </c>
      <c r="E1021" s="11" t="s">
        <v>5423</v>
      </c>
      <c r="F1021" s="11" t="s">
        <v>5293</v>
      </c>
      <c r="G1021" s="11" t="s">
        <v>5294</v>
      </c>
      <c r="H1021" s="11" t="s">
        <v>5295</v>
      </c>
      <c r="I1021" s="11" t="str">
        <f>HYPERLINK("http://www.modaconf.it/","www.modaconf.it")</f>
        <v>www.modaconf.it</v>
      </c>
      <c r="J1021" s="12">
        <v>7754.4870000000001</v>
      </c>
      <c r="K1021" s="12">
        <v>7754.4870000000001</v>
      </c>
      <c r="L1021" s="13">
        <v>6702.6679999999997</v>
      </c>
      <c r="M1021" s="12">
        <v>1212.674</v>
      </c>
      <c r="N1021" s="12">
        <v>1212.674</v>
      </c>
      <c r="O1021" s="12">
        <v>845.57100000000003</v>
      </c>
      <c r="P1021" s="12">
        <v>10</v>
      </c>
      <c r="Q1021" s="12">
        <v>10</v>
      </c>
      <c r="R1021" s="12">
        <v>10</v>
      </c>
    </row>
    <row r="1022" spans="1:18" ht="29.5" customHeight="1" x14ac:dyDescent="0.15">
      <c r="A1022" s="8" t="s">
        <v>5424</v>
      </c>
      <c r="B1022" s="9" t="s">
        <v>5425</v>
      </c>
      <c r="C1022" s="8" t="s">
        <v>5426</v>
      </c>
      <c r="D1022" s="8" t="s">
        <v>5426</v>
      </c>
      <c r="E1022" s="8" t="s">
        <v>5427</v>
      </c>
      <c r="F1022" s="8" t="s">
        <v>5306</v>
      </c>
      <c r="G1022" s="8" t="s">
        <v>5324</v>
      </c>
      <c r="H1022" s="8" t="s">
        <v>5301</v>
      </c>
      <c r="I1022" s="8" t="str">
        <f>HYPERLINK("http://www.concerianuovaoverlord.com/","www.concerianuovaoverlord.com")</f>
        <v>www.concerianuovaoverlord.com</v>
      </c>
      <c r="J1022" s="10">
        <v>5908.9430000000002</v>
      </c>
      <c r="K1022" s="10">
        <v>5908.9430000000002</v>
      </c>
      <c r="L1022" s="10">
        <v>6692.893</v>
      </c>
      <c r="M1022" s="10">
        <v>-542.16600000000005</v>
      </c>
      <c r="N1022" s="10">
        <v>-542.16600000000005</v>
      </c>
      <c r="O1022" s="10">
        <v>2.9969999999999999</v>
      </c>
      <c r="P1022" s="10">
        <v>17</v>
      </c>
      <c r="Q1022" s="10">
        <v>17</v>
      </c>
      <c r="R1022" s="10">
        <v>20</v>
      </c>
    </row>
    <row r="1023" spans="1:18" ht="17" customHeight="1" x14ac:dyDescent="0.15">
      <c r="A1023" s="11" t="s">
        <v>5428</v>
      </c>
      <c r="B1023" s="1" t="s">
        <v>5429</v>
      </c>
      <c r="C1023" s="11" t="s">
        <v>5430</v>
      </c>
      <c r="D1023" s="11" t="s">
        <v>5430</v>
      </c>
      <c r="E1023" s="11" t="s">
        <v>5431</v>
      </c>
      <c r="F1023" s="11" t="s">
        <v>5285</v>
      </c>
      <c r="G1023" s="11" t="s">
        <v>5294</v>
      </c>
      <c r="H1023" s="11" t="s">
        <v>5295</v>
      </c>
      <c r="I1023" s="11" t="str">
        <f>HYPERLINK("http://www.maximaonline.it/","http://www.maximaonline.it")</f>
        <v>http://www.maximaonline.it</v>
      </c>
      <c r="J1023" s="12">
        <v>8016.4269999999997</v>
      </c>
      <c r="K1023" s="12">
        <v>8016.4269999999997</v>
      </c>
      <c r="L1023" s="13">
        <v>6692.5789999999997</v>
      </c>
      <c r="M1023" s="12">
        <v>1076.3</v>
      </c>
      <c r="N1023" s="12">
        <v>1076.3</v>
      </c>
      <c r="O1023" s="12">
        <v>786.32799999999997</v>
      </c>
      <c r="P1023" s="12">
        <v>28</v>
      </c>
      <c r="Q1023" s="12">
        <v>28</v>
      </c>
      <c r="R1023" s="12">
        <v>24</v>
      </c>
    </row>
    <row r="1024" spans="1:18" ht="17" customHeight="1" x14ac:dyDescent="0.15">
      <c r="A1024" s="8" t="s">
        <v>5432</v>
      </c>
      <c r="B1024" s="9" t="s">
        <v>5433</v>
      </c>
      <c r="C1024" s="8" t="s">
        <v>5434</v>
      </c>
      <c r="D1024" s="8" t="s">
        <v>5434</v>
      </c>
      <c r="E1024" s="8" t="s">
        <v>5435</v>
      </c>
      <c r="F1024" s="8" t="s">
        <v>5414</v>
      </c>
      <c r="G1024" s="8" t="s">
        <v>5294</v>
      </c>
      <c r="H1024" s="8" t="s">
        <v>5295</v>
      </c>
      <c r="I1024" s="8" t="str">
        <f>HYPERLINK("http://areafashion.it/","areafashion.it")</f>
        <v>areafashion.it</v>
      </c>
      <c r="J1024" s="10">
        <v>6274.2939999999999</v>
      </c>
      <c r="K1024" s="10">
        <v>6274.2939999999999</v>
      </c>
      <c r="L1024" s="10">
        <v>6677.71</v>
      </c>
      <c r="M1024" s="10">
        <v>64.847999999999999</v>
      </c>
      <c r="N1024" s="10">
        <v>64.847999999999999</v>
      </c>
      <c r="O1024" s="10">
        <v>80.262</v>
      </c>
      <c r="P1024" s="10">
        <v>5</v>
      </c>
      <c r="Q1024" s="10">
        <v>5</v>
      </c>
      <c r="R1024" s="10">
        <v>4</v>
      </c>
    </row>
    <row r="1025" spans="1:18" ht="17" customHeight="1" x14ac:dyDescent="0.15">
      <c r="A1025" s="11" t="s">
        <v>5436</v>
      </c>
      <c r="B1025" s="1" t="s">
        <v>5437</v>
      </c>
      <c r="C1025" s="11" t="s">
        <v>5438</v>
      </c>
      <c r="D1025" s="11" t="s">
        <v>5438</v>
      </c>
      <c r="E1025" s="11" t="s">
        <v>5439</v>
      </c>
      <c r="F1025" s="11" t="s">
        <v>5440</v>
      </c>
      <c r="G1025" s="11" t="s">
        <v>5441</v>
      </c>
      <c r="H1025" s="11" t="s">
        <v>5442</v>
      </c>
      <c r="I1025" s="11" t="str">
        <f>HYPERLINK("http://www.clarinshavien.it/","www.clarinshavien.it")</f>
        <v>www.clarinshavien.it</v>
      </c>
      <c r="J1025" s="12">
        <v>6870.4610000000002</v>
      </c>
      <c r="K1025" s="12">
        <v>6870.4610000000002</v>
      </c>
      <c r="L1025" s="13">
        <v>6677.1059999999998</v>
      </c>
      <c r="M1025" s="12">
        <v>14.875</v>
      </c>
      <c r="N1025" s="12">
        <v>14.875</v>
      </c>
      <c r="O1025" s="12">
        <v>10.242000000000001</v>
      </c>
      <c r="P1025" s="12">
        <v>24</v>
      </c>
      <c r="Q1025" s="12">
        <v>24</v>
      </c>
      <c r="R1025" s="12">
        <v>20</v>
      </c>
    </row>
    <row r="1026" spans="1:18" ht="17" customHeight="1" x14ac:dyDescent="0.15">
      <c r="A1026" s="8" t="s">
        <v>5443</v>
      </c>
      <c r="B1026" s="9" t="s">
        <v>5444</v>
      </c>
      <c r="C1026" s="8" t="s">
        <v>5445</v>
      </c>
      <c r="D1026" s="8" t="s">
        <v>5445</v>
      </c>
      <c r="E1026" s="8" t="s">
        <v>5446</v>
      </c>
      <c r="F1026" s="8" t="s">
        <v>5447</v>
      </c>
      <c r="G1026" s="8" t="s">
        <v>5448</v>
      </c>
      <c r="H1026" s="8" t="s">
        <v>5449</v>
      </c>
      <c r="I1026" s="8" t="str">
        <f>HYPERLINK("http://www.giusy.com/","www.giusy.com")</f>
        <v>www.giusy.com</v>
      </c>
      <c r="J1026" s="10">
        <v>5860.41</v>
      </c>
      <c r="K1026" s="10">
        <v>5860.41</v>
      </c>
      <c r="L1026" s="10">
        <v>6671.2169999999996</v>
      </c>
      <c r="M1026" s="10">
        <v>688.46299999999997</v>
      </c>
      <c r="N1026" s="10">
        <v>688.46299999999997</v>
      </c>
      <c r="O1026" s="10">
        <v>880.88800000000003</v>
      </c>
      <c r="P1026" s="15" t="s">
        <v>5450</v>
      </c>
      <c r="Q1026" s="15" t="s">
        <v>5450</v>
      </c>
      <c r="R1026" s="10">
        <v>36</v>
      </c>
    </row>
    <row r="1027" spans="1:18" ht="17" customHeight="1" x14ac:dyDescent="0.15">
      <c r="A1027" s="11" t="s">
        <v>5451</v>
      </c>
      <c r="B1027" s="1" t="s">
        <v>5452</v>
      </c>
      <c r="C1027" s="11" t="s">
        <v>5453</v>
      </c>
      <c r="D1027" s="11" t="s">
        <v>5453</v>
      </c>
      <c r="E1027" s="11" t="s">
        <v>5454</v>
      </c>
      <c r="F1027" s="11" t="s">
        <v>5440</v>
      </c>
      <c r="G1027" s="11" t="s">
        <v>5455</v>
      </c>
      <c r="H1027" s="11" t="s">
        <v>5456</v>
      </c>
      <c r="I1027" s="11" t="str">
        <f>HYPERLINK("http://www.ritrattosport.it/","www.ritrattosport.it")</f>
        <v>www.ritrattosport.it</v>
      </c>
      <c r="J1027" s="12">
        <v>10395.58</v>
      </c>
      <c r="K1027" s="12">
        <v>10395.58</v>
      </c>
      <c r="L1027" s="13">
        <v>6665.9480000000003</v>
      </c>
      <c r="M1027" s="12">
        <v>2359.1559999999999</v>
      </c>
      <c r="N1027" s="12">
        <v>2359.1559999999999</v>
      </c>
      <c r="O1027" s="12">
        <v>1204.4079999999999</v>
      </c>
      <c r="P1027" s="12">
        <v>29</v>
      </c>
      <c r="Q1027" s="12">
        <v>29</v>
      </c>
      <c r="R1027" s="12">
        <v>27</v>
      </c>
    </row>
    <row r="1028" spans="1:18" ht="17" customHeight="1" x14ac:dyDescent="0.15">
      <c r="A1028" s="8" t="s">
        <v>5457</v>
      </c>
      <c r="B1028" s="9" t="s">
        <v>5458</v>
      </c>
      <c r="C1028" s="8" t="s">
        <v>5459</v>
      </c>
      <c r="D1028" s="8" t="s">
        <v>5459</v>
      </c>
      <c r="E1028" s="8" t="s">
        <v>5460</v>
      </c>
      <c r="F1028" s="8" t="s">
        <v>5461</v>
      </c>
      <c r="G1028" s="8" t="s">
        <v>5462</v>
      </c>
      <c r="H1028" s="8" t="s">
        <v>5463</v>
      </c>
      <c r="I1028" s="8" t="str">
        <f>HYPERLINK("http://www.tecnostra.it/","www.tecnostra.it")</f>
        <v>www.tecnostra.it</v>
      </c>
      <c r="J1028" s="10">
        <v>4825.5959999999995</v>
      </c>
      <c r="K1028" s="10">
        <v>4825.5959999999995</v>
      </c>
      <c r="L1028" s="10">
        <v>6659.5879999999997</v>
      </c>
      <c r="M1028" s="10">
        <v>669.23400000000004</v>
      </c>
      <c r="N1028" s="10">
        <v>669.23400000000004</v>
      </c>
      <c r="O1028" s="10">
        <v>1332.0170000000001</v>
      </c>
      <c r="P1028" s="10">
        <v>35</v>
      </c>
      <c r="Q1028" s="10">
        <v>35</v>
      </c>
      <c r="R1028" s="10">
        <v>40</v>
      </c>
    </row>
    <row r="1029" spans="1:18" ht="17" customHeight="1" x14ac:dyDescent="0.15">
      <c r="A1029" s="11" t="s">
        <v>5464</v>
      </c>
      <c r="B1029" s="1" t="s">
        <v>5465</v>
      </c>
      <c r="C1029" s="11" t="s">
        <v>5466</v>
      </c>
      <c r="D1029" s="11" t="s">
        <v>5466</v>
      </c>
      <c r="E1029" s="11" t="s">
        <v>5467</v>
      </c>
      <c r="F1029" s="11" t="s">
        <v>5440</v>
      </c>
      <c r="G1029" s="11" t="s">
        <v>5468</v>
      </c>
      <c r="H1029" s="11" t="s">
        <v>5469</v>
      </c>
      <c r="I1029" s="11" t="str">
        <f>HYPERLINK("http://www.oamc.com/","www.oamc.com")</f>
        <v>www.oamc.com</v>
      </c>
      <c r="J1029" s="12">
        <v>5598.0910000000003</v>
      </c>
      <c r="K1029" s="12">
        <v>5598.0910000000003</v>
      </c>
      <c r="L1029" s="13">
        <v>6651.9979999999996</v>
      </c>
      <c r="M1029" s="12">
        <v>-447.79899999999998</v>
      </c>
      <c r="N1029" s="12">
        <v>-447.79899999999998</v>
      </c>
      <c r="O1029" s="12">
        <v>-992.94100000000003</v>
      </c>
      <c r="P1029" s="12">
        <v>11</v>
      </c>
      <c r="Q1029" s="12">
        <v>11</v>
      </c>
      <c r="R1029" s="12">
        <v>12</v>
      </c>
    </row>
    <row r="1030" spans="1:18" ht="17" customHeight="1" x14ac:dyDescent="0.15">
      <c r="A1030" s="8" t="s">
        <v>5470</v>
      </c>
      <c r="B1030" s="9" t="s">
        <v>5471</v>
      </c>
      <c r="C1030" s="8" t="s">
        <v>5472</v>
      </c>
      <c r="D1030" s="8" t="s">
        <v>5472</v>
      </c>
      <c r="E1030" s="8" t="s">
        <v>5473</v>
      </c>
      <c r="F1030" s="8" t="s">
        <v>5461</v>
      </c>
      <c r="G1030" s="8" t="s">
        <v>5474</v>
      </c>
      <c r="H1030" s="8" t="s">
        <v>5475</v>
      </c>
      <c r="I1030" s="8" t="str">
        <f>HYPERLINK("http://www.falornihome.it/","www.falornihome.it")</f>
        <v>www.falornihome.it</v>
      </c>
      <c r="J1030" s="10">
        <v>6204.1580000000004</v>
      </c>
      <c r="K1030" s="10">
        <v>6204.1580000000004</v>
      </c>
      <c r="L1030" s="10">
        <v>6645.0690000000004</v>
      </c>
      <c r="M1030" s="10">
        <v>183.161</v>
      </c>
      <c r="N1030" s="10">
        <v>183.161</v>
      </c>
      <c r="O1030" s="10">
        <v>371.04500000000002</v>
      </c>
      <c r="P1030" s="15" t="s">
        <v>5450</v>
      </c>
      <c r="Q1030" s="15" t="s">
        <v>5450</v>
      </c>
      <c r="R1030" s="10">
        <v>18</v>
      </c>
    </row>
    <row r="1031" spans="1:18" ht="17" customHeight="1" x14ac:dyDescent="0.15">
      <c r="A1031" s="11" t="s">
        <v>5476</v>
      </c>
      <c r="B1031" s="1" t="s">
        <v>5477</v>
      </c>
      <c r="C1031" s="11" t="s">
        <v>5478</v>
      </c>
      <c r="D1031" s="11" t="s">
        <v>5478</v>
      </c>
      <c r="E1031" s="11" t="s">
        <v>5479</v>
      </c>
      <c r="F1031" s="11" t="s">
        <v>5447</v>
      </c>
      <c r="G1031" s="11" t="s">
        <v>5448</v>
      </c>
      <c r="H1031" s="11" t="s">
        <v>5449</v>
      </c>
      <c r="I1031" s="11" t="str">
        <f>HYPERLINK("http://www.laramanni.it/","www.laramanni.it")</f>
        <v>www.laramanni.it</v>
      </c>
      <c r="J1031" s="12">
        <v>7401.0990000000002</v>
      </c>
      <c r="K1031" s="12">
        <v>7401.0990000000002</v>
      </c>
      <c r="L1031" s="13">
        <v>6640.9930000000004</v>
      </c>
      <c r="M1031" s="12">
        <v>31.271999999999998</v>
      </c>
      <c r="N1031" s="12">
        <v>31.271999999999998</v>
      </c>
      <c r="O1031" s="12">
        <v>19.923999999999999</v>
      </c>
      <c r="P1031" s="12">
        <v>40</v>
      </c>
      <c r="Q1031" s="12">
        <v>40</v>
      </c>
      <c r="R1031" s="12">
        <v>37</v>
      </c>
    </row>
    <row r="1032" spans="1:18" ht="43" customHeight="1" x14ac:dyDescent="0.15">
      <c r="A1032" s="8" t="s">
        <v>5480</v>
      </c>
      <c r="B1032" s="9" t="s">
        <v>5481</v>
      </c>
      <c r="C1032" s="8" t="s">
        <v>5482</v>
      </c>
      <c r="D1032" s="8" t="s">
        <v>5482</v>
      </c>
      <c r="E1032" s="8" t="s">
        <v>5483</v>
      </c>
      <c r="F1032" s="8" t="s">
        <v>5484</v>
      </c>
      <c r="G1032" s="8" t="s">
        <v>5485</v>
      </c>
      <c r="H1032" s="8" t="s">
        <v>5486</v>
      </c>
      <c r="I1032" s="8" t="str">
        <f>HYPERLINK("http://www.maglificiomarilina.com/","www.maglificiomarilina.com")</f>
        <v>www.maglificiomarilina.com</v>
      </c>
      <c r="J1032" s="10">
        <v>10558.841</v>
      </c>
      <c r="K1032" s="10">
        <v>10558.841</v>
      </c>
      <c r="L1032" s="10">
        <v>6628.1059999999998</v>
      </c>
      <c r="M1032" s="10">
        <v>1049.2619999999999</v>
      </c>
      <c r="N1032" s="10">
        <v>1049.2619999999999</v>
      </c>
      <c r="O1032" s="10">
        <v>167.35900000000001</v>
      </c>
      <c r="P1032" s="10">
        <v>29</v>
      </c>
      <c r="Q1032" s="10">
        <v>29</v>
      </c>
      <c r="R1032" s="10">
        <v>29</v>
      </c>
    </row>
    <row r="1033" spans="1:18" ht="17" customHeight="1" x14ac:dyDescent="0.15">
      <c r="A1033" s="11" t="s">
        <v>5487</v>
      </c>
      <c r="B1033" s="1" t="s">
        <v>5488</v>
      </c>
      <c r="C1033" s="11" t="s">
        <v>5489</v>
      </c>
      <c r="D1033" s="11" t="s">
        <v>5489</v>
      </c>
      <c r="E1033" s="11" t="s">
        <v>5490</v>
      </c>
      <c r="F1033" s="11" t="s">
        <v>5491</v>
      </c>
      <c r="G1033" s="11" t="s">
        <v>5492</v>
      </c>
      <c r="H1033" s="11" t="s">
        <v>5463</v>
      </c>
      <c r="I1033" s="11" t="str">
        <f>HYPERLINK("http://www.ariannasrl.it/","www.ariannasrl.it")</f>
        <v>www.ariannasrl.it</v>
      </c>
      <c r="J1033" s="12">
        <v>5830.9409999999998</v>
      </c>
      <c r="K1033" s="12">
        <v>5830.9409999999998</v>
      </c>
      <c r="L1033" s="13">
        <v>6625.7929999999997</v>
      </c>
      <c r="M1033" s="12">
        <v>239.578</v>
      </c>
      <c r="N1033" s="12">
        <v>239.578</v>
      </c>
      <c r="O1033" s="12">
        <v>254.029</v>
      </c>
      <c r="P1033" s="12">
        <v>44</v>
      </c>
      <c r="Q1033" s="12">
        <v>44</v>
      </c>
      <c r="R1033" s="12">
        <v>28</v>
      </c>
    </row>
    <row r="1034" spans="1:18" ht="17" customHeight="1" x14ac:dyDescent="0.15">
      <c r="A1034" s="8" t="s">
        <v>5493</v>
      </c>
      <c r="B1034" s="9" t="s">
        <v>5494</v>
      </c>
      <c r="C1034" s="8" t="s">
        <v>5495</v>
      </c>
      <c r="D1034" s="8" t="s">
        <v>5495</v>
      </c>
      <c r="E1034" s="8" t="s">
        <v>5496</v>
      </c>
      <c r="F1034" s="8" t="s">
        <v>5440</v>
      </c>
      <c r="G1034" s="8" t="s">
        <v>5441</v>
      </c>
      <c r="H1034" s="8" t="s">
        <v>5442</v>
      </c>
      <c r="I1034" s="8" t="str">
        <f>HYPERLINK("http://www.a-triple.it/","www.a-triple.it")</f>
        <v>www.a-triple.it</v>
      </c>
      <c r="J1034" s="10">
        <v>8352.6460000000006</v>
      </c>
      <c r="K1034" s="10">
        <v>8352.6460000000006</v>
      </c>
      <c r="L1034" s="10">
        <v>6586.6229999999996</v>
      </c>
      <c r="M1034" s="10">
        <v>82.19</v>
      </c>
      <c r="N1034" s="10">
        <v>82.19</v>
      </c>
      <c r="O1034" s="10">
        <v>73.373999999999995</v>
      </c>
      <c r="P1034" s="10">
        <v>10</v>
      </c>
      <c r="Q1034" s="10">
        <v>10</v>
      </c>
      <c r="R1034" s="10">
        <v>8</v>
      </c>
    </row>
    <row r="1035" spans="1:18" ht="17" customHeight="1" x14ac:dyDescent="0.15">
      <c r="A1035" s="11" t="s">
        <v>5497</v>
      </c>
      <c r="B1035" s="1" t="s">
        <v>5498</v>
      </c>
      <c r="C1035" s="11" t="s">
        <v>5499</v>
      </c>
      <c r="D1035" s="11" t="s">
        <v>5499</v>
      </c>
      <c r="E1035" s="11" t="s">
        <v>5500</v>
      </c>
      <c r="F1035" s="11" t="s">
        <v>5447</v>
      </c>
      <c r="G1035" s="11" t="s">
        <v>5501</v>
      </c>
      <c r="H1035" s="11" t="s">
        <v>5502</v>
      </c>
      <c r="I1035" s="11" t="str">
        <f>HYPERLINK("http://www.podoline.it/","www.podoline.it")</f>
        <v>www.podoline.it</v>
      </c>
      <c r="J1035" s="12">
        <v>7209.1719999999996</v>
      </c>
      <c r="K1035" s="12">
        <v>7209.1719999999996</v>
      </c>
      <c r="L1035" s="13">
        <v>6584.5630000000001</v>
      </c>
      <c r="M1035" s="12">
        <v>199.04599999999999</v>
      </c>
      <c r="N1035" s="12">
        <v>199.04599999999999</v>
      </c>
      <c r="O1035" s="12">
        <v>120.239</v>
      </c>
      <c r="P1035" s="12">
        <v>8</v>
      </c>
      <c r="Q1035" s="12">
        <v>8</v>
      </c>
      <c r="R1035" s="12">
        <v>8</v>
      </c>
    </row>
    <row r="1036" spans="1:18" ht="17" customHeight="1" x14ac:dyDescent="0.15">
      <c r="A1036" s="8" t="s">
        <v>5503</v>
      </c>
      <c r="B1036" s="9" t="s">
        <v>5504</v>
      </c>
      <c r="C1036" s="8" t="s">
        <v>5505</v>
      </c>
      <c r="D1036" s="8" t="s">
        <v>5505</v>
      </c>
      <c r="E1036" s="8" t="s">
        <v>5506</v>
      </c>
      <c r="F1036" s="8" t="s">
        <v>5507</v>
      </c>
      <c r="G1036" s="8" t="s">
        <v>5462</v>
      </c>
      <c r="H1036" s="8" t="s">
        <v>5463</v>
      </c>
      <c r="I1036" s="8" t="str">
        <f>HYPERLINK("http://www.euromark.it/","www.euromark.it")</f>
        <v>www.euromark.it</v>
      </c>
      <c r="J1036" s="10">
        <v>5667.7470000000003</v>
      </c>
      <c r="K1036" s="10">
        <v>5667.7470000000003</v>
      </c>
      <c r="L1036" s="10">
        <v>6582.8109999999997</v>
      </c>
      <c r="M1036" s="10">
        <v>318.38600000000002</v>
      </c>
      <c r="N1036" s="10">
        <v>318.38600000000002</v>
      </c>
      <c r="O1036" s="10">
        <v>325.80099999999999</v>
      </c>
      <c r="P1036" s="10">
        <v>41</v>
      </c>
      <c r="Q1036" s="10">
        <v>41</v>
      </c>
      <c r="R1036" s="10">
        <v>48</v>
      </c>
    </row>
    <row r="1037" spans="1:18" ht="17" customHeight="1" x14ac:dyDescent="0.15">
      <c r="A1037" s="11" t="s">
        <v>5508</v>
      </c>
      <c r="B1037" s="1" t="s">
        <v>5509</v>
      </c>
      <c r="C1037" s="11" t="s">
        <v>5510</v>
      </c>
      <c r="D1037" s="11" t="s">
        <v>5510</v>
      </c>
      <c r="E1037" s="11" t="s">
        <v>5511</v>
      </c>
      <c r="F1037" s="11" t="s">
        <v>5447</v>
      </c>
      <c r="G1037" s="11" t="s">
        <v>5468</v>
      </c>
      <c r="H1037" s="11" t="s">
        <v>5469</v>
      </c>
      <c r="I1037" s="11" t="str">
        <f>HYPERLINK("http://ghoud.com/","ghoud.com")</f>
        <v>ghoud.com</v>
      </c>
      <c r="J1037" s="12">
        <v>4915.7529999999997</v>
      </c>
      <c r="K1037" s="12">
        <v>4915.7529999999997</v>
      </c>
      <c r="L1037" s="13">
        <v>6582.6710000000003</v>
      </c>
      <c r="M1037" s="12">
        <v>-1369.529</v>
      </c>
      <c r="N1037" s="12">
        <v>-1369.529</v>
      </c>
      <c r="O1037" s="12">
        <v>-1392.6320000000001</v>
      </c>
      <c r="P1037" s="12">
        <v>8</v>
      </c>
      <c r="Q1037" s="12">
        <v>8</v>
      </c>
      <c r="R1037" s="12">
        <v>12</v>
      </c>
    </row>
    <row r="1038" spans="1:18" ht="17" customHeight="1" x14ac:dyDescent="0.15">
      <c r="A1038" s="8" t="s">
        <v>5512</v>
      </c>
      <c r="B1038" s="9" t="s">
        <v>5513</v>
      </c>
      <c r="C1038" s="8" t="s">
        <v>5514</v>
      </c>
      <c r="D1038" s="8" t="s">
        <v>5514</v>
      </c>
      <c r="E1038" s="8" t="s">
        <v>5515</v>
      </c>
      <c r="F1038" s="8" t="s">
        <v>5461</v>
      </c>
      <c r="G1038" s="8" t="s">
        <v>5474</v>
      </c>
      <c r="H1038" s="8" t="s">
        <v>5475</v>
      </c>
      <c r="I1038" s="8" t="str">
        <f>HYPERLINK("http://www.apaminternational.com/","www.apaminternational.com")</f>
        <v>www.apaminternational.com</v>
      </c>
      <c r="J1038" s="10">
        <v>5497.9849999999997</v>
      </c>
      <c r="K1038" s="10">
        <v>5497.9849999999997</v>
      </c>
      <c r="L1038" s="10">
        <v>6581.1559999999999</v>
      </c>
      <c r="M1038" s="10">
        <v>423.96899999999999</v>
      </c>
      <c r="N1038" s="10">
        <v>423.96899999999999</v>
      </c>
      <c r="O1038" s="10">
        <v>895.55200000000002</v>
      </c>
      <c r="P1038" s="10">
        <v>30</v>
      </c>
      <c r="Q1038" s="10">
        <v>30</v>
      </c>
      <c r="R1038" s="10">
        <v>30</v>
      </c>
    </row>
    <row r="1039" spans="1:18" ht="17" customHeight="1" x14ac:dyDescent="0.15">
      <c r="A1039" s="11" t="s">
        <v>5516</v>
      </c>
      <c r="B1039" s="1" t="s">
        <v>5517</v>
      </c>
      <c r="C1039" s="11" t="s">
        <v>5518</v>
      </c>
      <c r="D1039" s="11" t="s">
        <v>5518</v>
      </c>
      <c r="E1039" s="11" t="s">
        <v>5519</v>
      </c>
      <c r="F1039" s="11" t="s">
        <v>5491</v>
      </c>
      <c r="G1039" s="11" t="s">
        <v>5474</v>
      </c>
      <c r="H1039" s="11" t="s">
        <v>5475</v>
      </c>
      <c r="I1039" s="11" t="str">
        <f>HYPERLINK("http://www.conceriailponte.it/","www.conceriailponte.it")</f>
        <v>www.conceriailponte.it</v>
      </c>
      <c r="J1039" s="12">
        <v>5510.6040000000003</v>
      </c>
      <c r="K1039" s="12">
        <v>5510.6040000000003</v>
      </c>
      <c r="L1039" s="13">
        <v>6575.64</v>
      </c>
      <c r="M1039" s="12">
        <v>6.274</v>
      </c>
      <c r="N1039" s="12">
        <v>6.274</v>
      </c>
      <c r="O1039" s="12">
        <v>22.286999999999999</v>
      </c>
      <c r="P1039" s="12">
        <v>15</v>
      </c>
      <c r="Q1039" s="12">
        <v>15</v>
      </c>
      <c r="R1039" s="12">
        <v>14</v>
      </c>
    </row>
    <row r="1040" spans="1:18" ht="17" customHeight="1" x14ac:dyDescent="0.15">
      <c r="A1040" s="8" t="s">
        <v>5520</v>
      </c>
      <c r="B1040" s="9" t="s">
        <v>5521</v>
      </c>
      <c r="C1040" s="8" t="s">
        <v>5522</v>
      </c>
      <c r="D1040" s="8" t="s">
        <v>5522</v>
      </c>
      <c r="E1040" s="8" t="s">
        <v>5523</v>
      </c>
      <c r="F1040" s="8" t="s">
        <v>5524</v>
      </c>
      <c r="G1040" s="8" t="s">
        <v>5525</v>
      </c>
      <c r="H1040" s="8" t="s">
        <v>5469</v>
      </c>
      <c r="I1040" s="8" t="str">
        <f>HYPERLINK("http://www.lemiconfezioni.it/","http://www.lemiconfezioni.it")</f>
        <v>http://www.lemiconfezioni.it</v>
      </c>
      <c r="J1040" s="10">
        <v>7029.0749999999998</v>
      </c>
      <c r="K1040" s="10">
        <v>7029.0749999999998</v>
      </c>
      <c r="L1040" s="10">
        <v>6546.3459999999995</v>
      </c>
      <c r="M1040" s="10">
        <v>1191.298</v>
      </c>
      <c r="N1040" s="10">
        <v>1191.298</v>
      </c>
      <c r="O1040" s="10">
        <v>1040.4760000000001</v>
      </c>
      <c r="P1040" s="10">
        <v>27</v>
      </c>
      <c r="Q1040" s="10">
        <v>27</v>
      </c>
      <c r="R1040" s="10">
        <v>27</v>
      </c>
    </row>
    <row r="1041" spans="1:18" ht="17" customHeight="1" x14ac:dyDescent="0.15">
      <c r="A1041" s="11" t="s">
        <v>5526</v>
      </c>
      <c r="B1041" s="1" t="s">
        <v>5527</v>
      </c>
      <c r="C1041" s="11" t="s">
        <v>5528</v>
      </c>
      <c r="D1041" s="11" t="s">
        <v>5528</v>
      </c>
      <c r="E1041" s="11" t="s">
        <v>5529</v>
      </c>
      <c r="F1041" s="11" t="s">
        <v>5440</v>
      </c>
      <c r="G1041" s="11" t="s">
        <v>5530</v>
      </c>
      <c r="H1041" s="11" t="s">
        <v>5531</v>
      </c>
      <c r="I1041" s="11" t="str">
        <f>HYPERLINK("http://taskaofficial.com/","taskaofficial.com")</f>
        <v>taskaofficial.com</v>
      </c>
      <c r="J1041" s="12">
        <v>4226.6180000000004</v>
      </c>
      <c r="K1041" s="12">
        <v>4226.6180000000004</v>
      </c>
      <c r="L1041" s="13">
        <v>6539.8429999999998</v>
      </c>
      <c r="M1041" s="12">
        <v>-1574.56</v>
      </c>
      <c r="N1041" s="12">
        <v>-1574.56</v>
      </c>
      <c r="O1041" s="12">
        <v>394.685</v>
      </c>
      <c r="P1041" s="14" t="s">
        <v>5450</v>
      </c>
      <c r="Q1041" s="14" t="s">
        <v>5450</v>
      </c>
      <c r="R1041" s="12">
        <v>19</v>
      </c>
    </row>
    <row r="1042" spans="1:18" ht="17" customHeight="1" x14ac:dyDescent="0.15">
      <c r="A1042" s="8" t="s">
        <v>5532</v>
      </c>
      <c r="B1042" s="9" t="s">
        <v>5533</v>
      </c>
      <c r="C1042" s="8" t="s">
        <v>5534</v>
      </c>
      <c r="D1042" s="8" t="s">
        <v>5534</v>
      </c>
      <c r="E1042" s="8" t="s">
        <v>5535</v>
      </c>
      <c r="F1042" s="8" t="s">
        <v>5461</v>
      </c>
      <c r="G1042" s="8" t="s">
        <v>5462</v>
      </c>
      <c r="H1042" s="8" t="s">
        <v>5463</v>
      </c>
      <c r="I1042" s="8" t="str">
        <f>HYPERLINK("http://www.valfiemme.it/","www.valfiemme.it")</f>
        <v>www.valfiemme.it</v>
      </c>
      <c r="J1042" s="10">
        <v>7481.0230000000001</v>
      </c>
      <c r="K1042" s="10">
        <v>7481.0230000000001</v>
      </c>
      <c r="L1042" s="10">
        <v>6539.2430000000004</v>
      </c>
      <c r="M1042" s="10">
        <v>950.77599999999995</v>
      </c>
      <c r="N1042" s="10">
        <v>950.77599999999995</v>
      </c>
      <c r="O1042" s="10">
        <v>802.74199999999996</v>
      </c>
      <c r="P1042" s="10">
        <v>34</v>
      </c>
      <c r="Q1042" s="10">
        <v>34</v>
      </c>
      <c r="R1042" s="10">
        <v>30</v>
      </c>
    </row>
    <row r="1043" spans="1:18" ht="17" customHeight="1" x14ac:dyDescent="0.15">
      <c r="A1043" s="11" t="s">
        <v>5536</v>
      </c>
      <c r="B1043" s="1" t="s">
        <v>5537</v>
      </c>
      <c r="C1043" s="11" t="s">
        <v>5538</v>
      </c>
      <c r="D1043" s="11" t="s">
        <v>5538</v>
      </c>
      <c r="E1043" s="11" t="s">
        <v>5539</v>
      </c>
      <c r="F1043" s="11" t="s">
        <v>5447</v>
      </c>
      <c r="G1043" s="11" t="s">
        <v>5540</v>
      </c>
      <c r="H1043" s="11" t="s">
        <v>5463</v>
      </c>
      <c r="I1043" s="11" t="str">
        <f>HYPERLINK("http://giannifalco.com/","giannifalco.com")</f>
        <v>giannifalco.com</v>
      </c>
      <c r="J1043" s="12">
        <v>5905.3329999999996</v>
      </c>
      <c r="K1043" s="12">
        <v>5905.3329999999996</v>
      </c>
      <c r="L1043" s="13">
        <v>6538.3559999999998</v>
      </c>
      <c r="M1043" s="12">
        <v>285.09899999999999</v>
      </c>
      <c r="N1043" s="12">
        <v>285.09899999999999</v>
      </c>
      <c r="O1043" s="12">
        <v>330.036</v>
      </c>
      <c r="P1043" s="12">
        <v>8</v>
      </c>
      <c r="Q1043" s="12">
        <v>8</v>
      </c>
      <c r="R1043" s="12">
        <v>6</v>
      </c>
    </row>
    <row r="1044" spans="1:18" ht="17" customHeight="1" x14ac:dyDescent="0.15">
      <c r="A1044" s="8" t="s">
        <v>5541</v>
      </c>
      <c r="B1044" s="9" t="s">
        <v>5542</v>
      </c>
      <c r="C1044" s="8" t="s">
        <v>5543</v>
      </c>
      <c r="D1044" s="8" t="s">
        <v>5543</v>
      </c>
      <c r="E1044" s="8" t="s">
        <v>5544</v>
      </c>
      <c r="F1044" s="8" t="s">
        <v>5491</v>
      </c>
      <c r="G1044" s="8" t="s">
        <v>5545</v>
      </c>
      <c r="H1044" s="8" t="s">
        <v>5463</v>
      </c>
      <c r="I1044" s="8" t="str">
        <f>HYPERLINK("http://www.euroconciaria.it/","www.euroconciaria.it")</f>
        <v>www.euroconciaria.it</v>
      </c>
      <c r="J1044" s="10">
        <v>6357.9570000000003</v>
      </c>
      <c r="K1044" s="10">
        <v>6357.9570000000003</v>
      </c>
      <c r="L1044" s="10">
        <v>6537.9809999999998</v>
      </c>
      <c r="M1044" s="10">
        <v>89.254000000000005</v>
      </c>
      <c r="N1044" s="10">
        <v>89.254000000000005</v>
      </c>
      <c r="O1044" s="10">
        <v>357.59500000000003</v>
      </c>
      <c r="P1044" s="10">
        <v>86</v>
      </c>
      <c r="Q1044" s="10">
        <v>86</v>
      </c>
      <c r="R1044" s="10">
        <v>80</v>
      </c>
    </row>
    <row r="1045" spans="1:18" ht="17" customHeight="1" x14ac:dyDescent="0.15">
      <c r="A1045" s="11" t="s">
        <v>5546</v>
      </c>
      <c r="B1045" s="1" t="s">
        <v>5547</v>
      </c>
      <c r="C1045" s="11" t="s">
        <v>5548</v>
      </c>
      <c r="D1045" s="11" t="s">
        <v>5548</v>
      </c>
      <c r="E1045" s="11" t="s">
        <v>5549</v>
      </c>
      <c r="F1045" s="11" t="s">
        <v>5447</v>
      </c>
      <c r="G1045" s="11" t="s">
        <v>5550</v>
      </c>
      <c r="H1045" s="11" t="s">
        <v>5502</v>
      </c>
      <c r="I1045" s="11" t="str">
        <f>HYPERLINK("http://www.barrett.it/","http://www.barrett.it")</f>
        <v>http://www.barrett.it</v>
      </c>
      <c r="J1045" s="12">
        <v>8254.848</v>
      </c>
      <c r="K1045" s="12">
        <v>8254.848</v>
      </c>
      <c r="L1045" s="13">
        <v>6529.7830000000004</v>
      </c>
      <c r="M1045" s="12">
        <v>169.815</v>
      </c>
      <c r="N1045" s="12">
        <v>169.815</v>
      </c>
      <c r="O1045" s="12">
        <v>28.827000000000002</v>
      </c>
      <c r="P1045" s="12">
        <v>47</v>
      </c>
      <c r="Q1045" s="12">
        <v>47</v>
      </c>
      <c r="R1045" s="12">
        <v>46</v>
      </c>
    </row>
    <row r="1046" spans="1:18" ht="17" customHeight="1" x14ac:dyDescent="0.15">
      <c r="A1046" s="8" t="s">
        <v>5551</v>
      </c>
      <c r="B1046" s="9" t="s">
        <v>5552</v>
      </c>
      <c r="C1046" s="8" t="s">
        <v>5553</v>
      </c>
      <c r="D1046" s="8" t="s">
        <v>5553</v>
      </c>
      <c r="E1046" s="8" t="s">
        <v>5554</v>
      </c>
      <c r="F1046" s="8" t="s">
        <v>5440</v>
      </c>
      <c r="G1046" s="8" t="s">
        <v>5555</v>
      </c>
      <c r="H1046" s="8" t="s">
        <v>5502</v>
      </c>
      <c r="I1046" s="8" t="str">
        <f>HYPERLINK("http://www.carpipromo.it/","www.carpipromo.it")</f>
        <v>www.carpipromo.it</v>
      </c>
      <c r="J1046" s="10">
        <v>5457.0510000000004</v>
      </c>
      <c r="K1046" s="10">
        <v>5457.0510000000004</v>
      </c>
      <c r="L1046" s="10">
        <v>6512.4269999999997</v>
      </c>
      <c r="M1046" s="10">
        <v>455.887</v>
      </c>
      <c r="N1046" s="10">
        <v>455.887</v>
      </c>
      <c r="O1046" s="10">
        <v>647.75300000000004</v>
      </c>
      <c r="P1046" s="10">
        <v>13</v>
      </c>
      <c r="Q1046" s="10">
        <v>13</v>
      </c>
      <c r="R1046" s="10">
        <v>14</v>
      </c>
    </row>
    <row r="1047" spans="1:18" ht="17" customHeight="1" x14ac:dyDescent="0.15">
      <c r="A1047" s="11" t="s">
        <v>5556</v>
      </c>
      <c r="B1047" s="1" t="s">
        <v>5557</v>
      </c>
      <c r="C1047" s="11" t="s">
        <v>5558</v>
      </c>
      <c r="D1047" s="11" t="s">
        <v>5558</v>
      </c>
      <c r="E1047" s="11" t="s">
        <v>5559</v>
      </c>
      <c r="F1047" s="11" t="s">
        <v>5560</v>
      </c>
      <c r="G1047" s="11" t="s">
        <v>5540</v>
      </c>
      <c r="H1047" s="11" t="s">
        <v>5463</v>
      </c>
      <c r="I1047" s="11" t="str">
        <f>HYPERLINK("http://www.bicycle-line.com/","www.bicycle-line.com")</f>
        <v>www.bicycle-line.com</v>
      </c>
      <c r="J1047" s="12">
        <v>4974.0029999999997</v>
      </c>
      <c r="K1047" s="12">
        <v>4974.0029999999997</v>
      </c>
      <c r="L1047" s="13">
        <v>6509.6989999999996</v>
      </c>
      <c r="M1047" s="12">
        <v>-370.63</v>
      </c>
      <c r="N1047" s="12">
        <v>-370.63</v>
      </c>
      <c r="O1047" s="12">
        <v>-3.59</v>
      </c>
      <c r="P1047" s="12">
        <v>27</v>
      </c>
      <c r="Q1047" s="12">
        <v>27</v>
      </c>
      <c r="R1047" s="12">
        <v>28</v>
      </c>
    </row>
    <row r="1048" spans="1:18" ht="17" customHeight="1" x14ac:dyDescent="0.15">
      <c r="A1048" s="8" t="s">
        <v>5561</v>
      </c>
      <c r="B1048" s="9" t="s">
        <v>5562</v>
      </c>
      <c r="C1048" s="8" t="s">
        <v>5563</v>
      </c>
      <c r="D1048" s="8" t="s">
        <v>5563</v>
      </c>
      <c r="E1048" s="8" t="s">
        <v>5564</v>
      </c>
      <c r="F1048" s="8" t="s">
        <v>5491</v>
      </c>
      <c r="G1048" s="8" t="s">
        <v>5565</v>
      </c>
      <c r="H1048" s="8" t="s">
        <v>5442</v>
      </c>
      <c r="I1048" s="8" t="str">
        <f>HYPERLINK("http://www.conceriaegeria.it/","www.conceriaegeria.it")</f>
        <v>www.conceriaegeria.it</v>
      </c>
      <c r="J1048" s="10">
        <v>5338.5680000000002</v>
      </c>
      <c r="K1048" s="10">
        <v>5338.5680000000002</v>
      </c>
      <c r="L1048" s="10">
        <v>6502.2269999999999</v>
      </c>
      <c r="M1048" s="10">
        <v>54.305999999999997</v>
      </c>
      <c r="N1048" s="10">
        <v>54.305999999999997</v>
      </c>
      <c r="O1048" s="10">
        <v>21.896000000000001</v>
      </c>
      <c r="P1048" s="15" t="s">
        <v>5450</v>
      </c>
      <c r="Q1048" s="15" t="s">
        <v>5450</v>
      </c>
      <c r="R1048" s="10">
        <v>2</v>
      </c>
    </row>
    <row r="1049" spans="1:18" ht="17" customHeight="1" x14ac:dyDescent="0.15">
      <c r="A1049" s="11" t="s">
        <v>5566</v>
      </c>
      <c r="B1049" s="1" t="s">
        <v>5567</v>
      </c>
      <c r="C1049" s="11" t="s">
        <v>5568</v>
      </c>
      <c r="D1049" s="11" t="s">
        <v>5568</v>
      </c>
      <c r="E1049" s="11" t="s">
        <v>5569</v>
      </c>
      <c r="F1049" s="11" t="s">
        <v>5484</v>
      </c>
      <c r="G1049" s="11" t="s">
        <v>5570</v>
      </c>
      <c r="H1049" s="11" t="s">
        <v>5475</v>
      </c>
      <c r="I1049" s="11" t="str">
        <f>HYPERLINK("http://www.lineamaglia.it/","www.lineamaglia.it")</f>
        <v>www.lineamaglia.it</v>
      </c>
      <c r="J1049" s="12">
        <v>6351.5050000000001</v>
      </c>
      <c r="K1049" s="12">
        <v>6351.5050000000001</v>
      </c>
      <c r="L1049" s="13">
        <v>6494.9390000000003</v>
      </c>
      <c r="M1049" s="12">
        <v>326.42899999999997</v>
      </c>
      <c r="N1049" s="12">
        <v>326.42899999999997</v>
      </c>
      <c r="O1049" s="12">
        <v>290.56700000000001</v>
      </c>
      <c r="P1049" s="12">
        <v>5</v>
      </c>
      <c r="Q1049" s="12">
        <v>5</v>
      </c>
      <c r="R1049" s="12">
        <v>5</v>
      </c>
    </row>
    <row r="1050" spans="1:18" ht="17" customHeight="1" x14ac:dyDescent="0.15">
      <c r="A1050" s="8" t="s">
        <v>5571</v>
      </c>
      <c r="B1050" s="9" t="s">
        <v>5572</v>
      </c>
      <c r="C1050" s="8" t="s">
        <v>5573</v>
      </c>
      <c r="D1050" s="8" t="s">
        <v>5573</v>
      </c>
      <c r="E1050" s="8" t="s">
        <v>5574</v>
      </c>
      <c r="F1050" s="8" t="s">
        <v>5491</v>
      </c>
      <c r="G1050" s="8" t="s">
        <v>5575</v>
      </c>
      <c r="H1050" s="8" t="s">
        <v>5475</v>
      </c>
      <c r="I1050" s="8" t="str">
        <f>HYPERLINK("http://www.volpi.it/","www.volpi.it")</f>
        <v>www.volpi.it</v>
      </c>
      <c r="J1050" s="10">
        <v>5260.4080000000004</v>
      </c>
      <c r="K1050" s="10">
        <v>5260.4080000000004</v>
      </c>
      <c r="L1050" s="10">
        <v>6478.9709999999995</v>
      </c>
      <c r="M1050" s="10">
        <v>53.497</v>
      </c>
      <c r="N1050" s="10">
        <v>53.497</v>
      </c>
      <c r="O1050" s="10">
        <v>-92.566000000000003</v>
      </c>
      <c r="P1050" s="10">
        <v>18</v>
      </c>
      <c r="Q1050" s="10">
        <v>18</v>
      </c>
      <c r="R1050" s="10">
        <v>18</v>
      </c>
    </row>
    <row r="1051" spans="1:18" ht="29.5" customHeight="1" x14ac:dyDescent="0.15">
      <c r="A1051" s="11" t="s">
        <v>5576</v>
      </c>
      <c r="B1051" s="1" t="s">
        <v>5577</v>
      </c>
      <c r="C1051" s="11" t="s">
        <v>5578</v>
      </c>
      <c r="D1051" s="11" t="s">
        <v>5578</v>
      </c>
      <c r="E1051" s="11" t="s">
        <v>5579</v>
      </c>
      <c r="F1051" s="11" t="s">
        <v>5524</v>
      </c>
      <c r="G1051" s="11" t="s">
        <v>5580</v>
      </c>
      <c r="H1051" s="11" t="s">
        <v>5449</v>
      </c>
      <c r="I1051" s="11" t="str">
        <f>HYPERLINK("http://www.jancojeans.com/","www.jancojeans.com")</f>
        <v>www.jancojeans.com</v>
      </c>
      <c r="J1051" s="12">
        <v>4845.3969999999999</v>
      </c>
      <c r="K1051" s="12">
        <v>4845.3969999999999</v>
      </c>
      <c r="L1051" s="13">
        <v>6478.0249999999996</v>
      </c>
      <c r="M1051" s="12">
        <v>13.004</v>
      </c>
      <c r="N1051" s="12">
        <v>13.004</v>
      </c>
      <c r="O1051" s="12">
        <v>17.277000000000001</v>
      </c>
      <c r="P1051" s="14" t="s">
        <v>5450</v>
      </c>
      <c r="Q1051" s="14" t="s">
        <v>5450</v>
      </c>
      <c r="R1051" s="12">
        <v>24</v>
      </c>
    </row>
    <row r="1052" spans="1:18" ht="17" customHeight="1" x14ac:dyDescent="0.15">
      <c r="A1052" s="8" t="s">
        <v>5581</v>
      </c>
      <c r="B1052" s="9" t="s">
        <v>5582</v>
      </c>
      <c r="C1052" s="8" t="s">
        <v>5583</v>
      </c>
      <c r="D1052" s="8" t="s">
        <v>5583</v>
      </c>
      <c r="E1052" s="8" t="s">
        <v>5584</v>
      </c>
      <c r="F1052" s="8" t="s">
        <v>5440</v>
      </c>
      <c r="G1052" s="8" t="s">
        <v>5441</v>
      </c>
      <c r="H1052" s="8" t="s">
        <v>5442</v>
      </c>
      <c r="I1052" s="8" t="str">
        <f>HYPERLINK("http://www.hanita.it/","www.hanita.it")</f>
        <v>www.hanita.it</v>
      </c>
      <c r="J1052" s="10">
        <v>5656.9610000000002</v>
      </c>
      <c r="K1052" s="10">
        <v>5656.9610000000002</v>
      </c>
      <c r="L1052" s="10">
        <v>6475.973</v>
      </c>
      <c r="M1052" s="10">
        <v>29.253</v>
      </c>
      <c r="N1052" s="10">
        <v>29.253</v>
      </c>
      <c r="O1052" s="10">
        <v>18.995000000000001</v>
      </c>
      <c r="P1052" s="10">
        <v>33</v>
      </c>
      <c r="Q1052" s="10">
        <v>33</v>
      </c>
      <c r="R1052" s="10">
        <v>43</v>
      </c>
    </row>
    <row r="1053" spans="1:18" ht="17" customHeight="1" x14ac:dyDescent="0.15">
      <c r="A1053" s="11" t="s">
        <v>5585</v>
      </c>
      <c r="B1053" s="1" t="s">
        <v>5586</v>
      </c>
      <c r="C1053" s="11" t="s">
        <v>5587</v>
      </c>
      <c r="D1053" s="11" t="s">
        <v>5587</v>
      </c>
      <c r="E1053" s="11" t="s">
        <v>5588</v>
      </c>
      <c r="F1053" s="11" t="s">
        <v>5447</v>
      </c>
      <c r="G1053" s="11" t="s">
        <v>5448</v>
      </c>
      <c r="H1053" s="11" t="s">
        <v>5449</v>
      </c>
      <c r="I1053" s="11" t="str">
        <f>HYPERLINK("http://www.annabellaspa.eu/","www.annabellaspa.eu")</f>
        <v>www.annabellaspa.eu</v>
      </c>
      <c r="J1053" s="12">
        <v>4952.7020000000002</v>
      </c>
      <c r="K1053" s="12">
        <v>4952.7020000000002</v>
      </c>
      <c r="L1053" s="13">
        <v>6467.5839999999998</v>
      </c>
      <c r="M1053" s="12">
        <v>-1309.2270000000001</v>
      </c>
      <c r="N1053" s="12">
        <v>-1309.2270000000001</v>
      </c>
      <c r="O1053" s="12">
        <v>-1244.9190000000001</v>
      </c>
      <c r="P1053" s="12">
        <v>21</v>
      </c>
      <c r="Q1053" s="12">
        <v>21</v>
      </c>
      <c r="R1053" s="12">
        <v>25</v>
      </c>
    </row>
    <row r="1054" spans="1:18" ht="68" customHeight="1" x14ac:dyDescent="0.15">
      <c r="A1054" s="8" t="s">
        <v>5589</v>
      </c>
      <c r="B1054" s="9" t="s">
        <v>5590</v>
      </c>
      <c r="C1054" s="8" t="s">
        <v>5591</v>
      </c>
      <c r="D1054" s="8" t="s">
        <v>5591</v>
      </c>
      <c r="E1054" s="8" t="s">
        <v>5592</v>
      </c>
      <c r="F1054" s="8" t="s">
        <v>5447</v>
      </c>
      <c r="G1054" s="8" t="s">
        <v>5462</v>
      </c>
      <c r="H1054" s="8" t="s">
        <v>5463</v>
      </c>
      <c r="I1054" s="8" t="str">
        <f>HYPERLINK("http://www.viaroma15.com/","www.viaroma15.com")</f>
        <v>www.viaroma15.com</v>
      </c>
      <c r="J1054" s="10">
        <v>6008.9430000000002</v>
      </c>
      <c r="K1054" s="10">
        <v>6008.9430000000002</v>
      </c>
      <c r="L1054" s="10">
        <v>6467.4570000000003</v>
      </c>
      <c r="M1054" s="10">
        <v>471.10300000000001</v>
      </c>
      <c r="N1054" s="10">
        <v>471.10300000000001</v>
      </c>
      <c r="O1054" s="10">
        <v>649.98800000000006</v>
      </c>
      <c r="P1054" s="15" t="s">
        <v>5450</v>
      </c>
      <c r="Q1054" s="15" t="s">
        <v>5450</v>
      </c>
      <c r="R1054" s="10">
        <v>25</v>
      </c>
    </row>
    <row r="1055" spans="1:18" ht="17" customHeight="1" x14ac:dyDescent="0.15">
      <c r="A1055" s="11" t="s">
        <v>5593</v>
      </c>
      <c r="B1055" s="1" t="s">
        <v>5594</v>
      </c>
      <c r="C1055" s="11" t="s">
        <v>5595</v>
      </c>
      <c r="D1055" s="11" t="s">
        <v>5595</v>
      </c>
      <c r="E1055" s="11" t="s">
        <v>5596</v>
      </c>
      <c r="F1055" s="11" t="s">
        <v>5524</v>
      </c>
      <c r="G1055" s="11" t="s">
        <v>5597</v>
      </c>
      <c r="H1055" s="11" t="s">
        <v>5531</v>
      </c>
      <c r="I1055" s="11" t="str">
        <f>HYPERLINK("http://www.gary.it/","www.gary.it")</f>
        <v>www.gary.it</v>
      </c>
      <c r="J1055" s="12">
        <v>5535.3379999999997</v>
      </c>
      <c r="K1055" s="12">
        <v>5535.3379999999997</v>
      </c>
      <c r="L1055" s="13">
        <v>6462.6490000000003</v>
      </c>
      <c r="M1055" s="12">
        <v>39.454000000000001</v>
      </c>
      <c r="N1055" s="12">
        <v>39.454000000000001</v>
      </c>
      <c r="O1055" s="12">
        <v>244.06</v>
      </c>
      <c r="P1055" s="12">
        <v>30</v>
      </c>
      <c r="Q1055" s="12">
        <v>30</v>
      </c>
      <c r="R1055" s="12">
        <v>33</v>
      </c>
    </row>
    <row r="1056" spans="1:18" ht="17" customHeight="1" x14ac:dyDescent="0.15">
      <c r="A1056" s="8" t="s">
        <v>5598</v>
      </c>
      <c r="B1056" s="9" t="s">
        <v>5599</v>
      </c>
      <c r="C1056" s="8" t="s">
        <v>5600</v>
      </c>
      <c r="D1056" s="8" t="s">
        <v>5600</v>
      </c>
      <c r="E1056" s="8" t="s">
        <v>5601</v>
      </c>
      <c r="F1056" s="8" t="s">
        <v>5491</v>
      </c>
      <c r="G1056" s="8" t="s">
        <v>5575</v>
      </c>
      <c r="H1056" s="8" t="s">
        <v>5475</v>
      </c>
      <c r="I1056" s="8" t="str">
        <f>HYPERLINK("http://conceriamangusta.it/","conceriamangusta.it")</f>
        <v>conceriamangusta.it</v>
      </c>
      <c r="J1056" s="10">
        <v>4466.93</v>
      </c>
      <c r="K1056" s="10">
        <v>4466.93</v>
      </c>
      <c r="L1056" s="10">
        <v>6446.3389999999999</v>
      </c>
      <c r="M1056" s="10">
        <v>90.894000000000005</v>
      </c>
      <c r="N1056" s="10">
        <v>90.894000000000005</v>
      </c>
      <c r="O1056" s="10">
        <v>186.60900000000001</v>
      </c>
      <c r="P1056" s="10">
        <v>11</v>
      </c>
      <c r="Q1056" s="10">
        <v>11</v>
      </c>
      <c r="R1056" s="10">
        <v>12</v>
      </c>
    </row>
    <row r="1057" spans="1:18" ht="17" customHeight="1" x14ac:dyDescent="0.15">
      <c r="A1057" s="11" t="s">
        <v>5602</v>
      </c>
      <c r="B1057" s="1" t="s">
        <v>5603</v>
      </c>
      <c r="C1057" s="11" t="s">
        <v>5604</v>
      </c>
      <c r="D1057" s="11" t="s">
        <v>5604</v>
      </c>
      <c r="E1057" s="11" t="s">
        <v>5605</v>
      </c>
      <c r="F1057" s="11" t="s">
        <v>5606</v>
      </c>
      <c r="G1057" s="11" t="s">
        <v>5607</v>
      </c>
      <c r="H1057" s="11" t="s">
        <v>5608</v>
      </c>
      <c r="I1057" s="11" t="str">
        <f>HYPERLINK("http://www.quidorg.it/","www.quidorg.it")</f>
        <v>www.quidorg.it</v>
      </c>
      <c r="J1057" s="12">
        <v>5790.4279999999999</v>
      </c>
      <c r="K1057" s="12">
        <v>5790.4279999999999</v>
      </c>
      <c r="L1057" s="13">
        <v>6439.884</v>
      </c>
      <c r="M1057" s="12">
        <v>53.454000000000001</v>
      </c>
      <c r="N1057" s="12">
        <v>53.454000000000001</v>
      </c>
      <c r="O1057" s="12">
        <v>68.372</v>
      </c>
      <c r="P1057" s="12">
        <v>142</v>
      </c>
      <c r="Q1057" s="12">
        <v>142</v>
      </c>
      <c r="R1057" s="12">
        <v>136</v>
      </c>
    </row>
    <row r="1058" spans="1:18" ht="29.5" customHeight="1" x14ac:dyDescent="0.15">
      <c r="A1058" s="8" t="s">
        <v>5609</v>
      </c>
      <c r="B1058" s="9" t="s">
        <v>5610</v>
      </c>
      <c r="C1058" s="8" t="s">
        <v>5611</v>
      </c>
      <c r="D1058" s="8" t="s">
        <v>5611</v>
      </c>
      <c r="E1058" s="8" t="s">
        <v>5612</v>
      </c>
      <c r="F1058" s="8" t="s">
        <v>5613</v>
      </c>
      <c r="G1058" s="8" t="s">
        <v>5614</v>
      </c>
      <c r="H1058" s="8" t="s">
        <v>5615</v>
      </c>
      <c r="I1058" s="8" t="str">
        <f>HYPERLINK("http://www.nuovaicos.com/","www.nuovaicos.com")</f>
        <v>www.nuovaicos.com</v>
      </c>
      <c r="J1058" s="10">
        <v>6120.4650000000001</v>
      </c>
      <c r="K1058" s="10">
        <v>6120.4650000000001</v>
      </c>
      <c r="L1058" s="10">
        <v>6439.482</v>
      </c>
      <c r="M1058" s="10">
        <v>42.436</v>
      </c>
      <c r="N1058" s="10">
        <v>42.436</v>
      </c>
      <c r="O1058" s="10">
        <v>42.302</v>
      </c>
      <c r="P1058" s="10">
        <v>29</v>
      </c>
      <c r="Q1058" s="10">
        <v>29</v>
      </c>
      <c r="R1058" s="10">
        <v>34</v>
      </c>
    </row>
    <row r="1059" spans="1:18" ht="29.5" customHeight="1" x14ac:dyDescent="0.15">
      <c r="A1059" s="11" t="s">
        <v>5616</v>
      </c>
      <c r="B1059" s="1" t="s">
        <v>5617</v>
      </c>
      <c r="C1059" s="11" t="s">
        <v>5618</v>
      </c>
      <c r="D1059" s="11" t="s">
        <v>5618</v>
      </c>
      <c r="E1059" s="11" t="s">
        <v>5619</v>
      </c>
      <c r="F1059" s="11" t="s">
        <v>5613</v>
      </c>
      <c r="G1059" s="11" t="s">
        <v>5620</v>
      </c>
      <c r="H1059" s="11" t="s">
        <v>5621</v>
      </c>
      <c r="I1059" s="11" t="str">
        <f>HYPERLINK("http://www.conceriapresot.it/","www.conceriapresot.it")</f>
        <v>www.conceriapresot.it</v>
      </c>
      <c r="J1059" s="12">
        <v>4303.4859999999999</v>
      </c>
      <c r="K1059" s="12">
        <v>4303.4859999999999</v>
      </c>
      <c r="L1059" s="13">
        <v>6438.8739999999998</v>
      </c>
      <c r="M1059" s="12">
        <v>255.30799999999999</v>
      </c>
      <c r="N1059" s="12">
        <v>255.30799999999999</v>
      </c>
      <c r="O1059" s="12">
        <v>497.49599999999998</v>
      </c>
      <c r="P1059" s="12">
        <v>13</v>
      </c>
      <c r="Q1059" s="12">
        <v>13</v>
      </c>
      <c r="R1059" s="12">
        <v>12</v>
      </c>
    </row>
    <row r="1060" spans="1:18" ht="17" customHeight="1" x14ac:dyDescent="0.15">
      <c r="A1060" s="8" t="s">
        <v>5622</v>
      </c>
      <c r="B1060" s="9" t="s">
        <v>5623</v>
      </c>
      <c r="C1060" s="8" t="s">
        <v>5624</v>
      </c>
      <c r="D1060" s="8" t="s">
        <v>5624</v>
      </c>
      <c r="E1060" s="8" t="s">
        <v>5625</v>
      </c>
      <c r="F1060" s="8" t="s">
        <v>5626</v>
      </c>
      <c r="G1060" s="8" t="s">
        <v>5627</v>
      </c>
      <c r="H1060" s="8" t="s">
        <v>5628</v>
      </c>
      <c r="I1060" s="8" t="str">
        <f>HYPERLINK("http://www.lubesrl.it/","www.lubesrl.it")</f>
        <v>www.lubesrl.it</v>
      </c>
      <c r="J1060" s="10">
        <v>7490.1959999999999</v>
      </c>
      <c r="K1060" s="10">
        <v>7490.1959999999999</v>
      </c>
      <c r="L1060" s="10">
        <v>6437.5529999999999</v>
      </c>
      <c r="M1060" s="10">
        <v>2407.7020000000002</v>
      </c>
      <c r="N1060" s="10">
        <v>2407.7020000000002</v>
      </c>
      <c r="O1060" s="10">
        <v>1845.175</v>
      </c>
      <c r="P1060" s="10">
        <v>29</v>
      </c>
      <c r="Q1060" s="10">
        <v>29</v>
      </c>
      <c r="R1060" s="10">
        <v>28</v>
      </c>
    </row>
    <row r="1061" spans="1:18" ht="17" customHeight="1" x14ac:dyDescent="0.15">
      <c r="A1061" s="11" t="s">
        <v>5629</v>
      </c>
      <c r="B1061" s="1" t="s">
        <v>5630</v>
      </c>
      <c r="C1061" s="11" t="s">
        <v>5631</v>
      </c>
      <c r="D1061" s="11" t="s">
        <v>5631</v>
      </c>
      <c r="E1061" s="11" t="s">
        <v>5632</v>
      </c>
      <c r="F1061" s="11" t="s">
        <v>5633</v>
      </c>
      <c r="G1061" s="11" t="s">
        <v>5634</v>
      </c>
      <c r="H1061" s="11" t="s">
        <v>5615</v>
      </c>
      <c r="I1061" s="11" t="str">
        <f>HYPERLINK("http://www.campel.net/","www.campel.net")</f>
        <v>www.campel.net</v>
      </c>
      <c r="J1061" s="12">
        <v>8018.8540000000003</v>
      </c>
      <c r="K1061" s="12">
        <v>8018.8540000000003</v>
      </c>
      <c r="L1061" s="13">
        <v>6427.3540000000003</v>
      </c>
      <c r="M1061" s="12">
        <v>197.85</v>
      </c>
      <c r="N1061" s="12">
        <v>197.85</v>
      </c>
      <c r="O1061" s="12">
        <v>228.297</v>
      </c>
      <c r="P1061" s="14" t="s">
        <v>5635</v>
      </c>
      <c r="Q1061" s="14" t="s">
        <v>5635</v>
      </c>
      <c r="R1061" s="12">
        <v>113</v>
      </c>
    </row>
    <row r="1062" spans="1:18" ht="29.5" customHeight="1" x14ac:dyDescent="0.15">
      <c r="A1062" s="8" t="s">
        <v>5636</v>
      </c>
      <c r="B1062" s="9" t="s">
        <v>5637</v>
      </c>
      <c r="C1062" s="8" t="s">
        <v>5638</v>
      </c>
      <c r="D1062" s="8" t="s">
        <v>5638</v>
      </c>
      <c r="E1062" s="8" t="s">
        <v>5639</v>
      </c>
      <c r="F1062" s="8" t="s">
        <v>5626</v>
      </c>
      <c r="G1062" s="8" t="s">
        <v>5640</v>
      </c>
      <c r="H1062" s="8" t="s">
        <v>5641</v>
      </c>
      <c r="I1062" s="8" t="str">
        <f>HYPERLINK("http://www.alicefashion.it/","www.alicefashion.it")</f>
        <v>www.alicefashion.it</v>
      </c>
      <c r="J1062" s="10">
        <v>6958.9359999999997</v>
      </c>
      <c r="K1062" s="10">
        <v>6958.9359999999997</v>
      </c>
      <c r="L1062" s="10">
        <v>6420.6679999999997</v>
      </c>
      <c r="M1062" s="10">
        <v>26.776</v>
      </c>
      <c r="N1062" s="10">
        <v>26.776</v>
      </c>
      <c r="O1062" s="10">
        <v>26.006</v>
      </c>
      <c r="P1062" s="10">
        <v>18</v>
      </c>
      <c r="Q1062" s="10">
        <v>18</v>
      </c>
      <c r="R1062" s="10">
        <v>21</v>
      </c>
    </row>
    <row r="1063" spans="1:18" ht="17" customHeight="1" x14ac:dyDescent="0.15">
      <c r="A1063" s="11" t="s">
        <v>5642</v>
      </c>
      <c r="B1063" s="1" t="s">
        <v>5643</v>
      </c>
      <c r="C1063" s="11" t="s">
        <v>5644</v>
      </c>
      <c r="D1063" s="11" t="s">
        <v>5644</v>
      </c>
      <c r="E1063" s="11" t="s">
        <v>5645</v>
      </c>
      <c r="F1063" s="11" t="s">
        <v>5646</v>
      </c>
      <c r="G1063" s="11" t="s">
        <v>5647</v>
      </c>
      <c r="H1063" s="11" t="s">
        <v>5608</v>
      </c>
      <c r="I1063" s="11" t="str">
        <f>HYPERLINK("http://cycalzature.com/","cycalzature.com")</f>
        <v>cycalzature.com</v>
      </c>
      <c r="J1063" s="12">
        <v>7354.4660000000003</v>
      </c>
      <c r="K1063" s="12">
        <v>7354.4660000000003</v>
      </c>
      <c r="L1063" s="13">
        <v>6409.92</v>
      </c>
      <c r="M1063" s="12">
        <v>-289.84800000000001</v>
      </c>
      <c r="N1063" s="12">
        <v>-289.84800000000001</v>
      </c>
      <c r="O1063" s="12">
        <v>78.241</v>
      </c>
      <c r="P1063" s="14" t="s">
        <v>5635</v>
      </c>
      <c r="Q1063" s="14" t="s">
        <v>5635</v>
      </c>
      <c r="R1063" s="12">
        <v>48</v>
      </c>
    </row>
    <row r="1064" spans="1:18" ht="17" customHeight="1" x14ac:dyDescent="0.15">
      <c r="A1064" s="8" t="s">
        <v>5648</v>
      </c>
      <c r="B1064" s="9" t="s">
        <v>5649</v>
      </c>
      <c r="C1064" s="8" t="s">
        <v>5650</v>
      </c>
      <c r="D1064" s="8" t="s">
        <v>5651</v>
      </c>
      <c r="E1064" s="8" t="s">
        <v>5652</v>
      </c>
      <c r="F1064" s="8" t="s">
        <v>5653</v>
      </c>
      <c r="G1064" s="8" t="s">
        <v>5654</v>
      </c>
      <c r="H1064" s="8" t="s">
        <v>5641</v>
      </c>
      <c r="I1064" s="8" t="str">
        <f>HYPERLINK("http://ritratti.com/","ritratti.com")</f>
        <v>ritratti.com</v>
      </c>
      <c r="J1064" s="10">
        <v>6059.6139999999996</v>
      </c>
      <c r="K1064" s="10">
        <v>6059.6139999999996</v>
      </c>
      <c r="L1064" s="10">
        <v>6406.2089999999998</v>
      </c>
      <c r="M1064" s="10">
        <v>-3784.232</v>
      </c>
      <c r="N1064" s="10">
        <v>-3784.232</v>
      </c>
      <c r="O1064" s="10">
        <v>-611.44299999999998</v>
      </c>
      <c r="P1064" s="10">
        <v>28</v>
      </c>
      <c r="Q1064" s="10">
        <v>28</v>
      </c>
      <c r="R1064" s="10">
        <v>32</v>
      </c>
    </row>
    <row r="1065" spans="1:18" ht="17" customHeight="1" x14ac:dyDescent="0.15">
      <c r="A1065" s="11" t="s">
        <v>5655</v>
      </c>
      <c r="B1065" s="1" t="s">
        <v>5656</v>
      </c>
      <c r="C1065" s="11" t="s">
        <v>5657</v>
      </c>
      <c r="D1065" s="11" t="s">
        <v>5657</v>
      </c>
      <c r="E1065" s="11" t="s">
        <v>5658</v>
      </c>
      <c r="F1065" s="11" t="s">
        <v>5659</v>
      </c>
      <c r="G1065" s="11" t="s">
        <v>5627</v>
      </c>
      <c r="H1065" s="11" t="s">
        <v>5628</v>
      </c>
      <c r="I1065" s="11" t="str">
        <f>HYPERLINK("http://www.stilnology.it/","www.stilnology.it")</f>
        <v>www.stilnology.it</v>
      </c>
      <c r="J1065" s="12">
        <v>7728.7120000000004</v>
      </c>
      <c r="K1065" s="12">
        <v>7728.7120000000004</v>
      </c>
      <c r="L1065" s="13">
        <v>6403.4970000000003</v>
      </c>
      <c r="M1065" s="12">
        <v>558.88099999999997</v>
      </c>
      <c r="N1065" s="12">
        <v>558.88099999999997</v>
      </c>
      <c r="O1065" s="12">
        <v>149.40700000000001</v>
      </c>
      <c r="P1065" s="12">
        <v>27</v>
      </c>
      <c r="Q1065" s="12">
        <v>27</v>
      </c>
      <c r="R1065" s="12">
        <v>26</v>
      </c>
    </row>
    <row r="1066" spans="1:18" ht="29.5" customHeight="1" x14ac:dyDescent="0.15">
      <c r="A1066" s="8" t="s">
        <v>5660</v>
      </c>
      <c r="B1066" s="9" t="s">
        <v>5661</v>
      </c>
      <c r="C1066" s="8" t="s">
        <v>5662</v>
      </c>
      <c r="D1066" s="8" t="s">
        <v>5662</v>
      </c>
      <c r="E1066" s="8" t="s">
        <v>5663</v>
      </c>
      <c r="F1066" s="8" t="s">
        <v>5646</v>
      </c>
      <c r="G1066" s="8" t="s">
        <v>5647</v>
      </c>
      <c r="H1066" s="8" t="s">
        <v>5608</v>
      </c>
      <c r="I1066" s="8" t="str">
        <f>HYPERLINK("http://www.suolificiopiovan.it/","www.suolificiopiovan.it")</f>
        <v>www.suolificiopiovan.it</v>
      </c>
      <c r="J1066" s="10">
        <v>8284.57</v>
      </c>
      <c r="K1066" s="10">
        <v>8284.57</v>
      </c>
      <c r="L1066" s="10">
        <v>6400.5690000000004</v>
      </c>
      <c r="M1066" s="10">
        <v>1407.4570000000001</v>
      </c>
      <c r="N1066" s="10">
        <v>1407.4570000000001</v>
      </c>
      <c r="O1066" s="10">
        <v>997.673</v>
      </c>
      <c r="P1066" s="10">
        <v>33</v>
      </c>
      <c r="Q1066" s="10">
        <v>33</v>
      </c>
      <c r="R1066" s="10">
        <v>30</v>
      </c>
    </row>
    <row r="1067" spans="1:18" ht="17" customHeight="1" x14ac:dyDescent="0.15">
      <c r="A1067" s="11" t="s">
        <v>5664</v>
      </c>
      <c r="B1067" s="1" t="s">
        <v>5665</v>
      </c>
      <c r="C1067" s="11" t="s">
        <v>5666</v>
      </c>
      <c r="D1067" s="11" t="s">
        <v>5666</v>
      </c>
      <c r="E1067" s="11" t="s">
        <v>5667</v>
      </c>
      <c r="F1067" s="11" t="s">
        <v>5668</v>
      </c>
      <c r="G1067" s="11" t="s">
        <v>5669</v>
      </c>
      <c r="H1067" s="11" t="s">
        <v>5608</v>
      </c>
      <c r="I1067" s="11" t="str">
        <f>HYPERLINK("http://www.systemservicesrl.it/","www.systemservicesrl.it")</f>
        <v>www.systemservicesrl.it</v>
      </c>
      <c r="J1067" s="12">
        <v>8482.4580000000005</v>
      </c>
      <c r="K1067" s="12">
        <v>8482.4580000000005</v>
      </c>
      <c r="L1067" s="13">
        <v>6378.7560000000003</v>
      </c>
      <c r="M1067" s="12">
        <v>1322.7339999999999</v>
      </c>
      <c r="N1067" s="12">
        <v>1322.7339999999999</v>
      </c>
      <c r="O1067" s="12">
        <v>888.31700000000001</v>
      </c>
      <c r="P1067" s="12">
        <v>25</v>
      </c>
      <c r="Q1067" s="12">
        <v>25</v>
      </c>
      <c r="R1067" s="12">
        <v>25</v>
      </c>
    </row>
    <row r="1068" spans="1:18" ht="55.75" customHeight="1" x14ac:dyDescent="0.15">
      <c r="A1068" s="8" t="s">
        <v>5670</v>
      </c>
      <c r="B1068" s="9" t="s">
        <v>5671</v>
      </c>
      <c r="C1068" s="8" t="s">
        <v>5672</v>
      </c>
      <c r="D1068" s="8" t="s">
        <v>5672</v>
      </c>
      <c r="E1068" s="8" t="s">
        <v>5673</v>
      </c>
      <c r="F1068" s="8" t="s">
        <v>5613</v>
      </c>
      <c r="G1068" s="8" t="s">
        <v>5674</v>
      </c>
      <c r="H1068" s="8" t="s">
        <v>5675</v>
      </c>
      <c r="I1068" s="8" t="str">
        <f>HYPERLINK("http://www.foglizzo.com/","http://www.foglizzo.com")</f>
        <v>http://www.foglizzo.com</v>
      </c>
      <c r="J1068" s="10">
        <v>7497.9340000000002</v>
      </c>
      <c r="K1068" s="10">
        <v>7497.9340000000002</v>
      </c>
      <c r="L1068" s="10">
        <v>6371.0140000000001</v>
      </c>
      <c r="M1068" s="10">
        <v>263.113</v>
      </c>
      <c r="N1068" s="10">
        <v>263.113</v>
      </c>
      <c r="O1068" s="10">
        <v>102.634</v>
      </c>
      <c r="P1068" s="15" t="s">
        <v>5635</v>
      </c>
      <c r="Q1068" s="15" t="s">
        <v>5635</v>
      </c>
      <c r="R1068" s="10">
        <v>14</v>
      </c>
    </row>
    <row r="1069" spans="1:18" ht="29.5" customHeight="1" x14ac:dyDescent="0.15">
      <c r="A1069" s="11" t="s">
        <v>5676</v>
      </c>
      <c r="B1069" s="1" t="s">
        <v>5677</v>
      </c>
      <c r="C1069" s="11" t="s">
        <v>5678</v>
      </c>
      <c r="D1069" s="11" t="s">
        <v>5678</v>
      </c>
      <c r="E1069" s="11" t="s">
        <v>5679</v>
      </c>
      <c r="F1069" s="11" t="s">
        <v>5680</v>
      </c>
      <c r="G1069" s="11" t="s">
        <v>5681</v>
      </c>
      <c r="H1069" s="11" t="s">
        <v>5628</v>
      </c>
      <c r="I1069" s="11" t="str">
        <f>HYPERLINK("http://www.calzaturecappellini.it/","http://www.calzaturecappellini.it")</f>
        <v>http://www.calzaturecappellini.it</v>
      </c>
      <c r="J1069" s="12">
        <v>7502.5410000000002</v>
      </c>
      <c r="K1069" s="12">
        <v>7502.5410000000002</v>
      </c>
      <c r="L1069" s="13">
        <v>6370.3509999999997</v>
      </c>
      <c r="M1069" s="12">
        <v>211.74700000000001</v>
      </c>
      <c r="N1069" s="12">
        <v>211.74700000000001</v>
      </c>
      <c r="O1069" s="12">
        <v>122.22</v>
      </c>
      <c r="P1069" s="12">
        <v>43</v>
      </c>
      <c r="Q1069" s="12">
        <v>43</v>
      </c>
      <c r="R1069" s="12">
        <v>37</v>
      </c>
    </row>
    <row r="1070" spans="1:18" ht="17" customHeight="1" x14ac:dyDescent="0.15">
      <c r="A1070" s="8" t="s">
        <v>5682</v>
      </c>
      <c r="B1070" s="9" t="s">
        <v>5683</v>
      </c>
      <c r="C1070" s="8" t="s">
        <v>5684</v>
      </c>
      <c r="D1070" s="8" t="s">
        <v>5684</v>
      </c>
      <c r="E1070" s="8" t="s">
        <v>5685</v>
      </c>
      <c r="F1070" s="8" t="s">
        <v>5686</v>
      </c>
      <c r="G1070" s="8" t="s">
        <v>5654</v>
      </c>
      <c r="H1070" s="8" t="s">
        <v>5641</v>
      </c>
      <c r="I1070" s="8" t="str">
        <f>HYPERLINK("http://www.calzeolona.it/","www.calzeolona.it")</f>
        <v>www.calzeolona.it</v>
      </c>
      <c r="J1070" s="10">
        <v>7120.7640000000001</v>
      </c>
      <c r="K1070" s="10">
        <v>7120.7640000000001</v>
      </c>
      <c r="L1070" s="10">
        <v>6360.5839999999998</v>
      </c>
      <c r="M1070" s="10">
        <v>60.457000000000001</v>
      </c>
      <c r="N1070" s="10">
        <v>60.457000000000001</v>
      </c>
      <c r="O1070" s="10">
        <v>19.988</v>
      </c>
      <c r="P1070" s="10">
        <v>40</v>
      </c>
      <c r="Q1070" s="10">
        <v>40</v>
      </c>
      <c r="R1070" s="10">
        <v>38</v>
      </c>
    </row>
    <row r="1071" spans="1:18" ht="17" customHeight="1" x14ac:dyDescent="0.15">
      <c r="A1071" s="11" t="s">
        <v>5687</v>
      </c>
      <c r="B1071" s="1" t="s">
        <v>5688</v>
      </c>
      <c r="C1071" s="11" t="s">
        <v>5689</v>
      </c>
      <c r="D1071" s="11" t="s">
        <v>5689</v>
      </c>
      <c r="E1071" s="11" t="s">
        <v>5690</v>
      </c>
      <c r="F1071" s="11" t="s">
        <v>5668</v>
      </c>
      <c r="G1071" s="11" t="s">
        <v>5691</v>
      </c>
      <c r="H1071" s="11" t="s">
        <v>5628</v>
      </c>
      <c r="I1071" s="11" t="str">
        <f>HYPERLINK("http://www.leboleuomo.it/","www.leboleuomo.it")</f>
        <v>www.leboleuomo.it</v>
      </c>
      <c r="J1071" s="12">
        <v>10862.146000000001</v>
      </c>
      <c r="K1071" s="12">
        <v>9618.875</v>
      </c>
      <c r="L1071" s="13">
        <v>6358.3270000000002</v>
      </c>
      <c r="M1071" s="12">
        <v>5.6989999999999998</v>
      </c>
      <c r="N1071" s="12">
        <v>191.49700000000001</v>
      </c>
      <c r="O1071" s="12">
        <v>37.302</v>
      </c>
      <c r="P1071" s="12">
        <v>32</v>
      </c>
      <c r="Q1071" s="12">
        <v>34</v>
      </c>
      <c r="R1071" s="12">
        <v>31</v>
      </c>
    </row>
    <row r="1072" spans="1:18" ht="17" customHeight="1" x14ac:dyDescent="0.15">
      <c r="A1072" s="8" t="s">
        <v>5692</v>
      </c>
      <c r="B1072" s="9" t="s">
        <v>5693</v>
      </c>
      <c r="C1072" s="8" t="s">
        <v>5694</v>
      </c>
      <c r="D1072" s="8" t="s">
        <v>5694</v>
      </c>
      <c r="E1072" s="8" t="s">
        <v>5695</v>
      </c>
      <c r="F1072" s="8" t="s">
        <v>5606</v>
      </c>
      <c r="G1072" s="8" t="s">
        <v>5696</v>
      </c>
      <c r="H1072" s="8" t="s">
        <v>5697</v>
      </c>
      <c r="I1072" s="8" t="str">
        <f>HYPERLINK("http://mushroombrand.it/","mushroombrand.it")</f>
        <v>mushroombrand.it</v>
      </c>
      <c r="J1072" s="10">
        <v>6515.2610000000004</v>
      </c>
      <c r="K1072" s="10">
        <v>6515.2610000000004</v>
      </c>
      <c r="L1072" s="10">
        <v>6356.4459999999999</v>
      </c>
      <c r="M1072" s="10">
        <v>536.44799999999998</v>
      </c>
      <c r="N1072" s="10">
        <v>536.44799999999998</v>
      </c>
      <c r="O1072" s="10">
        <v>498.43400000000003</v>
      </c>
      <c r="P1072" s="10">
        <v>14</v>
      </c>
      <c r="Q1072" s="10">
        <v>14</v>
      </c>
      <c r="R1072" s="10">
        <v>13</v>
      </c>
    </row>
    <row r="1073" spans="1:18" ht="17" customHeight="1" x14ac:dyDescent="0.15">
      <c r="A1073" s="11" t="s">
        <v>5698</v>
      </c>
      <c r="B1073" s="1" t="s">
        <v>5699</v>
      </c>
      <c r="C1073" s="11" t="s">
        <v>5700</v>
      </c>
      <c r="D1073" s="11" t="s">
        <v>5700</v>
      </c>
      <c r="E1073" s="11" t="s">
        <v>5701</v>
      </c>
      <c r="F1073" s="11" t="s">
        <v>5606</v>
      </c>
      <c r="G1073" s="11" t="s">
        <v>5654</v>
      </c>
      <c r="H1073" s="11" t="s">
        <v>5641</v>
      </c>
      <c r="I1073" s="11" t="str">
        <f>HYPERLINK("http://pelletterie2f.it/","pelletterie2f.it")</f>
        <v>pelletterie2f.it</v>
      </c>
      <c r="J1073" s="12">
        <v>6282.7929999999997</v>
      </c>
      <c r="K1073" s="12">
        <v>6282.7929999999997</v>
      </c>
      <c r="L1073" s="13">
        <v>6345.2470000000003</v>
      </c>
      <c r="M1073" s="12">
        <v>114.306</v>
      </c>
      <c r="N1073" s="12">
        <v>114.306</v>
      </c>
      <c r="O1073" s="12">
        <v>224.797</v>
      </c>
      <c r="P1073" s="12">
        <v>27</v>
      </c>
      <c r="Q1073" s="12">
        <v>27</v>
      </c>
      <c r="R1073" s="12">
        <v>26</v>
      </c>
    </row>
    <row r="1074" spans="1:18" ht="17" customHeight="1" x14ac:dyDescent="0.15">
      <c r="A1074" s="8" t="s">
        <v>5702</v>
      </c>
      <c r="B1074" s="9" t="s">
        <v>5703</v>
      </c>
      <c r="C1074" s="8" t="s">
        <v>5704</v>
      </c>
      <c r="D1074" s="8" t="s">
        <v>5704</v>
      </c>
      <c r="E1074" s="8" t="s">
        <v>5705</v>
      </c>
      <c r="F1074" s="8" t="s">
        <v>5646</v>
      </c>
      <c r="G1074" s="8" t="s">
        <v>5691</v>
      </c>
      <c r="H1074" s="8" t="s">
        <v>5628</v>
      </c>
      <c r="I1074" s="8" t="str">
        <f>HYPERLINK("http://www.solettificiojannelli.com/","www.solettificiojannelli.com")</f>
        <v>www.solettificiojannelli.com</v>
      </c>
      <c r="J1074" s="10">
        <v>5617.2950000000001</v>
      </c>
      <c r="K1074" s="10">
        <v>5617.2950000000001</v>
      </c>
      <c r="L1074" s="10">
        <v>6336.9989999999998</v>
      </c>
      <c r="M1074" s="10">
        <v>948.46600000000001</v>
      </c>
      <c r="N1074" s="10">
        <v>948.46600000000001</v>
      </c>
      <c r="O1074" s="10">
        <v>1097.1759999999999</v>
      </c>
      <c r="P1074" s="10">
        <v>34</v>
      </c>
      <c r="Q1074" s="10">
        <v>34</v>
      </c>
      <c r="R1074" s="10">
        <v>37</v>
      </c>
    </row>
    <row r="1075" spans="1:18" ht="17" customHeight="1" x14ac:dyDescent="0.15">
      <c r="A1075" s="11" t="s">
        <v>5706</v>
      </c>
      <c r="B1075" s="1" t="s">
        <v>5707</v>
      </c>
      <c r="C1075" s="11" t="s">
        <v>5708</v>
      </c>
      <c r="D1075" s="11" t="s">
        <v>5708</v>
      </c>
      <c r="E1075" s="11" t="s">
        <v>5709</v>
      </c>
      <c r="F1075" s="11" t="s">
        <v>5710</v>
      </c>
      <c r="G1075" s="11" t="s">
        <v>5711</v>
      </c>
      <c r="H1075" s="11" t="s">
        <v>5712</v>
      </c>
      <c r="I1075" s="11" t="str">
        <f>HYPERLINK("http://www.lellabaldi.com/","www.lellabaldi.com")</f>
        <v>www.lellabaldi.com</v>
      </c>
      <c r="J1075" s="12">
        <v>6902.4830000000002</v>
      </c>
      <c r="K1075" s="12">
        <v>6902.4830000000002</v>
      </c>
      <c r="L1075" s="13">
        <v>6331.8649999999998</v>
      </c>
      <c r="M1075" s="12">
        <v>50.796999999999997</v>
      </c>
      <c r="N1075" s="12">
        <v>50.796999999999997</v>
      </c>
      <c r="O1075" s="12">
        <v>71.066999999999993</v>
      </c>
      <c r="P1075" s="12">
        <v>44</v>
      </c>
      <c r="Q1075" s="12">
        <v>44</v>
      </c>
      <c r="R1075" s="12">
        <v>44</v>
      </c>
    </row>
    <row r="1076" spans="1:18" ht="17" customHeight="1" x14ac:dyDescent="0.15">
      <c r="A1076" s="8" t="s">
        <v>5713</v>
      </c>
      <c r="B1076" s="9" t="s">
        <v>5714</v>
      </c>
      <c r="C1076" s="8" t="s">
        <v>5715</v>
      </c>
      <c r="D1076" s="8" t="s">
        <v>5715</v>
      </c>
      <c r="E1076" s="8" t="s">
        <v>5716</v>
      </c>
      <c r="F1076" s="8" t="s">
        <v>5680</v>
      </c>
      <c r="G1076" s="8" t="s">
        <v>5634</v>
      </c>
      <c r="H1076" s="8" t="s">
        <v>5615</v>
      </c>
      <c r="I1076" s="8" t="str">
        <f>HYPERLINK("http://deimille.com/","deimille.com")</f>
        <v>deimille.com</v>
      </c>
      <c r="J1076" s="10">
        <v>4312.4589999999998</v>
      </c>
      <c r="K1076" s="10">
        <v>4312.4589999999998</v>
      </c>
      <c r="L1076" s="10">
        <v>6320.1760000000004</v>
      </c>
      <c r="M1076" s="10">
        <v>221.47200000000001</v>
      </c>
      <c r="N1076" s="10">
        <v>221.47200000000001</v>
      </c>
      <c r="O1076" s="10">
        <v>295.83800000000002</v>
      </c>
      <c r="P1076" s="15" t="s">
        <v>5635</v>
      </c>
      <c r="Q1076" s="15" t="s">
        <v>5635</v>
      </c>
      <c r="R1076" s="10">
        <v>31</v>
      </c>
    </row>
    <row r="1077" spans="1:18" ht="17" customHeight="1" x14ac:dyDescent="0.15">
      <c r="A1077" s="11" t="s">
        <v>5717</v>
      </c>
      <c r="B1077" s="1" t="s">
        <v>5718</v>
      </c>
      <c r="C1077" s="11" t="s">
        <v>5719</v>
      </c>
      <c r="D1077" s="11" t="s">
        <v>5719</v>
      </c>
      <c r="E1077" s="11" t="s">
        <v>5720</v>
      </c>
      <c r="F1077" s="11" t="s">
        <v>5653</v>
      </c>
      <c r="G1077" s="11" t="s">
        <v>5627</v>
      </c>
      <c r="H1077" s="11" t="s">
        <v>5628</v>
      </c>
      <c r="I1077" s="11" t="str">
        <f>HYPERLINK("http://logofirenze.com/","logofirenze.com")</f>
        <v>logofirenze.com</v>
      </c>
      <c r="J1077" s="12">
        <v>6066.9579999999996</v>
      </c>
      <c r="K1077" s="12">
        <v>6066.9579999999996</v>
      </c>
      <c r="L1077" s="13">
        <v>6308.8980000000001</v>
      </c>
      <c r="M1077" s="12">
        <v>58.24</v>
      </c>
      <c r="N1077" s="12">
        <v>58.24</v>
      </c>
      <c r="O1077" s="12">
        <v>49.404000000000003</v>
      </c>
      <c r="P1077" s="12">
        <v>28</v>
      </c>
      <c r="Q1077" s="12">
        <v>28</v>
      </c>
      <c r="R1077" s="12">
        <v>28</v>
      </c>
    </row>
    <row r="1078" spans="1:18" ht="17" customHeight="1" x14ac:dyDescent="0.15">
      <c r="A1078" s="8" t="s">
        <v>5721</v>
      </c>
      <c r="B1078" s="9" t="s">
        <v>5722</v>
      </c>
      <c r="C1078" s="8" t="s">
        <v>5723</v>
      </c>
      <c r="D1078" s="8" t="s">
        <v>5723</v>
      </c>
      <c r="E1078" s="8" t="s">
        <v>5724</v>
      </c>
      <c r="F1078" s="8" t="s">
        <v>5680</v>
      </c>
      <c r="G1078" s="8" t="s">
        <v>5725</v>
      </c>
      <c r="H1078" s="8" t="s">
        <v>5712</v>
      </c>
      <c r="I1078" s="8" t="str">
        <f>HYPERLINK("http://www.novashoes.it/","http://www.novashoes.it")</f>
        <v>http://www.novashoes.it</v>
      </c>
      <c r="J1078" s="10">
        <v>5195.8639999999996</v>
      </c>
      <c r="K1078" s="10">
        <v>5195.8639999999996</v>
      </c>
      <c r="L1078" s="10">
        <v>6300.8019999999997</v>
      </c>
      <c r="M1078" s="10">
        <v>101.955</v>
      </c>
      <c r="N1078" s="10">
        <v>101.955</v>
      </c>
      <c r="O1078" s="10">
        <v>134.392</v>
      </c>
      <c r="P1078" s="10">
        <v>21</v>
      </c>
      <c r="Q1078" s="10">
        <v>21</v>
      </c>
      <c r="R1078" s="10">
        <v>16</v>
      </c>
    </row>
    <row r="1079" spans="1:18" ht="17" customHeight="1" x14ac:dyDescent="0.15">
      <c r="A1079" s="11" t="s">
        <v>5726</v>
      </c>
      <c r="B1079" s="1" t="s">
        <v>5727</v>
      </c>
      <c r="C1079" s="11" t="s">
        <v>5728</v>
      </c>
      <c r="D1079" s="11" t="s">
        <v>5728</v>
      </c>
      <c r="E1079" s="11" t="s">
        <v>5729</v>
      </c>
      <c r="F1079" s="11" t="s">
        <v>5680</v>
      </c>
      <c r="G1079" s="11" t="s">
        <v>5730</v>
      </c>
      <c r="H1079" s="11" t="s">
        <v>5628</v>
      </c>
      <c r="I1079" s="11" t="str">
        <f>HYPERLINK("http://www.simonettarossi.it/","www.simonettarossi.it")</f>
        <v>www.simonettarossi.it</v>
      </c>
      <c r="J1079" s="12">
        <v>6724.4030000000002</v>
      </c>
      <c r="K1079" s="12">
        <v>6724.4030000000002</v>
      </c>
      <c r="L1079" s="13">
        <v>6299.7079999999996</v>
      </c>
      <c r="M1079" s="12">
        <v>71.129000000000005</v>
      </c>
      <c r="N1079" s="12">
        <v>71.129000000000005</v>
      </c>
      <c r="O1079" s="12">
        <v>147.73599999999999</v>
      </c>
      <c r="P1079" s="12">
        <v>13</v>
      </c>
      <c r="Q1079" s="12">
        <v>13</v>
      </c>
      <c r="R1079" s="12">
        <v>13</v>
      </c>
    </row>
    <row r="1080" spans="1:18" ht="29.5" customHeight="1" x14ac:dyDescent="0.15">
      <c r="A1080" s="8" t="s">
        <v>5731</v>
      </c>
      <c r="B1080" s="9" t="s">
        <v>5732</v>
      </c>
      <c r="C1080" s="8" t="s">
        <v>5733</v>
      </c>
      <c r="D1080" s="8" t="s">
        <v>5733</v>
      </c>
      <c r="E1080" s="8" t="s">
        <v>5734</v>
      </c>
      <c r="F1080" s="8" t="s">
        <v>5680</v>
      </c>
      <c r="G1080" s="8" t="s">
        <v>5725</v>
      </c>
      <c r="H1080" s="8" t="s">
        <v>5712</v>
      </c>
      <c r="I1080" s="8" t="str">
        <f>HYPERLINK("http://montebove.com/","montebove.com")</f>
        <v>montebove.com</v>
      </c>
      <c r="J1080" s="10">
        <v>6163.7539999999999</v>
      </c>
      <c r="K1080" s="10">
        <v>6163.7539999999999</v>
      </c>
      <c r="L1080" s="10">
        <v>6283.6189999999997</v>
      </c>
      <c r="M1080" s="10">
        <v>29.295000000000002</v>
      </c>
      <c r="N1080" s="10">
        <v>29.295000000000002</v>
      </c>
      <c r="O1080" s="10">
        <v>14.664</v>
      </c>
      <c r="P1080" s="10">
        <v>38</v>
      </c>
      <c r="Q1080" s="10">
        <v>38</v>
      </c>
      <c r="R1080" s="10">
        <v>38</v>
      </c>
    </row>
    <row r="1081" spans="1:18" ht="29.5" customHeight="1" x14ac:dyDescent="0.15">
      <c r="A1081" s="11" t="s">
        <v>5735</v>
      </c>
      <c r="B1081" s="1" t="s">
        <v>5736</v>
      </c>
      <c r="C1081" s="11" t="s">
        <v>5737</v>
      </c>
      <c r="D1081" s="11" t="s">
        <v>5737</v>
      </c>
      <c r="E1081" s="11" t="s">
        <v>5738</v>
      </c>
      <c r="F1081" s="11" t="s">
        <v>5680</v>
      </c>
      <c r="G1081" s="11" t="s">
        <v>5647</v>
      </c>
      <c r="H1081" s="11" t="s">
        <v>5608</v>
      </c>
      <c r="I1081" s="11" t="str">
        <f>HYPERLINK("http://www.accademiashoes.it/","http://www.accademiashoes.it")</f>
        <v>http://www.accademiashoes.it</v>
      </c>
      <c r="J1081" s="12">
        <v>5663.1949999999997</v>
      </c>
      <c r="K1081" s="12">
        <v>5663.1949999999997</v>
      </c>
      <c r="L1081" s="13">
        <v>6282.6080000000002</v>
      </c>
      <c r="M1081" s="12">
        <v>269.358</v>
      </c>
      <c r="N1081" s="12">
        <v>269.358</v>
      </c>
      <c r="O1081" s="12">
        <v>441.21499999999997</v>
      </c>
      <c r="P1081" s="12">
        <v>35</v>
      </c>
      <c r="Q1081" s="12">
        <v>35</v>
      </c>
      <c r="R1081" s="12">
        <v>38</v>
      </c>
    </row>
    <row r="1082" spans="1:18" ht="17" customHeight="1" x14ac:dyDescent="0.15">
      <c r="A1082" s="8" t="s">
        <v>5739</v>
      </c>
      <c r="B1082" s="9" t="s">
        <v>5740</v>
      </c>
      <c r="C1082" s="8" t="s">
        <v>5741</v>
      </c>
      <c r="D1082" s="8" t="s">
        <v>5741</v>
      </c>
      <c r="E1082" s="8" t="s">
        <v>5742</v>
      </c>
      <c r="F1082" s="8" t="s">
        <v>5613</v>
      </c>
      <c r="G1082" s="8" t="s">
        <v>5730</v>
      </c>
      <c r="H1082" s="8" t="s">
        <v>5628</v>
      </c>
      <c r="I1082" s="8" t="str">
        <f>HYPERLINK("http://conceriapagni.it/","conceriapagni.it")</f>
        <v>conceriapagni.it</v>
      </c>
      <c r="J1082" s="10">
        <v>6872.8109999999997</v>
      </c>
      <c r="K1082" s="10">
        <v>6872.8109999999997</v>
      </c>
      <c r="L1082" s="10">
        <v>6279.1930000000002</v>
      </c>
      <c r="M1082" s="10">
        <v>292.21699999999998</v>
      </c>
      <c r="N1082" s="10">
        <v>292.21699999999998</v>
      </c>
      <c r="O1082" s="10">
        <v>250.21600000000001</v>
      </c>
      <c r="P1082" s="10">
        <v>5</v>
      </c>
      <c r="Q1082" s="10">
        <v>5</v>
      </c>
      <c r="R1082" s="10">
        <v>5</v>
      </c>
    </row>
    <row r="1083" spans="1:18" ht="29.5" customHeight="1" x14ac:dyDescent="0.15">
      <c r="A1083" s="11" t="s">
        <v>5743</v>
      </c>
      <c r="B1083" s="1" t="s">
        <v>5744</v>
      </c>
      <c r="C1083" s="11" t="s">
        <v>5745</v>
      </c>
      <c r="D1083" s="11" t="s">
        <v>5745</v>
      </c>
      <c r="E1083" s="11" t="s">
        <v>5746</v>
      </c>
      <c r="F1083" s="11" t="s">
        <v>5680</v>
      </c>
      <c r="G1083" s="11" t="s">
        <v>5725</v>
      </c>
      <c r="H1083" s="11" t="s">
        <v>5712</v>
      </c>
      <c r="I1083" s="11" t="str">
        <f>HYPERLINK("http://www.calzaturificiomarcos.it/","www.calzaturificiomarcos.it")</f>
        <v>www.calzaturificiomarcos.it</v>
      </c>
      <c r="J1083" s="12">
        <v>5145.1229999999996</v>
      </c>
      <c r="K1083" s="12">
        <v>5145.1229999999996</v>
      </c>
      <c r="L1083" s="13">
        <v>6259.308</v>
      </c>
      <c r="M1083" s="12">
        <v>459.976</v>
      </c>
      <c r="N1083" s="12">
        <v>459.976</v>
      </c>
      <c r="O1083" s="12">
        <v>319.16800000000001</v>
      </c>
      <c r="P1083" s="12">
        <v>20</v>
      </c>
      <c r="Q1083" s="12">
        <v>20</v>
      </c>
      <c r="R1083" s="12">
        <v>23</v>
      </c>
    </row>
    <row r="1084" spans="1:18" ht="17" customHeight="1" x14ac:dyDescent="0.15">
      <c r="A1084" s="8" t="s">
        <v>5747</v>
      </c>
      <c r="B1084" s="9" t="s">
        <v>5748</v>
      </c>
      <c r="C1084" s="8" t="s">
        <v>5749</v>
      </c>
      <c r="D1084" s="8" t="s">
        <v>5749</v>
      </c>
      <c r="E1084" s="8" t="s">
        <v>5750</v>
      </c>
      <c r="F1084" s="8" t="s">
        <v>5680</v>
      </c>
      <c r="G1084" s="8" t="s">
        <v>5647</v>
      </c>
      <c r="H1084" s="8" t="s">
        <v>5608</v>
      </c>
      <c r="I1084" s="8" t="str">
        <f>HYPERLINK("http://www.bettiosrl.it/","www.bettiosrl.it")</f>
        <v>www.bettiosrl.it</v>
      </c>
      <c r="J1084" s="10">
        <v>5388.4610000000002</v>
      </c>
      <c r="K1084" s="10">
        <v>5388.4610000000002</v>
      </c>
      <c r="L1084" s="10">
        <v>6253.893</v>
      </c>
      <c r="M1084" s="10">
        <v>67.378</v>
      </c>
      <c r="N1084" s="10">
        <v>67.378</v>
      </c>
      <c r="O1084" s="10">
        <v>23.795999999999999</v>
      </c>
      <c r="P1084" s="10">
        <v>27</v>
      </c>
      <c r="Q1084" s="10">
        <v>27</v>
      </c>
      <c r="R1084" s="10">
        <v>38</v>
      </c>
    </row>
    <row r="1085" spans="1:18" ht="17" customHeight="1" x14ac:dyDescent="0.15">
      <c r="A1085" s="11" t="s">
        <v>5751</v>
      </c>
      <c r="B1085" s="1" t="s">
        <v>5752</v>
      </c>
      <c r="C1085" s="11" t="s">
        <v>5753</v>
      </c>
      <c r="D1085" s="11" t="s">
        <v>5753</v>
      </c>
      <c r="E1085" s="11" t="s">
        <v>5754</v>
      </c>
      <c r="F1085" s="11" t="s">
        <v>5668</v>
      </c>
      <c r="G1085" s="11" t="s">
        <v>5755</v>
      </c>
      <c r="H1085" s="11" t="s">
        <v>5628</v>
      </c>
      <c r="I1085" s="11" t="str">
        <f>HYPERLINK("http://terzomillennio.uil.it/","terzomillennio.uil.it")</f>
        <v>terzomillennio.uil.it</v>
      </c>
      <c r="J1085" s="12">
        <v>3589.9670000000001</v>
      </c>
      <c r="K1085" s="12">
        <v>3589.9670000000001</v>
      </c>
      <c r="L1085" s="13">
        <v>6249.2889999999998</v>
      </c>
      <c r="M1085" s="12">
        <v>29.477</v>
      </c>
      <c r="N1085" s="12">
        <v>29.477</v>
      </c>
      <c r="O1085" s="12">
        <v>177.952</v>
      </c>
      <c r="P1085" s="12">
        <v>7</v>
      </c>
      <c r="Q1085" s="12">
        <v>7</v>
      </c>
      <c r="R1085" s="12">
        <v>7</v>
      </c>
    </row>
    <row r="1086" spans="1:18" ht="29.5" customHeight="1" x14ac:dyDescent="0.15">
      <c r="A1086" s="8" t="s">
        <v>5756</v>
      </c>
      <c r="B1086" s="9" t="s">
        <v>5757</v>
      </c>
      <c r="C1086" s="8" t="s">
        <v>5758</v>
      </c>
      <c r="D1086" s="8" t="s">
        <v>5758</v>
      </c>
      <c r="E1086" s="8" t="s">
        <v>5759</v>
      </c>
      <c r="F1086" s="8" t="s">
        <v>5653</v>
      </c>
      <c r="G1086" s="8" t="s">
        <v>5760</v>
      </c>
      <c r="H1086" s="8" t="s">
        <v>5712</v>
      </c>
      <c r="I1086" s="8" t="str">
        <f>HYPERLINK("http://www.manifatturemontefeltro.it/","www.manifatturemontefeltro.it")</f>
        <v>www.manifatturemontefeltro.it</v>
      </c>
      <c r="J1086" s="10">
        <v>7104.64</v>
      </c>
      <c r="K1086" s="10">
        <v>7104.64</v>
      </c>
      <c r="L1086" s="10">
        <v>6248.9480000000003</v>
      </c>
      <c r="M1086" s="10">
        <v>656.72900000000004</v>
      </c>
      <c r="N1086" s="10">
        <v>656.72900000000004</v>
      </c>
      <c r="O1086" s="10">
        <v>472.49700000000001</v>
      </c>
      <c r="P1086" s="10">
        <v>8</v>
      </c>
      <c r="Q1086" s="10">
        <v>8</v>
      </c>
      <c r="R1086" s="10">
        <v>8</v>
      </c>
    </row>
    <row r="1087" spans="1:18" ht="17" customHeight="1" x14ac:dyDescent="0.15">
      <c r="A1087" s="11" t="s">
        <v>5761</v>
      </c>
      <c r="B1087" s="1" t="s">
        <v>5762</v>
      </c>
      <c r="C1087" s="11" t="s">
        <v>5763</v>
      </c>
      <c r="D1087" s="11" t="s">
        <v>5763</v>
      </c>
      <c r="E1087" s="11" t="s">
        <v>5764</v>
      </c>
      <c r="F1087" s="11" t="s">
        <v>5653</v>
      </c>
      <c r="G1087" s="11" t="s">
        <v>5765</v>
      </c>
      <c r="H1087" s="11" t="s">
        <v>5641</v>
      </c>
      <c r="I1087" s="11" t="str">
        <f>HYPERLINK("http://www.modaicam.it/","www.modaicam.it")</f>
        <v>www.modaicam.it</v>
      </c>
      <c r="J1087" s="12">
        <v>9934.8680000000004</v>
      </c>
      <c r="K1087" s="12">
        <v>9934.8680000000004</v>
      </c>
      <c r="L1087" s="13">
        <v>6240.5209999999997</v>
      </c>
      <c r="M1087" s="12">
        <v>1057.587</v>
      </c>
      <c r="N1087" s="12">
        <v>1057.587</v>
      </c>
      <c r="O1087" s="12">
        <v>142.631</v>
      </c>
      <c r="P1087" s="12">
        <v>47</v>
      </c>
      <c r="Q1087" s="12">
        <v>47</v>
      </c>
      <c r="R1087" s="12">
        <v>39</v>
      </c>
    </row>
    <row r="1088" spans="1:18" ht="17" customHeight="1" x14ac:dyDescent="0.15">
      <c r="A1088" s="8" t="s">
        <v>5766</v>
      </c>
      <c r="B1088" s="9" t="s">
        <v>5767</v>
      </c>
      <c r="C1088" s="8" t="s">
        <v>5768</v>
      </c>
      <c r="D1088" s="8" t="s">
        <v>5768</v>
      </c>
      <c r="E1088" s="8" t="s">
        <v>5769</v>
      </c>
      <c r="F1088" s="8" t="s">
        <v>5668</v>
      </c>
      <c r="G1088" s="8" t="s">
        <v>5627</v>
      </c>
      <c r="H1088" s="8" t="s">
        <v>5628</v>
      </c>
      <c r="I1088" s="8" t="str">
        <f>HYPERLINK("http://viamasini80.it/","viamasini80.it")</f>
        <v>viamasini80.it</v>
      </c>
      <c r="J1088" s="10">
        <v>7532.0910000000003</v>
      </c>
      <c r="K1088" s="10">
        <v>7532.0910000000003</v>
      </c>
      <c r="L1088" s="10">
        <v>6237.2669999999998</v>
      </c>
      <c r="M1088" s="10">
        <v>-1795.114</v>
      </c>
      <c r="N1088" s="10">
        <v>-1795.114</v>
      </c>
      <c r="O1088" s="10">
        <v>-518.60900000000004</v>
      </c>
      <c r="P1088" s="10">
        <v>36</v>
      </c>
      <c r="Q1088" s="10">
        <v>36</v>
      </c>
      <c r="R1088" s="10">
        <v>35</v>
      </c>
    </row>
    <row r="1089" spans="1:18" ht="17" customHeight="1" x14ac:dyDescent="0.15">
      <c r="A1089" s="11" t="s">
        <v>5770</v>
      </c>
      <c r="B1089" s="1" t="s">
        <v>5771</v>
      </c>
      <c r="C1089" s="11" t="s">
        <v>5772</v>
      </c>
      <c r="D1089" s="11" t="s">
        <v>5772</v>
      </c>
      <c r="E1089" s="11" t="s">
        <v>5773</v>
      </c>
      <c r="F1089" s="11" t="s">
        <v>5774</v>
      </c>
      <c r="G1089" s="11" t="s">
        <v>5775</v>
      </c>
      <c r="H1089" s="11" t="s">
        <v>5776</v>
      </c>
      <c r="I1089" s="11" t="str">
        <f>HYPERLINK("http://www.bubeclothingcompany.com/","www.bubeclothingcompany.com")</f>
        <v>www.bubeclothingcompany.com</v>
      </c>
      <c r="J1089" s="12">
        <v>8092.52</v>
      </c>
      <c r="K1089" s="12">
        <v>8092.52</v>
      </c>
      <c r="L1089" s="13">
        <v>6230.4610000000002</v>
      </c>
      <c r="M1089" s="12">
        <v>31.126000000000001</v>
      </c>
      <c r="N1089" s="12">
        <v>31.126000000000001</v>
      </c>
      <c r="O1089" s="12">
        <v>10.456</v>
      </c>
      <c r="P1089" s="12">
        <v>1</v>
      </c>
      <c r="Q1089" s="12">
        <v>1</v>
      </c>
      <c r="R1089" s="12">
        <v>2</v>
      </c>
    </row>
    <row r="1090" spans="1:18" ht="17" customHeight="1" x14ac:dyDescent="0.15">
      <c r="A1090" s="8" t="s">
        <v>5777</v>
      </c>
      <c r="B1090" s="9" t="s">
        <v>5778</v>
      </c>
      <c r="C1090" s="8" t="s">
        <v>5779</v>
      </c>
      <c r="D1090" s="8" t="s">
        <v>5780</v>
      </c>
      <c r="E1090" s="8" t="s">
        <v>5781</v>
      </c>
      <c r="F1090" s="8" t="s">
        <v>5782</v>
      </c>
      <c r="G1090" s="8" t="s">
        <v>5783</v>
      </c>
      <c r="H1090" s="8" t="s">
        <v>5784</v>
      </c>
      <c r="I1090" s="8" t="str">
        <f>HYPERLINK("http://www.arisfashion.it/","www.arisfashion.it")</f>
        <v>www.arisfashion.it</v>
      </c>
      <c r="J1090" s="10">
        <v>6577.2979999999998</v>
      </c>
      <c r="K1090" s="10">
        <v>6577.2979999999998</v>
      </c>
      <c r="L1090" s="10">
        <v>6225.607</v>
      </c>
      <c r="M1090" s="10">
        <v>11.205</v>
      </c>
      <c r="N1090" s="10">
        <v>11.205</v>
      </c>
      <c r="O1090" s="10">
        <v>23.265000000000001</v>
      </c>
      <c r="P1090" s="10">
        <v>16</v>
      </c>
      <c r="Q1090" s="10">
        <v>16</v>
      </c>
      <c r="R1090" s="10">
        <v>13</v>
      </c>
    </row>
    <row r="1091" spans="1:18" ht="29.5" customHeight="1" x14ac:dyDescent="0.15">
      <c r="A1091" s="11" t="s">
        <v>5785</v>
      </c>
      <c r="B1091" s="1" t="s">
        <v>5786</v>
      </c>
      <c r="C1091" s="11" t="s">
        <v>5787</v>
      </c>
      <c r="D1091" s="11" t="s">
        <v>5787</v>
      </c>
      <c r="E1091" s="11" t="s">
        <v>5788</v>
      </c>
      <c r="F1091" s="11" t="s">
        <v>5789</v>
      </c>
      <c r="G1091" s="11" t="s">
        <v>5790</v>
      </c>
      <c r="H1091" s="11" t="s">
        <v>5776</v>
      </c>
      <c r="I1091" s="11" t="str">
        <f>HYPERLINK("http://www.exportacc.com/","http://www.exportacc.com")</f>
        <v>http://www.exportacc.com</v>
      </c>
      <c r="J1091" s="12">
        <v>0</v>
      </c>
      <c r="K1091" s="12">
        <v>0</v>
      </c>
      <c r="L1091" s="13">
        <v>6210.7110000000002</v>
      </c>
      <c r="M1091" s="12">
        <v>17.048999999999999</v>
      </c>
      <c r="N1091" s="12">
        <v>17.048999999999999</v>
      </c>
      <c r="O1091" s="12">
        <v>-70.667000000000002</v>
      </c>
      <c r="P1091" s="12">
        <v>0</v>
      </c>
      <c r="Q1091" s="12">
        <v>0</v>
      </c>
      <c r="R1091" s="12">
        <v>9</v>
      </c>
    </row>
    <row r="1092" spans="1:18" ht="17" customHeight="1" x14ac:dyDescent="0.15">
      <c r="A1092" s="8" t="s">
        <v>5791</v>
      </c>
      <c r="B1092" s="9" t="s">
        <v>5792</v>
      </c>
      <c r="C1092" s="8" t="s">
        <v>5793</v>
      </c>
      <c r="D1092" s="8" t="s">
        <v>5793</v>
      </c>
      <c r="E1092" s="8" t="s">
        <v>5794</v>
      </c>
      <c r="F1092" s="8" t="s">
        <v>5795</v>
      </c>
      <c r="G1092" s="8" t="s">
        <v>5796</v>
      </c>
      <c r="H1092" s="8" t="s">
        <v>5797</v>
      </c>
      <c r="I1092" s="8" t="str">
        <f>HYPERLINK("http://conceriaupimar.it/","conceriaupimar.it")</f>
        <v>conceriaupimar.it</v>
      </c>
      <c r="J1092" s="10">
        <v>7444.857</v>
      </c>
      <c r="K1092" s="10">
        <v>7444.857</v>
      </c>
      <c r="L1092" s="10">
        <v>6209.99</v>
      </c>
      <c r="M1092" s="10">
        <v>617.72199999999998</v>
      </c>
      <c r="N1092" s="10">
        <v>617.72199999999998</v>
      </c>
      <c r="O1092" s="10">
        <v>1406.7529999999999</v>
      </c>
      <c r="P1092" s="10">
        <v>13</v>
      </c>
      <c r="Q1092" s="10">
        <v>13</v>
      </c>
      <c r="R1092" s="10">
        <v>17</v>
      </c>
    </row>
    <row r="1093" spans="1:18" ht="17" customHeight="1" x14ac:dyDescent="0.15">
      <c r="A1093" s="11" t="s">
        <v>5798</v>
      </c>
      <c r="B1093" s="1" t="s">
        <v>5799</v>
      </c>
      <c r="C1093" s="11" t="s">
        <v>5800</v>
      </c>
      <c r="D1093" s="11" t="s">
        <v>5800</v>
      </c>
      <c r="E1093" s="11" t="s">
        <v>5801</v>
      </c>
      <c r="F1093" s="11" t="s">
        <v>5789</v>
      </c>
      <c r="G1093" s="11" t="s">
        <v>5802</v>
      </c>
      <c r="H1093" s="11" t="s">
        <v>5803</v>
      </c>
      <c r="I1093" s="11" t="str">
        <f>HYPERLINK("http://www.divinasrl.com/","www.divinasrl.com")</f>
        <v>www.divinasrl.com</v>
      </c>
      <c r="J1093" s="12">
        <v>6159.2439999999997</v>
      </c>
      <c r="K1093" s="12">
        <v>6159.2439999999997</v>
      </c>
      <c r="L1093" s="13">
        <v>6209.77</v>
      </c>
      <c r="M1093" s="12">
        <v>33.762999999999998</v>
      </c>
      <c r="N1093" s="12">
        <v>33.762999999999998</v>
      </c>
      <c r="O1093" s="12">
        <v>125.833</v>
      </c>
      <c r="P1093" s="12">
        <v>59</v>
      </c>
      <c r="Q1093" s="12">
        <v>59</v>
      </c>
      <c r="R1093" s="12">
        <v>48</v>
      </c>
    </row>
    <row r="1094" spans="1:18" ht="17" customHeight="1" x14ac:dyDescent="0.15">
      <c r="A1094" s="8" t="s">
        <v>5804</v>
      </c>
      <c r="B1094" s="9" t="s">
        <v>5805</v>
      </c>
      <c r="C1094" s="8" t="s">
        <v>5806</v>
      </c>
      <c r="D1094" s="8" t="s">
        <v>5806</v>
      </c>
      <c r="E1094" s="8" t="s">
        <v>5807</v>
      </c>
      <c r="F1094" s="8" t="s">
        <v>5808</v>
      </c>
      <c r="G1094" s="8" t="s">
        <v>5809</v>
      </c>
      <c r="H1094" s="8" t="s">
        <v>5797</v>
      </c>
      <c r="I1094" s="8" t="str">
        <f>HYPERLINK("http://www.pamisrl.com/","www.pamisrl.com")</f>
        <v>www.pamisrl.com</v>
      </c>
      <c r="J1094" s="10">
        <v>5799.09</v>
      </c>
      <c r="K1094" s="10">
        <v>5799.09</v>
      </c>
      <c r="L1094" s="10">
        <v>6203.6220000000003</v>
      </c>
      <c r="M1094" s="10">
        <v>457.67700000000002</v>
      </c>
      <c r="N1094" s="10">
        <v>457.67700000000002</v>
      </c>
      <c r="O1094" s="10">
        <v>44.024000000000001</v>
      </c>
      <c r="P1094" s="10">
        <v>36</v>
      </c>
      <c r="Q1094" s="10">
        <v>36</v>
      </c>
      <c r="R1094" s="10">
        <v>40</v>
      </c>
    </row>
    <row r="1095" spans="1:18" ht="17" customHeight="1" x14ac:dyDescent="0.15">
      <c r="A1095" s="11" t="s">
        <v>5810</v>
      </c>
      <c r="B1095" s="1" t="s">
        <v>5811</v>
      </c>
      <c r="C1095" s="11" t="s">
        <v>5812</v>
      </c>
      <c r="D1095" s="11" t="s">
        <v>5812</v>
      </c>
      <c r="E1095" s="11" t="s">
        <v>5813</v>
      </c>
      <c r="F1095" s="11" t="s">
        <v>5789</v>
      </c>
      <c r="G1095" s="11" t="s">
        <v>5814</v>
      </c>
      <c r="H1095" s="11" t="s">
        <v>5784</v>
      </c>
      <c r="I1095" s="11" t="str">
        <f>HYPERLINK("http://www.thierryrabotin.com/","www.thierryrabotin.com")</f>
        <v>www.thierryrabotin.com</v>
      </c>
      <c r="J1095" s="12">
        <v>7537.9030000000002</v>
      </c>
      <c r="K1095" s="12">
        <v>7537.9030000000002</v>
      </c>
      <c r="L1095" s="13">
        <v>6196.5770000000002</v>
      </c>
      <c r="M1095" s="12">
        <v>269.80200000000002</v>
      </c>
      <c r="N1095" s="12">
        <v>269.80200000000002</v>
      </c>
      <c r="O1095" s="12">
        <v>250.179</v>
      </c>
      <c r="P1095" s="14" t="s">
        <v>5815</v>
      </c>
      <c r="Q1095" s="14" t="s">
        <v>5815</v>
      </c>
      <c r="R1095" s="12">
        <v>50</v>
      </c>
    </row>
    <row r="1096" spans="1:18" ht="17" customHeight="1" x14ac:dyDescent="0.15">
      <c r="A1096" s="8" t="s">
        <v>5816</v>
      </c>
      <c r="B1096" s="9" t="s">
        <v>5817</v>
      </c>
      <c r="C1096" s="8" t="s">
        <v>5818</v>
      </c>
      <c r="D1096" s="8" t="s">
        <v>5818</v>
      </c>
      <c r="E1096" s="8" t="s">
        <v>5819</v>
      </c>
      <c r="F1096" s="8" t="s">
        <v>5808</v>
      </c>
      <c r="G1096" s="8" t="s">
        <v>5820</v>
      </c>
      <c r="H1096" s="8" t="s">
        <v>5797</v>
      </c>
      <c r="I1096" s="8" t="str">
        <f>HYPERLINK("http://www.ars-suola.it/","www.ars-suola.it")</f>
        <v>www.ars-suola.it</v>
      </c>
      <c r="J1096" s="10">
        <v>7527.49</v>
      </c>
      <c r="K1096" s="10">
        <v>7527.49</v>
      </c>
      <c r="L1096" s="10">
        <v>6194.8580000000002</v>
      </c>
      <c r="M1096" s="10">
        <v>579.65099999999995</v>
      </c>
      <c r="N1096" s="10">
        <v>579.65099999999995</v>
      </c>
      <c r="O1096" s="10">
        <v>578.08600000000001</v>
      </c>
      <c r="P1096" s="10">
        <v>27</v>
      </c>
      <c r="Q1096" s="10">
        <v>27</v>
      </c>
      <c r="R1096" s="10">
        <v>26</v>
      </c>
    </row>
    <row r="1097" spans="1:18" ht="17" customHeight="1" x14ac:dyDescent="0.15">
      <c r="A1097" s="11" t="s">
        <v>5821</v>
      </c>
      <c r="B1097" s="1" t="s">
        <v>5822</v>
      </c>
      <c r="C1097" s="11" t="s">
        <v>5823</v>
      </c>
      <c r="D1097" s="11" t="s">
        <v>5823</v>
      </c>
      <c r="E1097" s="11" t="s">
        <v>5824</v>
      </c>
      <c r="F1097" s="11" t="s">
        <v>5789</v>
      </c>
      <c r="G1097" s="11" t="s">
        <v>5825</v>
      </c>
      <c r="H1097" s="11" t="s">
        <v>5776</v>
      </c>
      <c r="I1097" s="11" t="str">
        <f>HYPERLINK("http://shop.armond.com/","shop.armond.com")</f>
        <v>shop.armond.com</v>
      </c>
      <c r="J1097" s="12">
        <v>6386.0140000000001</v>
      </c>
      <c r="K1097" s="12">
        <v>6386.0140000000001</v>
      </c>
      <c r="L1097" s="13">
        <v>6194.8469999999998</v>
      </c>
      <c r="M1097" s="12">
        <v>75.171999999999997</v>
      </c>
      <c r="N1097" s="12">
        <v>75.171999999999997</v>
      </c>
      <c r="O1097" s="12">
        <v>85.262</v>
      </c>
      <c r="P1097" s="12">
        <v>40</v>
      </c>
      <c r="Q1097" s="12">
        <v>40</v>
      </c>
      <c r="R1097" s="12">
        <v>44</v>
      </c>
    </row>
    <row r="1098" spans="1:18" ht="29.5" customHeight="1" x14ac:dyDescent="0.15">
      <c r="A1098" s="8" t="s">
        <v>5826</v>
      </c>
      <c r="B1098" s="9" t="s">
        <v>5827</v>
      </c>
      <c r="C1098" s="8" t="s">
        <v>5828</v>
      </c>
      <c r="D1098" s="8" t="s">
        <v>5828</v>
      </c>
      <c r="E1098" s="8" t="s">
        <v>5829</v>
      </c>
      <c r="F1098" s="8" t="s">
        <v>5830</v>
      </c>
      <c r="G1098" s="8" t="s">
        <v>5796</v>
      </c>
      <c r="H1098" s="8" t="s">
        <v>5797</v>
      </c>
      <c r="I1098" s="8" t="str">
        <f>HYPERLINK("http://laurapatrizia.it/","laurapatrizia.it")</f>
        <v>laurapatrizia.it</v>
      </c>
      <c r="J1098" s="10">
        <v>6430.5010000000002</v>
      </c>
      <c r="K1098" s="10">
        <v>6430.5010000000002</v>
      </c>
      <c r="L1098" s="10">
        <v>6188.3540000000003</v>
      </c>
      <c r="M1098" s="10">
        <v>17.916</v>
      </c>
      <c r="N1098" s="10">
        <v>17.916</v>
      </c>
      <c r="O1098" s="10">
        <v>21.606999999999999</v>
      </c>
      <c r="P1098" s="15" t="s">
        <v>5815</v>
      </c>
      <c r="Q1098" s="15" t="s">
        <v>5815</v>
      </c>
      <c r="R1098" s="10">
        <v>10</v>
      </c>
    </row>
    <row r="1099" spans="1:18" ht="17" customHeight="1" x14ac:dyDescent="0.15">
      <c r="A1099" s="11" t="s">
        <v>5831</v>
      </c>
      <c r="B1099" s="1" t="s">
        <v>5832</v>
      </c>
      <c r="C1099" s="11" t="s">
        <v>5833</v>
      </c>
      <c r="D1099" s="11" t="s">
        <v>5833</v>
      </c>
      <c r="E1099" s="11" t="s">
        <v>5834</v>
      </c>
      <c r="F1099" s="11" t="s">
        <v>5835</v>
      </c>
      <c r="G1099" s="11" t="s">
        <v>5825</v>
      </c>
      <c r="H1099" s="11" t="s">
        <v>5776</v>
      </c>
      <c r="I1099" s="11" t="str">
        <f>HYPERLINK("http://www.egochef.it/","www.egochef.it")</f>
        <v>www.egochef.it</v>
      </c>
      <c r="J1099" s="12">
        <v>6275.8819999999996</v>
      </c>
      <c r="K1099" s="12">
        <v>6275.8819999999996</v>
      </c>
      <c r="L1099" s="13">
        <v>6185.3379999999997</v>
      </c>
      <c r="M1099" s="12">
        <v>1035.5830000000001</v>
      </c>
      <c r="N1099" s="12">
        <v>1035.5830000000001</v>
      </c>
      <c r="O1099" s="12">
        <v>1155.2170000000001</v>
      </c>
      <c r="P1099" s="12">
        <v>8</v>
      </c>
      <c r="Q1099" s="12">
        <v>8</v>
      </c>
      <c r="R1099" s="12">
        <v>11</v>
      </c>
    </row>
    <row r="1100" spans="1:18" ht="17" customHeight="1" x14ac:dyDescent="0.15">
      <c r="A1100" s="8" t="s">
        <v>5836</v>
      </c>
      <c r="B1100" s="9" t="s">
        <v>5837</v>
      </c>
      <c r="C1100" s="8" t="s">
        <v>5838</v>
      </c>
      <c r="D1100" s="8" t="s">
        <v>5838</v>
      </c>
      <c r="E1100" s="8" t="s">
        <v>5839</v>
      </c>
      <c r="F1100" s="8" t="s">
        <v>5789</v>
      </c>
      <c r="G1100" s="8" t="s">
        <v>5840</v>
      </c>
      <c r="H1100" s="8" t="s">
        <v>5797</v>
      </c>
      <c r="I1100" s="8" t="str">
        <f>HYPERLINK("http://www.regshoes.it/","www.regshoes.it")</f>
        <v>www.regshoes.it</v>
      </c>
      <c r="J1100" s="10">
        <v>8323.2189999999991</v>
      </c>
      <c r="K1100" s="10">
        <v>8323.2189999999991</v>
      </c>
      <c r="L1100" s="10">
        <v>6184.5519999999997</v>
      </c>
      <c r="M1100" s="10">
        <v>316.30900000000003</v>
      </c>
      <c r="N1100" s="10">
        <v>316.30900000000003</v>
      </c>
      <c r="O1100" s="10">
        <v>306.71600000000001</v>
      </c>
      <c r="P1100" s="10">
        <v>21</v>
      </c>
      <c r="Q1100" s="10">
        <v>21</v>
      </c>
      <c r="R1100" s="10">
        <v>21</v>
      </c>
    </row>
    <row r="1101" spans="1:18" ht="17" customHeight="1" x14ac:dyDescent="0.15">
      <c r="A1101" s="11" t="s">
        <v>5841</v>
      </c>
      <c r="B1101" s="1" t="s">
        <v>5842</v>
      </c>
      <c r="C1101" s="11" t="s">
        <v>5843</v>
      </c>
      <c r="D1101" s="11" t="s">
        <v>5843</v>
      </c>
      <c r="E1101" s="11" t="s">
        <v>5844</v>
      </c>
      <c r="F1101" s="11" t="s">
        <v>5845</v>
      </c>
      <c r="G1101" s="11" t="s">
        <v>5775</v>
      </c>
      <c r="H1101" s="11" t="s">
        <v>5776</v>
      </c>
      <c r="I1101" s="11" t="str">
        <f>HYPERLINK("http://www.pomandere.com/","www.pomandere.com")</f>
        <v>www.pomandere.com</v>
      </c>
      <c r="J1101" s="12">
        <v>6036.02</v>
      </c>
      <c r="K1101" s="12">
        <v>6036.02</v>
      </c>
      <c r="L1101" s="13">
        <v>6181.5559999999996</v>
      </c>
      <c r="M1101" s="12">
        <v>73.45</v>
      </c>
      <c r="N1101" s="12">
        <v>73.45</v>
      </c>
      <c r="O1101" s="12">
        <v>110.867</v>
      </c>
      <c r="P1101" s="12">
        <v>15</v>
      </c>
      <c r="Q1101" s="12">
        <v>15</v>
      </c>
      <c r="R1101" s="12">
        <v>15</v>
      </c>
    </row>
    <row r="1102" spans="1:18" ht="29.5" customHeight="1" x14ac:dyDescent="0.15">
      <c r="A1102" s="8" t="s">
        <v>5846</v>
      </c>
      <c r="B1102" s="9" t="s">
        <v>5847</v>
      </c>
      <c r="C1102" s="8" t="s">
        <v>5848</v>
      </c>
      <c r="D1102" s="8" t="s">
        <v>5848</v>
      </c>
      <c r="E1102" s="8" t="s">
        <v>5849</v>
      </c>
      <c r="F1102" s="8" t="s">
        <v>5795</v>
      </c>
      <c r="G1102" s="8" t="s">
        <v>5775</v>
      </c>
      <c r="H1102" s="8" t="s">
        <v>5776</v>
      </c>
      <c r="I1102" s="8" t="str">
        <f>HYPERLINK("http://www.conceriads.it/","http://www.conceriads.it")</f>
        <v>http://www.conceriads.it</v>
      </c>
      <c r="J1102" s="10">
        <v>5110.1719999999996</v>
      </c>
      <c r="K1102" s="10">
        <v>5110.1719999999996</v>
      </c>
      <c r="L1102" s="10">
        <v>6179.4539999999997</v>
      </c>
      <c r="M1102" s="10">
        <v>3789.8609999999999</v>
      </c>
      <c r="N1102" s="10">
        <v>3789.8609999999999</v>
      </c>
      <c r="O1102" s="10">
        <v>58.962000000000003</v>
      </c>
      <c r="P1102" s="15" t="s">
        <v>5815</v>
      </c>
      <c r="Q1102" s="15" t="s">
        <v>5815</v>
      </c>
      <c r="R1102" s="10">
        <v>18</v>
      </c>
    </row>
    <row r="1103" spans="1:18" ht="17" customHeight="1" x14ac:dyDescent="0.15">
      <c r="A1103" s="11" t="s">
        <v>5850</v>
      </c>
      <c r="B1103" s="1" t="s">
        <v>5851</v>
      </c>
      <c r="C1103" s="11" t="s">
        <v>5852</v>
      </c>
      <c r="D1103" s="11" t="s">
        <v>5852</v>
      </c>
      <c r="E1103" s="11" t="s">
        <v>5853</v>
      </c>
      <c r="F1103" s="11" t="s">
        <v>5830</v>
      </c>
      <c r="G1103" s="11" t="s">
        <v>5854</v>
      </c>
      <c r="H1103" s="11" t="s">
        <v>5855</v>
      </c>
      <c r="I1103" s="11" t="str">
        <f>HYPERLINK("http://www.denimmoda.it/","www.denimmoda.it")</f>
        <v>www.denimmoda.it</v>
      </c>
      <c r="J1103" s="12">
        <v>7510.61</v>
      </c>
      <c r="K1103" s="12">
        <v>7510.61</v>
      </c>
      <c r="L1103" s="13">
        <v>6174.5429999999997</v>
      </c>
      <c r="M1103" s="12">
        <v>508.85599999999999</v>
      </c>
      <c r="N1103" s="12">
        <v>508.85599999999999</v>
      </c>
      <c r="O1103" s="12">
        <v>427.66800000000001</v>
      </c>
      <c r="P1103" s="14" t="s">
        <v>5815</v>
      </c>
      <c r="Q1103" s="14" t="s">
        <v>5815</v>
      </c>
      <c r="R1103" s="12">
        <v>22</v>
      </c>
    </row>
    <row r="1104" spans="1:18" ht="17" customHeight="1" x14ac:dyDescent="0.15">
      <c r="A1104" s="8" t="s">
        <v>5856</v>
      </c>
      <c r="B1104" s="9" t="s">
        <v>5857</v>
      </c>
      <c r="C1104" s="8" t="s">
        <v>5858</v>
      </c>
      <c r="D1104" s="8" t="s">
        <v>5858</v>
      </c>
      <c r="E1104" s="8" t="s">
        <v>5859</v>
      </c>
      <c r="F1104" s="8" t="s">
        <v>5860</v>
      </c>
      <c r="G1104" s="8" t="s">
        <v>5861</v>
      </c>
      <c r="H1104" s="8" t="s">
        <v>5862</v>
      </c>
      <c r="I1104" s="8" t="str">
        <f>HYPERLINK("http://chiemar.com/","chiemar.com")</f>
        <v>chiemar.com</v>
      </c>
      <c r="J1104" s="10">
        <v>6770.0320000000002</v>
      </c>
      <c r="K1104" s="10">
        <v>6770.0320000000002</v>
      </c>
      <c r="L1104" s="10">
        <v>6169.64</v>
      </c>
      <c r="M1104" s="10">
        <v>9.2940000000000005</v>
      </c>
      <c r="N1104" s="10">
        <v>9.2940000000000005</v>
      </c>
      <c r="O1104" s="10">
        <v>6.9870000000000001</v>
      </c>
      <c r="P1104" s="10">
        <v>64</v>
      </c>
      <c r="Q1104" s="10">
        <v>64</v>
      </c>
      <c r="R1104" s="10">
        <v>68</v>
      </c>
    </row>
    <row r="1105" spans="1:18" ht="17" customHeight="1" x14ac:dyDescent="0.15">
      <c r="A1105" s="11" t="s">
        <v>5863</v>
      </c>
      <c r="B1105" s="1" t="s">
        <v>5864</v>
      </c>
      <c r="C1105" s="11" t="s">
        <v>5865</v>
      </c>
      <c r="D1105" s="11" t="s">
        <v>5865</v>
      </c>
      <c r="E1105" s="11" t="s">
        <v>5866</v>
      </c>
      <c r="F1105" s="11" t="s">
        <v>5867</v>
      </c>
      <c r="G1105" s="11" t="s">
        <v>5783</v>
      </c>
      <c r="H1105" s="11" t="s">
        <v>5784</v>
      </c>
      <c r="I1105" s="11" t="str">
        <f>HYPERLINK("http://www.drwalt.it/","www.drwalt.it")</f>
        <v>www.drwalt.it</v>
      </c>
      <c r="J1105" s="12">
        <v>4585.2060000000001</v>
      </c>
      <c r="K1105" s="12">
        <v>4585.2060000000001</v>
      </c>
      <c r="L1105" s="13">
        <v>6163.598</v>
      </c>
      <c r="M1105" s="12">
        <v>53.802</v>
      </c>
      <c r="N1105" s="12">
        <v>53.802</v>
      </c>
      <c r="O1105" s="12">
        <v>76.325000000000003</v>
      </c>
      <c r="P1105" s="12">
        <v>30</v>
      </c>
      <c r="Q1105" s="12">
        <v>30</v>
      </c>
      <c r="R1105" s="12">
        <v>27</v>
      </c>
    </row>
    <row r="1106" spans="1:18" ht="17" customHeight="1" x14ac:dyDescent="0.15">
      <c r="A1106" s="8" t="s">
        <v>5868</v>
      </c>
      <c r="B1106" s="9" t="s">
        <v>5869</v>
      </c>
      <c r="C1106" s="8" t="s">
        <v>5870</v>
      </c>
      <c r="D1106" s="8" t="s">
        <v>5870</v>
      </c>
      <c r="E1106" s="8" t="s">
        <v>5871</v>
      </c>
      <c r="F1106" s="8" t="s">
        <v>5789</v>
      </c>
      <c r="G1106" s="8" t="s">
        <v>5814</v>
      </c>
      <c r="H1106" s="8" t="s">
        <v>5784</v>
      </c>
      <c r="I1106" s="8" t="str">
        <f>HYPERLINK("http://blackboard.it/","blackboard.it")</f>
        <v>blackboard.it</v>
      </c>
      <c r="J1106" s="10">
        <v>5885.8770000000004</v>
      </c>
      <c r="K1106" s="10">
        <v>5885.8770000000004</v>
      </c>
      <c r="L1106" s="10">
        <v>6161.4459999999999</v>
      </c>
      <c r="M1106" s="10">
        <v>19.664000000000001</v>
      </c>
      <c r="N1106" s="10">
        <v>19.664000000000001</v>
      </c>
      <c r="O1106" s="10">
        <v>-18.635000000000002</v>
      </c>
      <c r="P1106" s="10">
        <v>9</v>
      </c>
      <c r="Q1106" s="10">
        <v>9</v>
      </c>
      <c r="R1106" s="10">
        <v>7</v>
      </c>
    </row>
    <row r="1107" spans="1:18" ht="17" customHeight="1" x14ac:dyDescent="0.15">
      <c r="A1107" s="11" t="s">
        <v>5872</v>
      </c>
      <c r="B1107" s="1" t="s">
        <v>5873</v>
      </c>
      <c r="C1107" s="11" t="s">
        <v>5874</v>
      </c>
      <c r="D1107" s="11" t="s">
        <v>5874</v>
      </c>
      <c r="E1107" s="11" t="s">
        <v>5875</v>
      </c>
      <c r="F1107" s="11" t="s">
        <v>5795</v>
      </c>
      <c r="G1107" s="11" t="s">
        <v>5775</v>
      </c>
      <c r="H1107" s="11" t="s">
        <v>5776</v>
      </c>
      <c r="I1107" s="11" t="str">
        <f>HYPERLINK("http://dimar.com/","dimar.com")</f>
        <v>dimar.com</v>
      </c>
      <c r="J1107" s="12">
        <v>5872.6940000000004</v>
      </c>
      <c r="K1107" s="12">
        <v>5872.6940000000004</v>
      </c>
      <c r="L1107" s="13">
        <v>6161.0169999999998</v>
      </c>
      <c r="M1107" s="12">
        <v>-410.55799999999999</v>
      </c>
      <c r="N1107" s="12">
        <v>-410.55799999999999</v>
      </c>
      <c r="O1107" s="12">
        <v>17.073</v>
      </c>
      <c r="P1107" s="12">
        <v>10</v>
      </c>
      <c r="Q1107" s="12">
        <v>10</v>
      </c>
      <c r="R1107" s="12">
        <v>9</v>
      </c>
    </row>
    <row r="1108" spans="1:18" ht="17" customHeight="1" x14ac:dyDescent="0.15">
      <c r="A1108" s="8" t="s">
        <v>5876</v>
      </c>
      <c r="B1108" s="9" t="s">
        <v>5877</v>
      </c>
      <c r="C1108" s="8" t="s">
        <v>5878</v>
      </c>
      <c r="D1108" s="8" t="s">
        <v>5878</v>
      </c>
      <c r="E1108" s="8" t="s">
        <v>5879</v>
      </c>
      <c r="F1108" s="8" t="s">
        <v>5845</v>
      </c>
      <c r="G1108" s="8" t="s">
        <v>5880</v>
      </c>
      <c r="H1108" s="8" t="s">
        <v>5776</v>
      </c>
      <c r="I1108" s="8" t="str">
        <f>HYPERLINK("http://pellerossasrl.com/","pellerossasrl.com")</f>
        <v>pellerossasrl.com</v>
      </c>
      <c r="J1108" s="10">
        <v>6452.0680000000002</v>
      </c>
      <c r="K1108" s="10">
        <v>6452.0680000000002</v>
      </c>
      <c r="L1108" s="10">
        <v>6156.4520000000002</v>
      </c>
      <c r="M1108" s="10">
        <v>154.78299999999999</v>
      </c>
      <c r="N1108" s="10">
        <v>154.78299999999999</v>
      </c>
      <c r="O1108" s="10">
        <v>349.178</v>
      </c>
      <c r="P1108" s="10">
        <v>27</v>
      </c>
      <c r="Q1108" s="10">
        <v>27</v>
      </c>
      <c r="R1108" s="10">
        <v>24</v>
      </c>
    </row>
    <row r="1109" spans="1:18" ht="17" customHeight="1" x14ac:dyDescent="0.15">
      <c r="A1109" s="11" t="s">
        <v>5881</v>
      </c>
      <c r="B1109" s="1" t="s">
        <v>5882</v>
      </c>
      <c r="C1109" s="11" t="s">
        <v>5883</v>
      </c>
      <c r="D1109" s="11" t="s">
        <v>5883</v>
      </c>
      <c r="E1109" s="11" t="s">
        <v>5884</v>
      </c>
      <c r="F1109" s="11" t="s">
        <v>5860</v>
      </c>
      <c r="G1109" s="11" t="s">
        <v>5885</v>
      </c>
      <c r="H1109" s="11" t="s">
        <v>5886</v>
      </c>
      <c r="I1109" s="11" t="str">
        <f>HYPERLINK("http://masq.it/","masq.it")</f>
        <v>masq.it</v>
      </c>
      <c r="J1109" s="12">
        <v>7162.2960000000003</v>
      </c>
      <c r="K1109" s="12">
        <v>7162.2960000000003</v>
      </c>
      <c r="L1109" s="13">
        <v>6156.4139999999998</v>
      </c>
      <c r="M1109" s="12">
        <v>197.83600000000001</v>
      </c>
      <c r="N1109" s="12">
        <v>197.83600000000001</v>
      </c>
      <c r="O1109" s="12">
        <v>126.85</v>
      </c>
      <c r="P1109" s="12">
        <v>6</v>
      </c>
      <c r="Q1109" s="12">
        <v>6</v>
      </c>
      <c r="R1109" s="12">
        <v>4</v>
      </c>
    </row>
    <row r="1110" spans="1:18" ht="17" customHeight="1" x14ac:dyDescent="0.15">
      <c r="A1110" s="8" t="s">
        <v>5887</v>
      </c>
      <c r="B1110" s="9" t="s">
        <v>5888</v>
      </c>
      <c r="C1110" s="8" t="s">
        <v>5889</v>
      </c>
      <c r="D1110" s="8" t="s">
        <v>5889</v>
      </c>
      <c r="E1110" s="8" t="s">
        <v>5890</v>
      </c>
      <c r="F1110" s="8" t="s">
        <v>5860</v>
      </c>
      <c r="G1110" s="8" t="s">
        <v>5891</v>
      </c>
      <c r="H1110" s="8" t="s">
        <v>5797</v>
      </c>
      <c r="I1110" s="8" t="str">
        <f>HYPERLINK("http://www.maglificioniccolai.it/","http://www.maglificioniccolai.it")</f>
        <v>http://www.maglificioniccolai.it</v>
      </c>
      <c r="J1110" s="10">
        <v>3208.33</v>
      </c>
      <c r="K1110" s="10">
        <v>3208.33</v>
      </c>
      <c r="L1110" s="10">
        <v>6155.0429999999997</v>
      </c>
      <c r="M1110" s="10">
        <v>0.68600000000000005</v>
      </c>
      <c r="N1110" s="10">
        <v>0.68600000000000005</v>
      </c>
      <c r="O1110" s="10">
        <v>75.28</v>
      </c>
      <c r="P1110" s="10">
        <v>9</v>
      </c>
      <c r="Q1110" s="10">
        <v>9</v>
      </c>
      <c r="R1110" s="10">
        <v>13</v>
      </c>
    </row>
    <row r="1111" spans="1:18" ht="17" customHeight="1" x14ac:dyDescent="0.15">
      <c r="A1111" s="11" t="s">
        <v>5892</v>
      </c>
      <c r="B1111" s="1" t="s">
        <v>5893</v>
      </c>
      <c r="C1111" s="11" t="s">
        <v>5894</v>
      </c>
      <c r="D1111" s="11" t="s">
        <v>5895</v>
      </c>
      <c r="E1111" s="11" t="s">
        <v>5896</v>
      </c>
      <c r="F1111" s="11" t="s">
        <v>5782</v>
      </c>
      <c r="G1111" s="11" t="s">
        <v>5783</v>
      </c>
      <c r="H1111" s="11" t="s">
        <v>5784</v>
      </c>
      <c r="I1111" s="11" t="str">
        <f>HYPERLINK("http://www.violacalzificio.com/","www.violacalzificio.com")</f>
        <v>www.violacalzificio.com</v>
      </c>
      <c r="J1111" s="12">
        <v>4934.5410000000002</v>
      </c>
      <c r="K1111" s="12">
        <v>4934.5410000000002</v>
      </c>
      <c r="L1111" s="13">
        <v>6153.9380000000001</v>
      </c>
      <c r="M1111" s="12">
        <v>13.749000000000001</v>
      </c>
      <c r="N1111" s="12">
        <v>13.749000000000001</v>
      </c>
      <c r="O1111" s="12">
        <v>50.220999999999997</v>
      </c>
      <c r="P1111" s="12">
        <v>32</v>
      </c>
      <c r="Q1111" s="12">
        <v>32</v>
      </c>
      <c r="R1111" s="12">
        <v>33</v>
      </c>
    </row>
    <row r="1112" spans="1:18" ht="17" customHeight="1" x14ac:dyDescent="0.15">
      <c r="A1112" s="8" t="s">
        <v>5897</v>
      </c>
      <c r="B1112" s="9" t="s">
        <v>5898</v>
      </c>
      <c r="C1112" s="8" t="s">
        <v>5899</v>
      </c>
      <c r="D1112" s="8" t="s">
        <v>5899</v>
      </c>
      <c r="E1112" s="8" t="s">
        <v>5900</v>
      </c>
      <c r="F1112" s="8" t="s">
        <v>5901</v>
      </c>
      <c r="G1112" s="8" t="s">
        <v>5775</v>
      </c>
      <c r="H1112" s="8" t="s">
        <v>5776</v>
      </c>
      <c r="I1112" s="8" t="str">
        <f>HYPERLINK("http://nordpellami.com/","nordpellami.com")</f>
        <v>nordpellami.com</v>
      </c>
      <c r="J1112" s="10">
        <v>5151.34</v>
      </c>
      <c r="K1112" s="10">
        <v>5151.34</v>
      </c>
      <c r="L1112" s="10">
        <v>6149.902</v>
      </c>
      <c r="M1112" s="10">
        <v>408.69900000000001</v>
      </c>
      <c r="N1112" s="10">
        <v>408.69900000000001</v>
      </c>
      <c r="O1112" s="10">
        <v>596.197</v>
      </c>
      <c r="P1112" s="10">
        <v>9</v>
      </c>
      <c r="Q1112" s="10">
        <v>9</v>
      </c>
      <c r="R1112" s="10">
        <v>7</v>
      </c>
    </row>
    <row r="1113" spans="1:18" ht="17" customHeight="1" x14ac:dyDescent="0.15">
      <c r="A1113" s="11" t="s">
        <v>5902</v>
      </c>
      <c r="B1113" s="1" t="s">
        <v>5903</v>
      </c>
      <c r="C1113" s="11" t="s">
        <v>5904</v>
      </c>
      <c r="D1113" s="11" t="s">
        <v>5904</v>
      </c>
      <c r="E1113" s="11" t="s">
        <v>5905</v>
      </c>
      <c r="F1113" s="11" t="s">
        <v>5774</v>
      </c>
      <c r="G1113" s="11" t="s">
        <v>5796</v>
      </c>
      <c r="H1113" s="11" t="s">
        <v>5797</v>
      </c>
      <c r="I1113" s="11" t="str">
        <f>HYPERLINK("http://www.ilborgo.it/","www.ilborgo.it")</f>
        <v>www.ilborgo.it</v>
      </c>
      <c r="J1113" s="12">
        <v>8955.6689999999999</v>
      </c>
      <c r="K1113" s="12">
        <v>8955.6689999999999</v>
      </c>
      <c r="L1113" s="13">
        <v>6149.799</v>
      </c>
      <c r="M1113" s="12">
        <v>283.20999999999998</v>
      </c>
      <c r="N1113" s="12">
        <v>283.20999999999998</v>
      </c>
      <c r="O1113" s="12">
        <v>130.238</v>
      </c>
      <c r="P1113" s="14" t="s">
        <v>5815</v>
      </c>
      <c r="Q1113" s="14" t="s">
        <v>5815</v>
      </c>
      <c r="R1113" s="12">
        <v>59</v>
      </c>
    </row>
    <row r="1114" spans="1:18" ht="17" customHeight="1" x14ac:dyDescent="0.15">
      <c r="A1114" s="8" t="s">
        <v>5906</v>
      </c>
      <c r="B1114" s="9" t="s">
        <v>5907</v>
      </c>
      <c r="C1114" s="8" t="s">
        <v>5908</v>
      </c>
      <c r="D1114" s="8" t="s">
        <v>5908</v>
      </c>
      <c r="E1114" s="8" t="s">
        <v>5909</v>
      </c>
      <c r="F1114" s="8" t="s">
        <v>5860</v>
      </c>
      <c r="G1114" s="8" t="s">
        <v>5910</v>
      </c>
      <c r="H1114" s="8" t="s">
        <v>5911</v>
      </c>
      <c r="I1114" s="8" t="str">
        <f>HYPERLINK("http://svevo.com/","svevo.com")</f>
        <v>svevo.com</v>
      </c>
      <c r="J1114" s="10">
        <v>7180.4960000000001</v>
      </c>
      <c r="K1114" s="10">
        <v>7180.4960000000001</v>
      </c>
      <c r="L1114" s="10">
        <v>6135.95</v>
      </c>
      <c r="M1114" s="10">
        <v>983.08</v>
      </c>
      <c r="N1114" s="10">
        <v>983.08</v>
      </c>
      <c r="O1114" s="10">
        <v>965.90099999999995</v>
      </c>
      <c r="P1114" s="10">
        <v>48</v>
      </c>
      <c r="Q1114" s="10">
        <v>48</v>
      </c>
      <c r="R1114" s="10">
        <v>49</v>
      </c>
    </row>
    <row r="1115" spans="1:18" ht="17" customHeight="1" x14ac:dyDescent="0.15">
      <c r="A1115" s="11" t="s">
        <v>5912</v>
      </c>
      <c r="B1115" s="1" t="s">
        <v>5913</v>
      </c>
      <c r="C1115" s="11" t="s">
        <v>5914</v>
      </c>
      <c r="D1115" s="11" t="s">
        <v>5914</v>
      </c>
      <c r="E1115" s="11" t="s">
        <v>5915</v>
      </c>
      <c r="F1115" s="11" t="s">
        <v>5916</v>
      </c>
      <c r="G1115" s="11" t="s">
        <v>5775</v>
      </c>
      <c r="H1115" s="11" t="s">
        <v>5776</v>
      </c>
      <c r="I1115" s="11" t="str">
        <f>HYPERLINK("http://www.cb-pelletterie.com/","www.cb-pelletterie.com")</f>
        <v>www.cb-pelletterie.com</v>
      </c>
      <c r="J1115" s="12">
        <v>6789.9030000000002</v>
      </c>
      <c r="K1115" s="12">
        <v>6789.9030000000002</v>
      </c>
      <c r="L1115" s="13">
        <v>6132.7150000000001</v>
      </c>
      <c r="M1115" s="12">
        <v>386.82400000000001</v>
      </c>
      <c r="N1115" s="12">
        <v>386.82400000000001</v>
      </c>
      <c r="O1115" s="12">
        <v>260.87299999999999</v>
      </c>
      <c r="P1115" s="14" t="s">
        <v>5815</v>
      </c>
      <c r="Q1115" s="14" t="s">
        <v>5815</v>
      </c>
      <c r="R1115" s="12">
        <v>34</v>
      </c>
    </row>
    <row r="1116" spans="1:18" ht="17" customHeight="1" x14ac:dyDescent="0.15">
      <c r="A1116" s="8" t="s">
        <v>5917</v>
      </c>
      <c r="B1116" s="9" t="s">
        <v>5918</v>
      </c>
      <c r="C1116" s="8" t="s">
        <v>5919</v>
      </c>
      <c r="D1116" s="8" t="s">
        <v>5920</v>
      </c>
      <c r="E1116" s="8" t="s">
        <v>5921</v>
      </c>
      <c r="F1116" s="8" t="s">
        <v>5830</v>
      </c>
      <c r="G1116" s="8" t="s">
        <v>5814</v>
      </c>
      <c r="H1116" s="8" t="s">
        <v>5784</v>
      </c>
      <c r="I1116" s="8" t="str">
        <f>HYPERLINK("http://overkids.it/","overkids.it")</f>
        <v>overkids.it</v>
      </c>
      <c r="J1116" s="10">
        <v>5320</v>
      </c>
      <c r="K1116" s="10">
        <v>5320</v>
      </c>
      <c r="L1116" s="10">
        <v>6124</v>
      </c>
      <c r="M1116" s="10">
        <v>924</v>
      </c>
      <c r="N1116" s="10">
        <v>924</v>
      </c>
      <c r="O1116" s="10">
        <v>1653</v>
      </c>
      <c r="P1116" s="10">
        <v>19</v>
      </c>
      <c r="Q1116" s="10">
        <v>19</v>
      </c>
      <c r="R1116" s="10">
        <v>19</v>
      </c>
    </row>
    <row r="1117" spans="1:18" ht="17" customHeight="1" x14ac:dyDescent="0.15">
      <c r="A1117" s="11" t="s">
        <v>5922</v>
      </c>
      <c r="B1117" s="1" t="s">
        <v>5923</v>
      </c>
      <c r="C1117" s="11" t="s">
        <v>5924</v>
      </c>
      <c r="D1117" s="11" t="s">
        <v>5924</v>
      </c>
      <c r="E1117" s="11" t="s">
        <v>5925</v>
      </c>
      <c r="F1117" s="11" t="s">
        <v>5926</v>
      </c>
      <c r="G1117" s="11" t="s">
        <v>5802</v>
      </c>
      <c r="H1117" s="11" t="s">
        <v>5803</v>
      </c>
      <c r="I1117" s="11" t="str">
        <f>HYPERLINK("http://www.gicapri.com/","www.gicapri.com")</f>
        <v>www.gicapri.com</v>
      </c>
      <c r="J1117" s="12">
        <v>6362.3370000000004</v>
      </c>
      <c r="K1117" s="12">
        <v>6362.3370000000004</v>
      </c>
      <c r="L1117" s="13">
        <v>6118.6229999999996</v>
      </c>
      <c r="M1117" s="12">
        <v>107.491</v>
      </c>
      <c r="N1117" s="12">
        <v>107.491</v>
      </c>
      <c r="O1117" s="12">
        <v>98.343999999999994</v>
      </c>
      <c r="P1117" s="12">
        <v>36</v>
      </c>
      <c r="Q1117" s="12">
        <v>36</v>
      </c>
      <c r="R1117" s="12">
        <v>35</v>
      </c>
    </row>
    <row r="1118" spans="1:18" ht="17" customHeight="1" x14ac:dyDescent="0.15">
      <c r="A1118" s="8" t="s">
        <v>5927</v>
      </c>
      <c r="B1118" s="9" t="s">
        <v>5928</v>
      </c>
      <c r="C1118" s="8" t="s">
        <v>5929</v>
      </c>
      <c r="D1118" s="8" t="s">
        <v>5929</v>
      </c>
      <c r="E1118" s="8" t="s">
        <v>5930</v>
      </c>
      <c r="F1118" s="8" t="s">
        <v>5789</v>
      </c>
      <c r="G1118" s="8" t="s">
        <v>5809</v>
      </c>
      <c r="H1118" s="8" t="s">
        <v>5797</v>
      </c>
      <c r="I1118" s="8" t="str">
        <f>HYPERLINK("http://www.prosperine.it/","www.prosperine.it")</f>
        <v>www.prosperine.it</v>
      </c>
      <c r="J1118" s="10">
        <v>9164.1460000000006</v>
      </c>
      <c r="K1118" s="10">
        <v>9164.1460000000006</v>
      </c>
      <c r="L1118" s="10">
        <v>6095.4110000000001</v>
      </c>
      <c r="M1118" s="10">
        <v>272.27199999999999</v>
      </c>
      <c r="N1118" s="10">
        <v>272.27199999999999</v>
      </c>
      <c r="O1118" s="10">
        <v>103.13500000000001</v>
      </c>
      <c r="P1118" s="10">
        <v>26</v>
      </c>
      <c r="Q1118" s="10">
        <v>26</v>
      </c>
      <c r="R1118" s="10">
        <v>28</v>
      </c>
    </row>
    <row r="1119" spans="1:18" ht="17" customHeight="1" x14ac:dyDescent="0.15">
      <c r="A1119" s="11" t="s">
        <v>5931</v>
      </c>
      <c r="B1119" s="1" t="s">
        <v>5932</v>
      </c>
      <c r="C1119" s="11" t="s">
        <v>5933</v>
      </c>
      <c r="D1119" s="11" t="s">
        <v>5933</v>
      </c>
      <c r="E1119" s="11" t="s">
        <v>5934</v>
      </c>
      <c r="F1119" s="11" t="s">
        <v>5774</v>
      </c>
      <c r="G1119" s="11" t="s">
        <v>5935</v>
      </c>
      <c r="H1119" s="11" t="s">
        <v>5936</v>
      </c>
      <c r="I1119" s="11" t="str">
        <f>HYPERLINK("http://www.sorbatti.it/","www.sorbatti.it")</f>
        <v>www.sorbatti.it</v>
      </c>
      <c r="J1119" s="12">
        <v>7398.9709999999995</v>
      </c>
      <c r="K1119" s="12">
        <v>7398.9709999999995</v>
      </c>
      <c r="L1119" s="13">
        <v>6086.3180000000002</v>
      </c>
      <c r="M1119" s="12">
        <v>571.53300000000002</v>
      </c>
      <c r="N1119" s="12">
        <v>571.53300000000002</v>
      </c>
      <c r="O1119" s="12">
        <v>69.188999999999993</v>
      </c>
      <c r="P1119" s="12">
        <v>52</v>
      </c>
      <c r="Q1119" s="12">
        <v>52</v>
      </c>
      <c r="R1119" s="12">
        <v>48</v>
      </c>
    </row>
    <row r="1120" spans="1:18" ht="17" customHeight="1" x14ac:dyDescent="0.15">
      <c r="A1120" s="8" t="s">
        <v>5937</v>
      </c>
      <c r="B1120" s="9" t="s">
        <v>5938</v>
      </c>
      <c r="C1120" s="8" t="s">
        <v>5939</v>
      </c>
      <c r="D1120" s="8" t="s">
        <v>5939</v>
      </c>
      <c r="E1120" s="8" t="s">
        <v>5940</v>
      </c>
      <c r="F1120" s="8" t="s">
        <v>5830</v>
      </c>
      <c r="G1120" s="8" t="s">
        <v>5783</v>
      </c>
      <c r="H1120" s="8" t="s">
        <v>5784</v>
      </c>
      <c r="I1120" s="8" t="str">
        <f>HYPERLINK("http://www.kiltie.it/","www.kiltie.it")</f>
        <v>www.kiltie.it</v>
      </c>
      <c r="J1120" s="10">
        <v>7014.0559999999996</v>
      </c>
      <c r="K1120" s="10">
        <v>7014.0559999999996</v>
      </c>
      <c r="L1120" s="10">
        <v>6071.7879999999996</v>
      </c>
      <c r="M1120" s="10">
        <v>104.309</v>
      </c>
      <c r="N1120" s="10">
        <v>104.309</v>
      </c>
      <c r="O1120" s="10">
        <v>283.69799999999998</v>
      </c>
      <c r="P1120" s="10">
        <v>17</v>
      </c>
      <c r="Q1120" s="10">
        <v>17</v>
      </c>
      <c r="R1120" s="10">
        <v>18</v>
      </c>
    </row>
    <row r="1121" spans="1:18" ht="17" customHeight="1" x14ac:dyDescent="0.15">
      <c r="A1121" s="11" t="s">
        <v>5941</v>
      </c>
      <c r="B1121" s="1" t="s">
        <v>5942</v>
      </c>
      <c r="C1121" s="11" t="s">
        <v>5943</v>
      </c>
      <c r="D1121" s="11" t="s">
        <v>5943</v>
      </c>
      <c r="E1121" s="11" t="s">
        <v>5944</v>
      </c>
      <c r="F1121" s="11" t="s">
        <v>5945</v>
      </c>
      <c r="G1121" s="11" t="s">
        <v>5946</v>
      </c>
      <c r="H1121" s="11" t="s">
        <v>5947</v>
      </c>
      <c r="I1121" s="11" t="str">
        <f>HYPERLINK("http://www.biancamontipomaglieria.it/","www.biancamontipomaglieria.it")</f>
        <v>www.biancamontipomaglieria.it</v>
      </c>
      <c r="J1121" s="12">
        <v>8344.7420000000002</v>
      </c>
      <c r="K1121" s="12">
        <v>8344.7420000000002</v>
      </c>
      <c r="L1121" s="13">
        <v>6069.7870000000003</v>
      </c>
      <c r="M1121" s="12">
        <v>445.983</v>
      </c>
      <c r="N1121" s="12">
        <v>445.983</v>
      </c>
      <c r="O1121" s="12">
        <v>158.97499999999999</v>
      </c>
      <c r="P1121" s="14" t="s">
        <v>5948</v>
      </c>
      <c r="Q1121" s="14" t="s">
        <v>5948</v>
      </c>
      <c r="R1121" s="12">
        <v>11</v>
      </c>
    </row>
    <row r="1122" spans="1:18" ht="17" customHeight="1" x14ac:dyDescent="0.15">
      <c r="A1122" s="8" t="s">
        <v>5949</v>
      </c>
      <c r="B1122" s="9" t="s">
        <v>5950</v>
      </c>
      <c r="C1122" s="8" t="s">
        <v>5951</v>
      </c>
      <c r="D1122" s="8" t="s">
        <v>5951</v>
      </c>
      <c r="E1122" s="8" t="s">
        <v>5952</v>
      </c>
      <c r="F1122" s="8" t="s">
        <v>5953</v>
      </c>
      <c r="G1122" s="8" t="s">
        <v>5954</v>
      </c>
      <c r="H1122" s="8" t="s">
        <v>5955</v>
      </c>
      <c r="I1122" s="8" t="str">
        <f>HYPERLINK("http://www.cpleathers.com/","www.cpleathers.com")</f>
        <v>www.cpleathers.com</v>
      </c>
      <c r="J1122" s="10">
        <v>6905.0720000000001</v>
      </c>
      <c r="K1122" s="10">
        <v>6905.0720000000001</v>
      </c>
      <c r="L1122" s="10">
        <v>6053.9840000000004</v>
      </c>
      <c r="M1122" s="10">
        <v>181.428</v>
      </c>
      <c r="N1122" s="10">
        <v>181.428</v>
      </c>
      <c r="O1122" s="10">
        <v>33.942999999999998</v>
      </c>
      <c r="P1122" s="10">
        <v>23</v>
      </c>
      <c r="Q1122" s="10">
        <v>23</v>
      </c>
      <c r="R1122" s="10">
        <v>17</v>
      </c>
    </row>
    <row r="1123" spans="1:18" ht="55.75" customHeight="1" x14ac:dyDescent="0.15">
      <c r="A1123" s="11" t="s">
        <v>5956</v>
      </c>
      <c r="B1123" s="1" t="s">
        <v>5957</v>
      </c>
      <c r="C1123" s="11" t="s">
        <v>5958</v>
      </c>
      <c r="D1123" s="11" t="s">
        <v>5958</v>
      </c>
      <c r="E1123" s="11" t="s">
        <v>5959</v>
      </c>
      <c r="F1123" s="11" t="s">
        <v>5953</v>
      </c>
      <c r="G1123" s="11" t="s">
        <v>5960</v>
      </c>
      <c r="H1123" s="11" t="s">
        <v>5961</v>
      </c>
      <c r="I1123" s="11" t="str">
        <f>HYPERLINK("http://www.conceriadellaneve.it/","www.conceriadellaneve.it")</f>
        <v>www.conceriadellaneve.it</v>
      </c>
      <c r="J1123" s="12">
        <v>5118.326</v>
      </c>
      <c r="K1123" s="12">
        <v>5118.326</v>
      </c>
      <c r="L1123" s="13">
        <v>6041.3249999999998</v>
      </c>
      <c r="M1123" s="12">
        <v>139.62200000000001</v>
      </c>
      <c r="N1123" s="12">
        <v>139.62200000000001</v>
      </c>
      <c r="O1123" s="12">
        <v>147.10400000000001</v>
      </c>
      <c r="P1123" s="12">
        <v>7</v>
      </c>
      <c r="Q1123" s="12">
        <v>7</v>
      </c>
      <c r="R1123" s="12">
        <v>7</v>
      </c>
    </row>
    <row r="1124" spans="1:18" ht="55.75" customHeight="1" x14ac:dyDescent="0.15">
      <c r="A1124" s="8" t="s">
        <v>5962</v>
      </c>
      <c r="B1124" s="9" t="s">
        <v>5963</v>
      </c>
      <c r="C1124" s="8" t="s">
        <v>5964</v>
      </c>
      <c r="D1124" s="8" t="s">
        <v>5964</v>
      </c>
      <c r="E1124" s="8" t="s">
        <v>5965</v>
      </c>
      <c r="F1124" s="8" t="s">
        <v>5966</v>
      </c>
      <c r="G1124" s="8" t="s">
        <v>5967</v>
      </c>
      <c r="H1124" s="8" t="s">
        <v>5968</v>
      </c>
      <c r="I1124" s="8" t="str">
        <f>HYPERLINK("http://www.verderana.it/","www.verderana.it")</f>
        <v>www.verderana.it</v>
      </c>
      <c r="J1124" s="10">
        <v>5587.0460000000003</v>
      </c>
      <c r="K1124" s="10">
        <v>5587.0460000000003</v>
      </c>
      <c r="L1124" s="10">
        <v>6034.6959999999999</v>
      </c>
      <c r="M1124" s="10">
        <v>635.59699999999998</v>
      </c>
      <c r="N1124" s="10">
        <v>635.59699999999998</v>
      </c>
      <c r="O1124" s="10">
        <v>767.04600000000005</v>
      </c>
      <c r="P1124" s="10">
        <v>60</v>
      </c>
      <c r="Q1124" s="10">
        <v>60</v>
      </c>
      <c r="R1124" s="10">
        <v>58</v>
      </c>
    </row>
    <row r="1125" spans="1:18" ht="17" customHeight="1" x14ac:dyDescent="0.15">
      <c r="A1125" s="11" t="s">
        <v>5969</v>
      </c>
      <c r="B1125" s="1" t="s">
        <v>5970</v>
      </c>
      <c r="C1125" s="11" t="s">
        <v>5971</v>
      </c>
      <c r="D1125" s="11" t="s">
        <v>5971</v>
      </c>
      <c r="E1125" s="11" t="s">
        <v>5972</v>
      </c>
      <c r="F1125" s="11" t="s">
        <v>5973</v>
      </c>
      <c r="G1125" s="11" t="s">
        <v>5974</v>
      </c>
      <c r="H1125" s="11" t="s">
        <v>5955</v>
      </c>
      <c r="I1125" s="11" t="str">
        <f>HYPERLINK("http://www.confezionigambato.it/","www.confezionigambato.it")</f>
        <v>www.confezionigambato.it</v>
      </c>
      <c r="J1125" s="12">
        <v>6171.1019999999999</v>
      </c>
      <c r="K1125" s="12">
        <v>6171.1019999999999</v>
      </c>
      <c r="L1125" s="13">
        <v>6030.4830000000002</v>
      </c>
      <c r="M1125" s="12">
        <v>593.49</v>
      </c>
      <c r="N1125" s="12">
        <v>593.49</v>
      </c>
      <c r="O1125" s="12">
        <v>374.90899999999999</v>
      </c>
      <c r="P1125" s="12">
        <v>16</v>
      </c>
      <c r="Q1125" s="12">
        <v>16</v>
      </c>
      <c r="R1125" s="12">
        <v>16</v>
      </c>
    </row>
    <row r="1126" spans="1:18" ht="17" customHeight="1" x14ac:dyDescent="0.15">
      <c r="A1126" s="8" t="s">
        <v>5975</v>
      </c>
      <c r="B1126" s="9" t="s">
        <v>5976</v>
      </c>
      <c r="C1126" s="8" t="s">
        <v>5977</v>
      </c>
      <c r="D1126" s="8" t="s">
        <v>5977</v>
      </c>
      <c r="E1126" s="8" t="s">
        <v>5978</v>
      </c>
      <c r="F1126" s="8" t="s">
        <v>5979</v>
      </c>
      <c r="G1126" s="8" t="s">
        <v>5980</v>
      </c>
      <c r="H1126" s="8" t="s">
        <v>5947</v>
      </c>
      <c r="I1126" s="8" t="str">
        <f>HYPERLINK("http://gioscorsetteria.it/","gioscorsetteria.it")</f>
        <v>gioscorsetteria.it</v>
      </c>
      <c r="J1126" s="10">
        <v>6085.683</v>
      </c>
      <c r="K1126" s="10">
        <v>6085.683</v>
      </c>
      <c r="L1126" s="10">
        <v>6029.107</v>
      </c>
      <c r="M1126" s="10">
        <v>27.838000000000001</v>
      </c>
      <c r="N1126" s="10">
        <v>27.838000000000001</v>
      </c>
      <c r="O1126" s="10">
        <v>23.114000000000001</v>
      </c>
      <c r="P1126" s="10">
        <v>10</v>
      </c>
      <c r="Q1126" s="10">
        <v>10</v>
      </c>
      <c r="R1126" s="10">
        <v>15</v>
      </c>
    </row>
    <row r="1127" spans="1:18" ht="17" customHeight="1" x14ac:dyDescent="0.15">
      <c r="A1127" s="11" t="s">
        <v>5981</v>
      </c>
      <c r="B1127" s="1" t="s">
        <v>5982</v>
      </c>
      <c r="C1127" s="11" t="s">
        <v>5983</v>
      </c>
      <c r="D1127" s="11" t="s">
        <v>5983</v>
      </c>
      <c r="E1127" s="11" t="s">
        <v>5984</v>
      </c>
      <c r="F1127" s="11" t="s">
        <v>5985</v>
      </c>
      <c r="G1127" s="11" t="s">
        <v>5967</v>
      </c>
      <c r="H1127" s="11" t="s">
        <v>5968</v>
      </c>
      <c r="I1127" s="11" t="str">
        <f>HYPERLINK("http://www.cgstudiosrl.com/","www.cgstudiosrl.com")</f>
        <v>www.cgstudiosrl.com</v>
      </c>
      <c r="J1127" s="12">
        <v>5530.3059999999996</v>
      </c>
      <c r="K1127" s="12">
        <v>5530.3059999999996</v>
      </c>
      <c r="L1127" s="13">
        <v>6005.4269999999997</v>
      </c>
      <c r="M1127" s="12">
        <v>3.24</v>
      </c>
      <c r="N1127" s="12">
        <v>3.24</v>
      </c>
      <c r="O1127" s="12">
        <v>7.5780000000000003</v>
      </c>
      <c r="P1127" s="12">
        <v>23</v>
      </c>
      <c r="Q1127" s="12">
        <v>23</v>
      </c>
      <c r="R1127" s="12">
        <v>24</v>
      </c>
    </row>
    <row r="1128" spans="1:18" ht="17" customHeight="1" x14ac:dyDescent="0.15">
      <c r="A1128" s="8" t="s">
        <v>5986</v>
      </c>
      <c r="B1128" s="9" t="s">
        <v>5987</v>
      </c>
      <c r="C1128" s="8" t="s">
        <v>5988</v>
      </c>
      <c r="D1128" s="8" t="s">
        <v>5988</v>
      </c>
      <c r="E1128" s="8" t="s">
        <v>5989</v>
      </c>
      <c r="F1128" s="8" t="s">
        <v>5945</v>
      </c>
      <c r="G1128" s="8" t="s">
        <v>5990</v>
      </c>
      <c r="H1128" s="8" t="s">
        <v>5991</v>
      </c>
      <c r="I1128" s="8" t="str">
        <f>HYPERLINK("http://www.gold-case.it/","www.gold-case.it")</f>
        <v>www.gold-case.it</v>
      </c>
      <c r="J1128" s="10">
        <v>5583.8440000000001</v>
      </c>
      <c r="K1128" s="10">
        <v>5583.8440000000001</v>
      </c>
      <c r="L1128" s="10">
        <v>6001.0780000000004</v>
      </c>
      <c r="M1128" s="10">
        <v>60.12</v>
      </c>
      <c r="N1128" s="10">
        <v>60.12</v>
      </c>
      <c r="O1128" s="10">
        <v>7.5670000000000002</v>
      </c>
      <c r="P1128" s="10">
        <v>19</v>
      </c>
      <c r="Q1128" s="10">
        <v>19</v>
      </c>
      <c r="R1128" s="10">
        <v>21</v>
      </c>
    </row>
    <row r="1129" spans="1:18" ht="29.5" customHeight="1" x14ac:dyDescent="0.15">
      <c r="A1129" s="11" t="s">
        <v>5992</v>
      </c>
      <c r="B1129" s="1" t="s">
        <v>5993</v>
      </c>
      <c r="C1129" s="11" t="s">
        <v>5994</v>
      </c>
      <c r="D1129" s="11" t="s">
        <v>5994</v>
      </c>
      <c r="E1129" s="11" t="s">
        <v>5995</v>
      </c>
      <c r="F1129" s="11" t="s">
        <v>5996</v>
      </c>
      <c r="G1129" s="11" t="s">
        <v>5997</v>
      </c>
      <c r="H1129" s="11" t="s">
        <v>5991</v>
      </c>
      <c r="I1129" s="11" t="str">
        <f>HYPERLINK("http://calzeregia.it/","calzeregia.it")</f>
        <v>calzeregia.it</v>
      </c>
      <c r="J1129" s="12">
        <v>6209.82</v>
      </c>
      <c r="K1129" s="12">
        <v>6209.82</v>
      </c>
      <c r="L1129" s="13">
        <v>5989.3209999999999</v>
      </c>
      <c r="M1129" s="12">
        <v>41.511000000000003</v>
      </c>
      <c r="N1129" s="12">
        <v>41.511000000000003</v>
      </c>
      <c r="O1129" s="12">
        <v>240.87200000000001</v>
      </c>
      <c r="P1129" s="12">
        <v>29</v>
      </c>
      <c r="Q1129" s="12">
        <v>29</v>
      </c>
      <c r="R1129" s="12">
        <v>30</v>
      </c>
    </row>
    <row r="1130" spans="1:18" ht="17" customHeight="1" x14ac:dyDescent="0.15">
      <c r="A1130" s="8" t="s">
        <v>5998</v>
      </c>
      <c r="B1130" s="9" t="s">
        <v>5999</v>
      </c>
      <c r="C1130" s="8" t="s">
        <v>6000</v>
      </c>
      <c r="D1130" s="8" t="s">
        <v>6000</v>
      </c>
      <c r="E1130" s="8" t="s">
        <v>6001</v>
      </c>
      <c r="F1130" s="8" t="s">
        <v>6002</v>
      </c>
      <c r="G1130" s="8" t="s">
        <v>6003</v>
      </c>
      <c r="H1130" s="8" t="s">
        <v>5991</v>
      </c>
      <c r="I1130" s="8" t="str">
        <f>HYPERLINK("http://www.salacalzature.it/","www.salacalzature.it")</f>
        <v>www.salacalzature.it</v>
      </c>
      <c r="J1130" s="10">
        <v>4903.0910000000003</v>
      </c>
      <c r="K1130" s="10">
        <v>4903.0910000000003</v>
      </c>
      <c r="L1130" s="10">
        <v>5985.8180000000002</v>
      </c>
      <c r="M1130" s="10">
        <v>500.18799999999999</v>
      </c>
      <c r="N1130" s="10">
        <v>500.18799999999999</v>
      </c>
      <c r="O1130" s="10">
        <v>338.62</v>
      </c>
      <c r="P1130" s="10">
        <v>47</v>
      </c>
      <c r="Q1130" s="10">
        <v>47</v>
      </c>
      <c r="R1130" s="10">
        <v>46</v>
      </c>
    </row>
    <row r="1131" spans="1:18" ht="17" customHeight="1" x14ac:dyDescent="0.15">
      <c r="A1131" s="11" t="s">
        <v>6004</v>
      </c>
      <c r="B1131" s="1" t="s">
        <v>6005</v>
      </c>
      <c r="C1131" s="11" t="s">
        <v>6006</v>
      </c>
      <c r="D1131" s="11" t="s">
        <v>6006</v>
      </c>
      <c r="E1131" s="11" t="s">
        <v>6007</v>
      </c>
      <c r="F1131" s="11" t="s">
        <v>6002</v>
      </c>
      <c r="G1131" s="11" t="s">
        <v>6008</v>
      </c>
      <c r="H1131" s="11" t="s">
        <v>5955</v>
      </c>
      <c r="I1131" s="11" t="str">
        <f>HYPERLINK("http://www.sandrovicari.it/","www.sandrovicari.it")</f>
        <v>www.sandrovicari.it</v>
      </c>
      <c r="J1131" s="12">
        <v>9953.348</v>
      </c>
      <c r="K1131" s="12">
        <v>9953.348</v>
      </c>
      <c r="L1131" s="13">
        <v>5984.4440000000004</v>
      </c>
      <c r="M1131" s="12">
        <v>83.998000000000005</v>
      </c>
      <c r="N1131" s="12">
        <v>83.998000000000005</v>
      </c>
      <c r="O1131" s="12">
        <v>-180.905</v>
      </c>
      <c r="P1131" s="12">
        <v>49</v>
      </c>
      <c r="Q1131" s="12">
        <v>49</v>
      </c>
      <c r="R1131" s="12">
        <v>44</v>
      </c>
    </row>
    <row r="1132" spans="1:18" ht="17" customHeight="1" x14ac:dyDescent="0.15">
      <c r="A1132" s="8" t="s">
        <v>6009</v>
      </c>
      <c r="B1132" s="9" t="s">
        <v>6010</v>
      </c>
      <c r="C1132" s="8" t="s">
        <v>6011</v>
      </c>
      <c r="D1132" s="8" t="s">
        <v>6011</v>
      </c>
      <c r="E1132" s="8" t="s">
        <v>6012</v>
      </c>
      <c r="F1132" s="8" t="s">
        <v>6002</v>
      </c>
      <c r="G1132" s="8" t="s">
        <v>6013</v>
      </c>
      <c r="H1132" s="8" t="s">
        <v>5961</v>
      </c>
      <c r="I1132" s="8" t="str">
        <f>HYPERLINK("http://www.micmarshoes.it/","www.micmarshoes.it")</f>
        <v>www.micmarshoes.it</v>
      </c>
      <c r="J1132" s="10">
        <v>7599.94</v>
      </c>
      <c r="K1132" s="10">
        <v>7599.94</v>
      </c>
      <c r="L1132" s="10">
        <v>5982.36</v>
      </c>
      <c r="M1132" s="10">
        <v>99.85</v>
      </c>
      <c r="N1132" s="10">
        <v>99.85</v>
      </c>
      <c r="O1132" s="10">
        <v>-323.67399999999998</v>
      </c>
      <c r="P1132" s="15" t="s">
        <v>5948</v>
      </c>
      <c r="Q1132" s="15" t="s">
        <v>5948</v>
      </c>
      <c r="R1132" s="10">
        <v>70</v>
      </c>
    </row>
    <row r="1133" spans="1:18" ht="17" customHeight="1" x14ac:dyDescent="0.15">
      <c r="A1133" s="11" t="s">
        <v>6014</v>
      </c>
      <c r="B1133" s="1" t="s">
        <v>6015</v>
      </c>
      <c r="C1133" s="11" t="s">
        <v>6016</v>
      </c>
      <c r="D1133" s="11" t="s">
        <v>6016</v>
      </c>
      <c r="E1133" s="11" t="s">
        <v>6017</v>
      </c>
      <c r="F1133" s="11" t="s">
        <v>6018</v>
      </c>
      <c r="G1133" s="11" t="s">
        <v>6019</v>
      </c>
      <c r="H1133" s="11" t="s">
        <v>5991</v>
      </c>
      <c r="I1133" s="11" t="str">
        <f>HYPERLINK("http://www.purotatto.com/","http://www.purotatto.com")</f>
        <v>http://www.purotatto.com</v>
      </c>
      <c r="J1133" s="12">
        <v>7702.1289999999999</v>
      </c>
      <c r="K1133" s="12">
        <v>7702.1289999999999</v>
      </c>
      <c r="L1133" s="13">
        <v>5980.7160000000003</v>
      </c>
      <c r="M1133" s="12">
        <v>159.25899999999999</v>
      </c>
      <c r="N1133" s="12">
        <v>159.25899999999999</v>
      </c>
      <c r="O1133" s="12">
        <v>5.1760000000000002</v>
      </c>
      <c r="P1133" s="12">
        <v>39</v>
      </c>
      <c r="Q1133" s="12">
        <v>39</v>
      </c>
      <c r="R1133" s="12">
        <v>36</v>
      </c>
    </row>
    <row r="1134" spans="1:18" ht="17" customHeight="1" x14ac:dyDescent="0.15">
      <c r="A1134" s="8" t="s">
        <v>6020</v>
      </c>
      <c r="B1134" s="9" t="s">
        <v>6021</v>
      </c>
      <c r="C1134" s="8" t="s">
        <v>6022</v>
      </c>
      <c r="D1134" s="8" t="s">
        <v>6022</v>
      </c>
      <c r="E1134" s="8" t="s">
        <v>6023</v>
      </c>
      <c r="F1134" s="8" t="s">
        <v>5945</v>
      </c>
      <c r="G1134" s="8" t="s">
        <v>6024</v>
      </c>
      <c r="H1134" s="8" t="s">
        <v>6025</v>
      </c>
      <c r="I1134" s="8" t="str">
        <f>HYPERLINK("http://www.livingkids.it/","www.livingkids.it")</f>
        <v>www.livingkids.it</v>
      </c>
      <c r="J1134" s="10">
        <v>5268.43</v>
      </c>
      <c r="K1134" s="10">
        <v>5268.43</v>
      </c>
      <c r="L1134" s="10">
        <v>5972.183</v>
      </c>
      <c r="M1134" s="10">
        <v>93.32</v>
      </c>
      <c r="N1134" s="10">
        <v>93.32</v>
      </c>
      <c r="O1134" s="10">
        <v>50.997999999999998</v>
      </c>
      <c r="P1134" s="10">
        <v>69</v>
      </c>
      <c r="Q1134" s="10">
        <v>69</v>
      </c>
      <c r="R1134" s="10">
        <v>57</v>
      </c>
    </row>
    <row r="1135" spans="1:18" ht="17" customHeight="1" x14ac:dyDescent="0.15">
      <c r="A1135" s="11" t="s">
        <v>6026</v>
      </c>
      <c r="B1135" s="1" t="s">
        <v>6027</v>
      </c>
      <c r="C1135" s="11" t="s">
        <v>6028</v>
      </c>
      <c r="D1135" s="11" t="s">
        <v>6028</v>
      </c>
      <c r="E1135" s="11" t="s">
        <v>6029</v>
      </c>
      <c r="F1135" s="11" t="s">
        <v>6030</v>
      </c>
      <c r="G1135" s="11" t="s">
        <v>6031</v>
      </c>
      <c r="H1135" s="11" t="s">
        <v>6032</v>
      </c>
      <c r="I1135" s="11" t="str">
        <f>HYPERLINK("http://www.cobas-accessori.it/","www.cobas-accessori.it")</f>
        <v>www.cobas-accessori.it</v>
      </c>
      <c r="J1135" s="12">
        <v>6359.2849999999999</v>
      </c>
      <c r="K1135" s="12">
        <v>6359.2849999999999</v>
      </c>
      <c r="L1135" s="13">
        <v>5956.9350000000004</v>
      </c>
      <c r="M1135" s="12">
        <v>471.92700000000002</v>
      </c>
      <c r="N1135" s="12">
        <v>471.92700000000002</v>
      </c>
      <c r="O1135" s="12">
        <v>301.75799999999998</v>
      </c>
      <c r="P1135" s="12">
        <v>30</v>
      </c>
      <c r="Q1135" s="12">
        <v>30</v>
      </c>
      <c r="R1135" s="12">
        <v>27</v>
      </c>
    </row>
    <row r="1136" spans="1:18" ht="17" customHeight="1" x14ac:dyDescent="0.15">
      <c r="A1136" s="8" t="s">
        <v>6033</v>
      </c>
      <c r="B1136" s="9" t="s">
        <v>6034</v>
      </c>
      <c r="C1136" s="8" t="s">
        <v>6035</v>
      </c>
      <c r="D1136" s="8" t="s">
        <v>6036</v>
      </c>
      <c r="E1136" s="8" t="s">
        <v>6037</v>
      </c>
      <c r="F1136" s="8" t="s">
        <v>5953</v>
      </c>
      <c r="G1136" s="8" t="s">
        <v>6038</v>
      </c>
      <c r="H1136" s="8" t="s">
        <v>5968</v>
      </c>
      <c r="I1136" s="8" t="str">
        <f>HYPERLINK("http://www.carliconc.net/","www.carliconc.net")</f>
        <v>www.carliconc.net</v>
      </c>
      <c r="J1136" s="10">
        <v>5447.13</v>
      </c>
      <c r="K1136" s="10">
        <v>5447.13</v>
      </c>
      <c r="L1136" s="10">
        <v>5953.8890000000001</v>
      </c>
      <c r="M1136" s="10">
        <v>-55.161999999999999</v>
      </c>
      <c r="N1136" s="10">
        <v>-55.161999999999999</v>
      </c>
      <c r="O1136" s="10">
        <v>148.30000000000001</v>
      </c>
      <c r="P1136" s="10">
        <v>18</v>
      </c>
      <c r="Q1136" s="10">
        <v>18</v>
      </c>
      <c r="R1136" s="10">
        <v>19</v>
      </c>
    </row>
    <row r="1137" spans="1:18" ht="17" customHeight="1" x14ac:dyDescent="0.15">
      <c r="A1137" s="11" t="s">
        <v>6039</v>
      </c>
      <c r="B1137" s="1" t="s">
        <v>6040</v>
      </c>
      <c r="C1137" s="11" t="s">
        <v>6041</v>
      </c>
      <c r="D1137" s="11" t="s">
        <v>6041</v>
      </c>
      <c r="E1137" s="11" t="s">
        <v>6042</v>
      </c>
      <c r="F1137" s="11" t="s">
        <v>5945</v>
      </c>
      <c r="G1137" s="11" t="s">
        <v>6043</v>
      </c>
      <c r="H1137" s="11" t="s">
        <v>5947</v>
      </c>
      <c r="I1137" s="11" t="str">
        <f>HYPERLINK("http://www.spacecollection.it/","www.spacecollection.it")</f>
        <v>www.spacecollection.it</v>
      </c>
      <c r="J1137" s="12">
        <v>7203.0749999999998</v>
      </c>
      <c r="K1137" s="12">
        <v>7203.0749999999998</v>
      </c>
      <c r="L1137" s="13">
        <v>5919.9570000000003</v>
      </c>
      <c r="M1137" s="12">
        <v>110.32599999999999</v>
      </c>
      <c r="N1137" s="12">
        <v>110.32599999999999</v>
      </c>
      <c r="O1137" s="12">
        <v>4186.835</v>
      </c>
      <c r="P1137" s="12">
        <v>18</v>
      </c>
      <c r="Q1137" s="12">
        <v>18</v>
      </c>
      <c r="R1137" s="12">
        <v>16</v>
      </c>
    </row>
    <row r="1138" spans="1:18" ht="29.5" customHeight="1" x14ac:dyDescent="0.15">
      <c r="A1138" s="8" t="s">
        <v>6044</v>
      </c>
      <c r="B1138" s="9" t="s">
        <v>6045</v>
      </c>
      <c r="C1138" s="8" t="s">
        <v>6046</v>
      </c>
      <c r="D1138" s="8" t="s">
        <v>6046</v>
      </c>
      <c r="E1138" s="8" t="s">
        <v>6047</v>
      </c>
      <c r="F1138" s="8" t="s">
        <v>5973</v>
      </c>
      <c r="G1138" s="8" t="s">
        <v>5990</v>
      </c>
      <c r="H1138" s="8" t="s">
        <v>5991</v>
      </c>
      <c r="I1138" s="8" t="str">
        <f>HYPERLINK("http://www.australian.it/","www.australian.it")</f>
        <v>www.australian.it</v>
      </c>
      <c r="J1138" s="10">
        <v>6320.5429999999997</v>
      </c>
      <c r="K1138" s="10">
        <v>6320.5429999999997</v>
      </c>
      <c r="L1138" s="10">
        <v>5911.09</v>
      </c>
      <c r="M1138" s="10">
        <v>232.839</v>
      </c>
      <c r="N1138" s="10">
        <v>232.839</v>
      </c>
      <c r="O1138" s="10">
        <v>138.19</v>
      </c>
      <c r="P1138" s="10">
        <v>34</v>
      </c>
      <c r="Q1138" s="10">
        <v>34</v>
      </c>
      <c r="R1138" s="10">
        <v>35</v>
      </c>
    </row>
    <row r="1139" spans="1:18" ht="17" customHeight="1" x14ac:dyDescent="0.15">
      <c r="A1139" s="11" t="s">
        <v>6048</v>
      </c>
      <c r="B1139" s="1" t="s">
        <v>6049</v>
      </c>
      <c r="C1139" s="11" t="s">
        <v>6050</v>
      </c>
      <c r="D1139" s="11" t="s">
        <v>6050</v>
      </c>
      <c r="E1139" s="11" t="s">
        <v>6051</v>
      </c>
      <c r="F1139" s="11" t="s">
        <v>5979</v>
      </c>
      <c r="G1139" s="11" t="s">
        <v>6052</v>
      </c>
      <c r="H1139" s="11" t="s">
        <v>6053</v>
      </c>
      <c r="I1139" s="11" t="str">
        <f>HYPERLINK("http://www.intimomare.it/","http://www.intimomare.it")</f>
        <v>http://www.intimomare.it</v>
      </c>
      <c r="J1139" s="12">
        <v>6217.9629999999997</v>
      </c>
      <c r="K1139" s="12">
        <v>6217.9629999999997</v>
      </c>
      <c r="L1139" s="13">
        <v>5908.26</v>
      </c>
      <c r="M1139" s="12">
        <v>18.539000000000001</v>
      </c>
      <c r="N1139" s="12">
        <v>18.539000000000001</v>
      </c>
      <c r="O1139" s="12">
        <v>-34.441000000000003</v>
      </c>
      <c r="P1139" s="12">
        <v>59</v>
      </c>
      <c r="Q1139" s="12">
        <v>59</v>
      </c>
      <c r="R1139" s="12">
        <v>54</v>
      </c>
    </row>
    <row r="1140" spans="1:18" ht="17" customHeight="1" x14ac:dyDescent="0.15">
      <c r="A1140" s="8" t="s">
        <v>6054</v>
      </c>
      <c r="B1140" s="9" t="s">
        <v>6055</v>
      </c>
      <c r="C1140" s="8" t="s">
        <v>6056</v>
      </c>
      <c r="D1140" s="8" t="s">
        <v>6056</v>
      </c>
      <c r="E1140" s="8" t="s">
        <v>6057</v>
      </c>
      <c r="F1140" s="8" t="s">
        <v>5979</v>
      </c>
      <c r="G1140" s="8" t="s">
        <v>6013</v>
      </c>
      <c r="H1140" s="8" t="s">
        <v>5961</v>
      </c>
      <c r="I1140" s="8" t="str">
        <f>HYPERLINK("http://webdesign-grafica.it/","webdesign-grafica.it")</f>
        <v>webdesign-grafica.it</v>
      </c>
      <c r="J1140" s="10">
        <v>5023.9849999999997</v>
      </c>
      <c r="K1140" s="10">
        <v>5023.9849999999997</v>
      </c>
      <c r="L1140" s="10">
        <v>5907.9260000000004</v>
      </c>
      <c r="M1140" s="10">
        <v>49.106000000000002</v>
      </c>
      <c r="N1140" s="10">
        <v>49.106000000000002</v>
      </c>
      <c r="O1140" s="10">
        <v>62.293999999999997</v>
      </c>
      <c r="P1140" s="10">
        <v>28</v>
      </c>
      <c r="Q1140" s="10">
        <v>28</v>
      </c>
      <c r="R1140" s="10">
        <v>16</v>
      </c>
    </row>
    <row r="1141" spans="1:18" ht="17" customHeight="1" x14ac:dyDescent="0.15">
      <c r="A1141" s="11" t="s">
        <v>6058</v>
      </c>
      <c r="B1141" s="1" t="s">
        <v>6059</v>
      </c>
      <c r="C1141" s="11" t="s">
        <v>6060</v>
      </c>
      <c r="D1141" s="11" t="s">
        <v>6060</v>
      </c>
      <c r="E1141" s="11" t="s">
        <v>6061</v>
      </c>
      <c r="F1141" s="11" t="s">
        <v>6030</v>
      </c>
      <c r="G1141" s="11" t="s">
        <v>6062</v>
      </c>
      <c r="H1141" s="11" t="s">
        <v>5991</v>
      </c>
      <c r="I1141" s="11" t="str">
        <f>HYPERLINK("http://catalog.cibio.it/","catalog.cibio.it")</f>
        <v>catalog.cibio.it</v>
      </c>
      <c r="J1141" s="12">
        <v>6706.9639999999999</v>
      </c>
      <c r="K1141" s="12">
        <v>6706.9639999999999</v>
      </c>
      <c r="L1141" s="13">
        <v>5898.0929999999998</v>
      </c>
      <c r="M1141" s="12">
        <v>234.47499999999999</v>
      </c>
      <c r="N1141" s="12">
        <v>234.47499999999999</v>
      </c>
      <c r="O1141" s="12">
        <v>168.88200000000001</v>
      </c>
      <c r="P1141" s="12">
        <v>29</v>
      </c>
      <c r="Q1141" s="12">
        <v>29</v>
      </c>
      <c r="R1141" s="12">
        <v>28</v>
      </c>
    </row>
    <row r="1142" spans="1:18" ht="17" customHeight="1" x14ac:dyDescent="0.15">
      <c r="A1142" s="8" t="s">
        <v>6063</v>
      </c>
      <c r="B1142" s="9" t="s">
        <v>6064</v>
      </c>
      <c r="C1142" s="8" t="s">
        <v>6065</v>
      </c>
      <c r="D1142" s="8" t="s">
        <v>6065</v>
      </c>
      <c r="E1142" s="8" t="s">
        <v>6066</v>
      </c>
      <c r="F1142" s="8" t="s">
        <v>6002</v>
      </c>
      <c r="G1142" s="8" t="s">
        <v>6067</v>
      </c>
      <c r="H1142" s="8" t="s">
        <v>6068</v>
      </c>
      <c r="I1142" s="8" t="str">
        <f>HYPERLINK("http://www.rossanobisconti.it/","http://www.rossanobisconti.it")</f>
        <v>http://www.rossanobisconti.it</v>
      </c>
      <c r="J1142" s="10">
        <v>6370.88</v>
      </c>
      <c r="K1142" s="10">
        <v>6370.88</v>
      </c>
      <c r="L1142" s="10">
        <v>5894.549</v>
      </c>
      <c r="M1142" s="10">
        <v>-98.153999999999996</v>
      </c>
      <c r="N1142" s="10">
        <v>-98.153999999999996</v>
      </c>
      <c r="O1142" s="10">
        <v>8.5239999999999991</v>
      </c>
      <c r="P1142" s="10">
        <v>16</v>
      </c>
      <c r="Q1142" s="10">
        <v>16</v>
      </c>
      <c r="R1142" s="10">
        <v>17</v>
      </c>
    </row>
    <row r="1143" spans="1:18" ht="17" customHeight="1" x14ac:dyDescent="0.15">
      <c r="A1143" s="11" t="s">
        <v>6069</v>
      </c>
      <c r="B1143" s="1" t="s">
        <v>6070</v>
      </c>
      <c r="C1143" s="11" t="s">
        <v>6071</v>
      </c>
      <c r="D1143" s="11" t="s">
        <v>6071</v>
      </c>
      <c r="E1143" s="11" t="s">
        <v>6072</v>
      </c>
      <c r="F1143" s="11" t="s">
        <v>6073</v>
      </c>
      <c r="G1143" s="11" t="s">
        <v>6038</v>
      </c>
      <c r="H1143" s="11" t="s">
        <v>5968</v>
      </c>
      <c r="I1143" s="11" t="str">
        <f>HYPERLINK("http://www.solettificioilveliero-calcinaia.it/","www.solettificioilveliero-calcinaia.it")</f>
        <v>www.solettificioilveliero-calcinaia.it</v>
      </c>
      <c r="J1143" s="12">
        <v>5093.2439999999997</v>
      </c>
      <c r="K1143" s="12">
        <v>5093.2439999999997</v>
      </c>
      <c r="L1143" s="13">
        <v>5874.66</v>
      </c>
      <c r="M1143" s="12">
        <v>662.18899999999996</v>
      </c>
      <c r="N1143" s="12">
        <v>662.18899999999996</v>
      </c>
      <c r="O1143" s="12">
        <v>1173.7819999999999</v>
      </c>
      <c r="P1143" s="12">
        <v>39</v>
      </c>
      <c r="Q1143" s="12">
        <v>39</v>
      </c>
      <c r="R1143" s="12">
        <v>39</v>
      </c>
    </row>
    <row r="1144" spans="1:18" ht="17" customHeight="1" x14ac:dyDescent="0.15">
      <c r="A1144" s="8" t="s">
        <v>6074</v>
      </c>
      <c r="B1144" s="9" t="s">
        <v>6075</v>
      </c>
      <c r="C1144" s="8" t="s">
        <v>6076</v>
      </c>
      <c r="D1144" s="8" t="s">
        <v>6076</v>
      </c>
      <c r="E1144" s="8" t="s">
        <v>6077</v>
      </c>
      <c r="F1144" s="8" t="s">
        <v>5966</v>
      </c>
      <c r="G1144" s="8" t="s">
        <v>5967</v>
      </c>
      <c r="H1144" s="8" t="s">
        <v>5968</v>
      </c>
      <c r="I1144" s="8" t="str">
        <f>HYPERLINK("http://www.cristianspa.com/","www.cristianspa.com")</f>
        <v>www.cristianspa.com</v>
      </c>
      <c r="J1144" s="10">
        <v>6087.8950000000004</v>
      </c>
      <c r="K1144" s="10">
        <v>6087.8950000000004</v>
      </c>
      <c r="L1144" s="10">
        <v>5874.3969999999999</v>
      </c>
      <c r="M1144" s="10">
        <v>891.85</v>
      </c>
      <c r="N1144" s="10">
        <v>891.85</v>
      </c>
      <c r="O1144" s="10">
        <v>650.58799999999997</v>
      </c>
      <c r="P1144" s="10">
        <v>9</v>
      </c>
      <c r="Q1144" s="10">
        <v>9</v>
      </c>
      <c r="R1144" s="10">
        <v>11</v>
      </c>
    </row>
    <row r="1145" spans="1:18" ht="29.5" customHeight="1" x14ac:dyDescent="0.15">
      <c r="A1145" s="11" t="s">
        <v>6078</v>
      </c>
      <c r="B1145" s="1" t="s">
        <v>6079</v>
      </c>
      <c r="C1145" s="11" t="s">
        <v>6080</v>
      </c>
      <c r="D1145" s="11" t="s">
        <v>6080</v>
      </c>
      <c r="E1145" s="11" t="s">
        <v>6081</v>
      </c>
      <c r="F1145" s="11" t="s">
        <v>6082</v>
      </c>
      <c r="G1145" s="11" t="s">
        <v>5967</v>
      </c>
      <c r="H1145" s="11" t="s">
        <v>5968</v>
      </c>
      <c r="I1145" s="11" t="str">
        <f>HYPERLINK("http://notorius.it/","notorius.it")</f>
        <v>notorius.it</v>
      </c>
      <c r="J1145" s="12">
        <v>6820.1580000000004</v>
      </c>
      <c r="K1145" s="12">
        <v>6820.1580000000004</v>
      </c>
      <c r="L1145" s="13">
        <v>5866.0230000000001</v>
      </c>
      <c r="M1145" s="12">
        <v>852.26400000000001</v>
      </c>
      <c r="N1145" s="12">
        <v>852.26400000000001</v>
      </c>
      <c r="O1145" s="12">
        <v>528.13699999999994</v>
      </c>
      <c r="P1145" s="12">
        <v>44</v>
      </c>
      <c r="Q1145" s="12">
        <v>44</v>
      </c>
      <c r="R1145" s="12">
        <v>40</v>
      </c>
    </row>
    <row r="1146" spans="1:18" ht="17" customHeight="1" x14ac:dyDescent="0.15">
      <c r="A1146" s="8" t="s">
        <v>6083</v>
      </c>
      <c r="B1146" s="9" t="s">
        <v>6084</v>
      </c>
      <c r="C1146" s="8" t="s">
        <v>6085</v>
      </c>
      <c r="D1146" s="8" t="s">
        <v>6085</v>
      </c>
      <c r="E1146" s="8" t="s">
        <v>6086</v>
      </c>
      <c r="F1146" s="8" t="s">
        <v>5945</v>
      </c>
      <c r="G1146" s="8" t="s">
        <v>6031</v>
      </c>
      <c r="H1146" s="8" t="s">
        <v>6032</v>
      </c>
      <c r="I1146" s="8" t="str">
        <f>HYPERLINK("http://teleriazed.com/","teleriazed.com")</f>
        <v>teleriazed.com</v>
      </c>
      <c r="J1146" s="10">
        <v>5551.2849999999999</v>
      </c>
      <c r="K1146" s="10">
        <v>5551.2849999999999</v>
      </c>
      <c r="L1146" s="10">
        <v>5859.2830000000004</v>
      </c>
      <c r="M1146" s="10">
        <v>11.959</v>
      </c>
      <c r="N1146" s="10">
        <v>11.959</v>
      </c>
      <c r="O1146" s="10">
        <v>-29.591000000000001</v>
      </c>
      <c r="P1146" s="10">
        <v>1</v>
      </c>
      <c r="Q1146" s="10">
        <v>1</v>
      </c>
      <c r="R1146" s="10">
        <v>1</v>
      </c>
    </row>
    <row r="1147" spans="1:18" ht="17" customHeight="1" x14ac:dyDescent="0.15">
      <c r="A1147" s="11" t="s">
        <v>6087</v>
      </c>
      <c r="B1147" s="1" t="s">
        <v>6088</v>
      </c>
      <c r="C1147" s="11" t="s">
        <v>6089</v>
      </c>
      <c r="D1147" s="11" t="s">
        <v>6089</v>
      </c>
      <c r="E1147" s="11" t="s">
        <v>6090</v>
      </c>
      <c r="F1147" s="11" t="s">
        <v>6030</v>
      </c>
      <c r="G1147" s="11" t="s">
        <v>5967</v>
      </c>
      <c r="H1147" s="11" t="s">
        <v>5968</v>
      </c>
      <c r="I1147" s="11" t="str">
        <f>HYPERLINK("http://www.nefesrl.it/","www.nefesrl.it")</f>
        <v>www.nefesrl.it</v>
      </c>
      <c r="J1147" s="12">
        <v>6920.549</v>
      </c>
      <c r="K1147" s="12">
        <v>6920.549</v>
      </c>
      <c r="L1147" s="13">
        <v>5847.9520000000002</v>
      </c>
      <c r="M1147" s="12">
        <v>439.69099999999997</v>
      </c>
      <c r="N1147" s="12">
        <v>439.69099999999997</v>
      </c>
      <c r="O1147" s="12">
        <v>474.05399999999997</v>
      </c>
      <c r="P1147" s="14" t="s">
        <v>5948</v>
      </c>
      <c r="Q1147" s="14" t="s">
        <v>5948</v>
      </c>
      <c r="R1147" s="12">
        <v>64</v>
      </c>
    </row>
    <row r="1148" spans="1:18" ht="29.5" customHeight="1" x14ac:dyDescent="0.15">
      <c r="A1148" s="8" t="s">
        <v>6091</v>
      </c>
      <c r="B1148" s="9" t="s">
        <v>6092</v>
      </c>
      <c r="C1148" s="8" t="s">
        <v>6093</v>
      </c>
      <c r="D1148" s="8" t="s">
        <v>6093</v>
      </c>
      <c r="E1148" s="8" t="s">
        <v>6094</v>
      </c>
      <c r="F1148" s="8" t="s">
        <v>6002</v>
      </c>
      <c r="G1148" s="8" t="s">
        <v>6067</v>
      </c>
      <c r="H1148" s="8" t="s">
        <v>6068</v>
      </c>
      <c r="I1148" s="8" t="str">
        <f>HYPERLINK("http://www.silvanosassetti.it/","www.silvanosassetti.it")</f>
        <v>www.silvanosassetti.it</v>
      </c>
      <c r="J1148" s="10">
        <v>6629.5190000000002</v>
      </c>
      <c r="K1148" s="10">
        <v>6629.5190000000002</v>
      </c>
      <c r="L1148" s="10">
        <v>5839.1660000000002</v>
      </c>
      <c r="M1148" s="10">
        <v>55.018000000000001</v>
      </c>
      <c r="N1148" s="10">
        <v>55.018000000000001</v>
      </c>
      <c r="O1148" s="10">
        <v>21.588999999999999</v>
      </c>
      <c r="P1148" s="10">
        <v>38</v>
      </c>
      <c r="Q1148" s="10">
        <v>38</v>
      </c>
      <c r="R1148" s="10">
        <v>40</v>
      </c>
    </row>
    <row r="1149" spans="1:18" ht="17" customHeight="1" x14ac:dyDescent="0.15">
      <c r="A1149" s="11" t="s">
        <v>6095</v>
      </c>
      <c r="B1149" s="1" t="s">
        <v>6096</v>
      </c>
      <c r="C1149" s="11" t="s">
        <v>6097</v>
      </c>
      <c r="D1149" s="11" t="s">
        <v>6097</v>
      </c>
      <c r="E1149" s="11" t="s">
        <v>6098</v>
      </c>
      <c r="F1149" s="11" t="s">
        <v>6002</v>
      </c>
      <c r="G1149" s="11" t="s">
        <v>6067</v>
      </c>
      <c r="H1149" s="11" t="s">
        <v>6068</v>
      </c>
      <c r="I1149" s="11" t="str">
        <f>HYPERLINK("http://lunellashoes.it/","lunellashoes.it")</f>
        <v>lunellashoes.it</v>
      </c>
      <c r="J1149" s="12">
        <v>5298.1869999999999</v>
      </c>
      <c r="K1149" s="12">
        <v>5298.1869999999999</v>
      </c>
      <c r="L1149" s="13">
        <v>5830.7370000000001</v>
      </c>
      <c r="M1149" s="12">
        <v>6.968</v>
      </c>
      <c r="N1149" s="12">
        <v>6.968</v>
      </c>
      <c r="O1149" s="12">
        <v>-24.986000000000001</v>
      </c>
      <c r="P1149" s="12">
        <v>41</v>
      </c>
      <c r="Q1149" s="12">
        <v>41</v>
      </c>
      <c r="R1149" s="12">
        <v>40</v>
      </c>
    </row>
    <row r="1150" spans="1:18" ht="29.5" customHeight="1" x14ac:dyDescent="0.15">
      <c r="A1150" s="8" t="s">
        <v>6099</v>
      </c>
      <c r="B1150" s="9" t="s">
        <v>6100</v>
      </c>
      <c r="C1150" s="8" t="s">
        <v>6101</v>
      </c>
      <c r="D1150" s="8" t="s">
        <v>6101</v>
      </c>
      <c r="E1150" s="8" t="s">
        <v>6102</v>
      </c>
      <c r="F1150" s="8" t="s">
        <v>6002</v>
      </c>
      <c r="G1150" s="8" t="s">
        <v>6103</v>
      </c>
      <c r="H1150" s="8" t="s">
        <v>6068</v>
      </c>
      <c r="I1150" s="8" t="str">
        <f>HYPERLINK("http://www.napoleoni.it/","www.napoleoni.it")</f>
        <v>www.napoleoni.it</v>
      </c>
      <c r="J1150" s="10">
        <v>4194.1139999999996</v>
      </c>
      <c r="K1150" s="10">
        <v>4194.1139999999996</v>
      </c>
      <c r="L1150" s="10">
        <v>5828.26</v>
      </c>
      <c r="M1150" s="10">
        <v>-56.616999999999997</v>
      </c>
      <c r="N1150" s="10">
        <v>-56.616999999999997</v>
      </c>
      <c r="O1150" s="10">
        <v>24.841999999999999</v>
      </c>
      <c r="P1150" s="10">
        <v>42</v>
      </c>
      <c r="Q1150" s="10">
        <v>42</v>
      </c>
      <c r="R1150" s="10">
        <v>43</v>
      </c>
    </row>
    <row r="1151" spans="1:18" ht="17" customHeight="1" x14ac:dyDescent="0.15">
      <c r="A1151" s="11" t="s">
        <v>6104</v>
      </c>
      <c r="B1151" s="1" t="s">
        <v>6105</v>
      </c>
      <c r="C1151" s="11" t="s">
        <v>6106</v>
      </c>
      <c r="D1151" s="11" t="s">
        <v>6107</v>
      </c>
      <c r="E1151" s="11" t="s">
        <v>6108</v>
      </c>
      <c r="F1151" s="11" t="s">
        <v>6109</v>
      </c>
      <c r="G1151" s="11" t="s">
        <v>6043</v>
      </c>
      <c r="H1151" s="11" t="s">
        <v>5947</v>
      </c>
      <c r="I1151" s="11" t="str">
        <f>HYPERLINK("http://www.calandrini.it/","www.calandrini.it")</f>
        <v>www.calandrini.it</v>
      </c>
      <c r="J1151" s="12">
        <v>5898.1639999999998</v>
      </c>
      <c r="K1151" s="12">
        <v>5898.1639999999998</v>
      </c>
      <c r="L1151" s="13">
        <v>5814.5649999999996</v>
      </c>
      <c r="M1151" s="12">
        <v>152.16900000000001</v>
      </c>
      <c r="N1151" s="12">
        <v>152.16900000000001</v>
      </c>
      <c r="O1151" s="12">
        <v>54.32</v>
      </c>
      <c r="P1151" s="12">
        <v>29</v>
      </c>
      <c r="Q1151" s="12">
        <v>29</v>
      </c>
      <c r="R1151" s="12">
        <v>29</v>
      </c>
    </row>
    <row r="1152" spans="1:18" ht="29.5" customHeight="1" x14ac:dyDescent="0.15">
      <c r="A1152" s="8" t="s">
        <v>6110</v>
      </c>
      <c r="B1152" s="9" t="s">
        <v>6111</v>
      </c>
      <c r="C1152" s="8" t="s">
        <v>6112</v>
      </c>
      <c r="D1152" s="8" t="s">
        <v>6112</v>
      </c>
      <c r="E1152" s="8" t="s">
        <v>6113</v>
      </c>
      <c r="F1152" s="8" t="s">
        <v>6082</v>
      </c>
      <c r="G1152" s="8" t="s">
        <v>6114</v>
      </c>
      <c r="H1152" s="8" t="s">
        <v>5991</v>
      </c>
      <c r="I1152" s="8" t="str">
        <f>HYPERLINK("http://www.maglificiovigano.it/","www.maglificiovigano.it")</f>
        <v>www.maglificiovigano.it</v>
      </c>
      <c r="J1152" s="10">
        <v>5284.058</v>
      </c>
      <c r="K1152" s="10">
        <v>5284.058</v>
      </c>
      <c r="L1152" s="10">
        <v>5805.13</v>
      </c>
      <c r="M1152" s="10">
        <v>1173.971</v>
      </c>
      <c r="N1152" s="10">
        <v>1173.971</v>
      </c>
      <c r="O1152" s="10">
        <v>1488.954</v>
      </c>
      <c r="P1152" s="10">
        <v>28</v>
      </c>
      <c r="Q1152" s="10">
        <v>28</v>
      </c>
      <c r="R1152" s="10">
        <v>27</v>
      </c>
    </row>
    <row r="1153" spans="1:18" ht="17" customHeight="1" x14ac:dyDescent="0.15">
      <c r="A1153" s="11" t="s">
        <v>6115</v>
      </c>
      <c r="B1153" s="1" t="s">
        <v>6116</v>
      </c>
      <c r="C1153" s="11" t="s">
        <v>6117</v>
      </c>
      <c r="D1153" s="11" t="s">
        <v>6117</v>
      </c>
      <c r="E1153" s="11" t="s">
        <v>6118</v>
      </c>
      <c r="F1153" s="11" t="s">
        <v>6119</v>
      </c>
      <c r="G1153" s="11" t="s">
        <v>6120</v>
      </c>
      <c r="H1153" s="11" t="s">
        <v>6121</v>
      </c>
      <c r="I1153" s="11" t="str">
        <f>HYPERLINK("http://www.afgitaly.com/","www.afgitaly.com")</f>
        <v>www.afgitaly.com</v>
      </c>
      <c r="J1153" s="12">
        <v>5864.259</v>
      </c>
      <c r="K1153" s="12">
        <v>5864.259</v>
      </c>
      <c r="L1153" s="13">
        <v>5802.4009999999998</v>
      </c>
      <c r="M1153" s="12">
        <v>10.717000000000001</v>
      </c>
      <c r="N1153" s="12">
        <v>10.717000000000001</v>
      </c>
      <c r="O1153" s="12">
        <v>46.478000000000002</v>
      </c>
      <c r="P1153" s="12">
        <v>27</v>
      </c>
      <c r="Q1153" s="12">
        <v>27</v>
      </c>
      <c r="R1153" s="12">
        <v>23</v>
      </c>
    </row>
    <row r="1154" spans="1:18" ht="17" customHeight="1" x14ac:dyDescent="0.15">
      <c r="A1154" s="8" t="s">
        <v>6122</v>
      </c>
      <c r="B1154" s="9" t="s">
        <v>6123</v>
      </c>
      <c r="C1154" s="8" t="s">
        <v>6124</v>
      </c>
      <c r="D1154" s="8" t="s">
        <v>6124</v>
      </c>
      <c r="E1154" s="8" t="s">
        <v>6125</v>
      </c>
      <c r="F1154" s="8" t="s">
        <v>6126</v>
      </c>
      <c r="G1154" s="8" t="s">
        <v>6127</v>
      </c>
      <c r="H1154" s="8" t="s">
        <v>6128</v>
      </c>
      <c r="I1154" s="8" t="str">
        <f>HYPERLINK("http://www.pissei.com/","www.pissei.com")</f>
        <v>www.pissei.com</v>
      </c>
      <c r="J1154" s="10">
        <v>5998.2749999999996</v>
      </c>
      <c r="K1154" s="10">
        <v>5998.2749999999996</v>
      </c>
      <c r="L1154" s="10">
        <v>5780.3689999999997</v>
      </c>
      <c r="M1154" s="10">
        <v>-549.12</v>
      </c>
      <c r="N1154" s="10">
        <v>-549.12</v>
      </c>
      <c r="O1154" s="10">
        <v>-37.520000000000003</v>
      </c>
      <c r="P1154" s="10">
        <v>21</v>
      </c>
      <c r="Q1154" s="10">
        <v>21</v>
      </c>
      <c r="R1154" s="10">
        <v>22</v>
      </c>
    </row>
    <row r="1155" spans="1:18" ht="17" customHeight="1" x14ac:dyDescent="0.15">
      <c r="A1155" s="11" t="s">
        <v>6129</v>
      </c>
      <c r="B1155" s="1" t="s">
        <v>6130</v>
      </c>
      <c r="C1155" s="11" t="s">
        <v>6131</v>
      </c>
      <c r="D1155" s="11" t="s">
        <v>6131</v>
      </c>
      <c r="E1155" s="11" t="s">
        <v>6132</v>
      </c>
      <c r="F1155" s="11" t="s">
        <v>6133</v>
      </c>
      <c r="G1155" s="11" t="s">
        <v>6134</v>
      </c>
      <c r="H1155" s="11" t="s">
        <v>6135</v>
      </c>
      <c r="I1155" s="11" t="str">
        <f>HYPERLINK("http://www.puntozeromilano.it/","www.puntozeromilano.it")</f>
        <v>www.puntozeromilano.it</v>
      </c>
      <c r="J1155" s="12">
        <v>11064.21</v>
      </c>
      <c r="K1155" s="12">
        <v>11064.21</v>
      </c>
      <c r="L1155" s="13">
        <v>5772.7690000000002</v>
      </c>
      <c r="M1155" s="12">
        <v>124.13800000000001</v>
      </c>
      <c r="N1155" s="12">
        <v>124.13800000000001</v>
      </c>
      <c r="O1155" s="12">
        <v>-161.041</v>
      </c>
      <c r="P1155" s="12">
        <v>68</v>
      </c>
      <c r="Q1155" s="12">
        <v>68</v>
      </c>
      <c r="R1155" s="12">
        <v>63</v>
      </c>
    </row>
    <row r="1156" spans="1:18" ht="17" customHeight="1" x14ac:dyDescent="0.15">
      <c r="A1156" s="8" t="s">
        <v>6136</v>
      </c>
      <c r="B1156" s="9" t="s">
        <v>6137</v>
      </c>
      <c r="C1156" s="8" t="s">
        <v>6138</v>
      </c>
      <c r="D1156" s="8" t="s">
        <v>6138</v>
      </c>
      <c r="E1156" s="8" t="s">
        <v>6139</v>
      </c>
      <c r="F1156" s="8" t="s">
        <v>6140</v>
      </c>
      <c r="G1156" s="8" t="s">
        <v>6141</v>
      </c>
      <c r="H1156" s="8" t="s">
        <v>6142</v>
      </c>
      <c r="I1156" s="8" t="str">
        <f>HYPERLINK("http://www.teretbantine.com/","www.teretbantine.com")</f>
        <v>www.teretbantine.com</v>
      </c>
      <c r="J1156" s="10">
        <v>5900.8959999999997</v>
      </c>
      <c r="K1156" s="10">
        <v>5900.8959999999997</v>
      </c>
      <c r="L1156" s="10">
        <v>5761.174</v>
      </c>
      <c r="M1156" s="10">
        <v>66.960999999999999</v>
      </c>
      <c r="N1156" s="10">
        <v>66.960999999999999</v>
      </c>
      <c r="O1156" s="10">
        <v>-14.253</v>
      </c>
      <c r="P1156" s="10">
        <v>32</v>
      </c>
      <c r="Q1156" s="10">
        <v>32</v>
      </c>
      <c r="R1156" s="10">
        <v>28</v>
      </c>
    </row>
    <row r="1157" spans="1:18" ht="17" customHeight="1" x14ac:dyDescent="0.15">
      <c r="A1157" s="11" t="s">
        <v>6143</v>
      </c>
      <c r="B1157" s="1" t="s">
        <v>6144</v>
      </c>
      <c r="C1157" s="11" t="s">
        <v>6145</v>
      </c>
      <c r="D1157" s="11" t="s">
        <v>6145</v>
      </c>
      <c r="E1157" s="11" t="s">
        <v>6146</v>
      </c>
      <c r="F1157" s="11" t="s">
        <v>6119</v>
      </c>
      <c r="G1157" s="11" t="s">
        <v>6147</v>
      </c>
      <c r="H1157" s="11" t="s">
        <v>6148</v>
      </c>
      <c r="I1157" s="11" t="str">
        <f>HYPERLINK("http://www.sabatinicalzature.com/","www.sabatinicalzature.com")</f>
        <v>www.sabatinicalzature.com</v>
      </c>
      <c r="J1157" s="12">
        <v>5322.6329999999998</v>
      </c>
      <c r="K1157" s="12">
        <v>5322.6329999999998</v>
      </c>
      <c r="L1157" s="13">
        <v>5752.7579999999998</v>
      </c>
      <c r="M1157" s="12">
        <v>-399.44499999999999</v>
      </c>
      <c r="N1157" s="12">
        <v>-399.44499999999999</v>
      </c>
      <c r="O1157" s="12">
        <v>171.53299999999999</v>
      </c>
      <c r="P1157" s="12">
        <v>20</v>
      </c>
      <c r="Q1157" s="12">
        <v>20</v>
      </c>
      <c r="R1157" s="12">
        <v>19</v>
      </c>
    </row>
    <row r="1158" spans="1:18" ht="17" customHeight="1" x14ac:dyDescent="0.15">
      <c r="A1158" s="8" t="s">
        <v>6149</v>
      </c>
      <c r="B1158" s="9" t="s">
        <v>6150</v>
      </c>
      <c r="C1158" s="8" t="s">
        <v>6151</v>
      </c>
      <c r="D1158" s="8" t="s">
        <v>6151</v>
      </c>
      <c r="E1158" s="8" t="s">
        <v>6152</v>
      </c>
      <c r="F1158" s="8" t="s">
        <v>6140</v>
      </c>
      <c r="G1158" s="8" t="s">
        <v>6153</v>
      </c>
      <c r="H1158" s="8" t="s">
        <v>6154</v>
      </c>
      <c r="I1158" s="8" t="str">
        <f>HYPERLINK("http://www.cadeisarti.com/","www.cadeisarti.com")</f>
        <v>www.cadeisarti.com</v>
      </c>
      <c r="J1158" s="10">
        <v>2780.027</v>
      </c>
      <c r="K1158" s="10">
        <v>2780.027</v>
      </c>
      <c r="L1158" s="10">
        <v>5723.9920000000002</v>
      </c>
      <c r="M1158" s="10">
        <v>323.58999999999997</v>
      </c>
      <c r="N1158" s="10">
        <v>323.58999999999997</v>
      </c>
      <c r="O1158" s="10">
        <v>-267.642</v>
      </c>
      <c r="P1158" s="10">
        <v>17</v>
      </c>
      <c r="Q1158" s="10">
        <v>17</v>
      </c>
      <c r="R1158" s="10">
        <v>17</v>
      </c>
    </row>
    <row r="1159" spans="1:18" ht="17" customHeight="1" x14ac:dyDescent="0.15">
      <c r="A1159" s="11" t="s">
        <v>6155</v>
      </c>
      <c r="B1159" s="1" t="s">
        <v>6156</v>
      </c>
      <c r="C1159" s="11" t="s">
        <v>6157</v>
      </c>
      <c r="D1159" s="11" t="s">
        <v>6157</v>
      </c>
      <c r="E1159" s="11" t="s">
        <v>6158</v>
      </c>
      <c r="F1159" s="11" t="s">
        <v>6159</v>
      </c>
      <c r="G1159" s="11" t="s">
        <v>6160</v>
      </c>
      <c r="H1159" s="11" t="s">
        <v>6154</v>
      </c>
      <c r="I1159" s="11" t="str">
        <f>HYPERLINK("http://www.conceriaemmedue.com/","www.conceriaemmedue.com")</f>
        <v>www.conceriaemmedue.com</v>
      </c>
      <c r="J1159" s="12">
        <v>4305.8310000000001</v>
      </c>
      <c r="K1159" s="12">
        <v>4305.8310000000001</v>
      </c>
      <c r="L1159" s="13">
        <v>5717.5910000000003</v>
      </c>
      <c r="M1159" s="12">
        <v>361.125</v>
      </c>
      <c r="N1159" s="12">
        <v>361.125</v>
      </c>
      <c r="O1159" s="12">
        <v>641.75</v>
      </c>
      <c r="P1159" s="12">
        <v>10</v>
      </c>
      <c r="Q1159" s="12">
        <v>10</v>
      </c>
      <c r="R1159" s="12">
        <v>12</v>
      </c>
    </row>
    <row r="1160" spans="1:18" ht="29.5" customHeight="1" x14ac:dyDescent="0.15">
      <c r="A1160" s="8" t="s">
        <v>6161</v>
      </c>
      <c r="B1160" s="9" t="s">
        <v>6162</v>
      </c>
      <c r="C1160" s="8" t="s">
        <v>6163</v>
      </c>
      <c r="D1160" s="8" t="s">
        <v>6163</v>
      </c>
      <c r="E1160" s="8" t="s">
        <v>6164</v>
      </c>
      <c r="F1160" s="8" t="s">
        <v>6119</v>
      </c>
      <c r="G1160" s="8" t="s">
        <v>6165</v>
      </c>
      <c r="H1160" s="8" t="s">
        <v>6166</v>
      </c>
      <c r="I1160" s="8" t="str">
        <f>HYPERLINK("http://www.ottierre.it/","www.ottierre.it")</f>
        <v>www.ottierre.it</v>
      </c>
      <c r="J1160" s="10">
        <v>6147.6279999999997</v>
      </c>
      <c r="K1160" s="10">
        <v>6147.6279999999997</v>
      </c>
      <c r="L1160" s="10">
        <v>5713.6049999999996</v>
      </c>
      <c r="M1160" s="10">
        <v>172.68600000000001</v>
      </c>
      <c r="N1160" s="10">
        <v>172.68600000000001</v>
      </c>
      <c r="O1160" s="10">
        <v>-21.21</v>
      </c>
      <c r="P1160" s="10">
        <v>21</v>
      </c>
      <c r="Q1160" s="10">
        <v>21</v>
      </c>
      <c r="R1160" s="10">
        <v>21</v>
      </c>
    </row>
    <row r="1161" spans="1:18" ht="17" customHeight="1" x14ac:dyDescent="0.15">
      <c r="A1161" s="11" t="s">
        <v>6167</v>
      </c>
      <c r="B1161" s="1" t="s">
        <v>6168</v>
      </c>
      <c r="C1161" s="11" t="s">
        <v>6169</v>
      </c>
      <c r="D1161" s="11" t="s">
        <v>6169</v>
      </c>
      <c r="E1161" s="11" t="s">
        <v>6170</v>
      </c>
      <c r="F1161" s="11" t="s">
        <v>6171</v>
      </c>
      <c r="G1161" s="11" t="s">
        <v>6172</v>
      </c>
      <c r="H1161" s="11" t="s">
        <v>6135</v>
      </c>
      <c r="I1161" s="11" t="str">
        <f>HYPERLINK("http://www.effebiwear.it/","www.effebiwear.it")</f>
        <v>www.effebiwear.it</v>
      </c>
      <c r="J1161" s="12">
        <v>8352.0139999999992</v>
      </c>
      <c r="K1161" s="12">
        <v>8352.0139999999992</v>
      </c>
      <c r="L1161" s="13">
        <v>5695.3879999999999</v>
      </c>
      <c r="M1161" s="12">
        <v>621.29399999999998</v>
      </c>
      <c r="N1161" s="12">
        <v>621.29399999999998</v>
      </c>
      <c r="O1161" s="12">
        <v>248.673</v>
      </c>
      <c r="P1161" s="12">
        <v>3</v>
      </c>
      <c r="Q1161" s="12">
        <v>3</v>
      </c>
      <c r="R1161" s="12">
        <v>3</v>
      </c>
    </row>
    <row r="1162" spans="1:18" ht="17" customHeight="1" x14ac:dyDescent="0.15">
      <c r="A1162" s="8" t="s">
        <v>6173</v>
      </c>
      <c r="B1162" s="9" t="s">
        <v>6174</v>
      </c>
      <c r="C1162" s="8" t="s">
        <v>6175</v>
      </c>
      <c r="D1162" s="8" t="s">
        <v>6175</v>
      </c>
      <c r="E1162" s="8" t="s">
        <v>6176</v>
      </c>
      <c r="F1162" s="8" t="s">
        <v>6119</v>
      </c>
      <c r="G1162" s="8" t="s">
        <v>6120</v>
      </c>
      <c r="H1162" s="8" t="s">
        <v>6121</v>
      </c>
      <c r="I1162" s="8" t="str">
        <f>HYPERLINK("http://marcomoreo.com/","marcomoreo.com")</f>
        <v>marcomoreo.com</v>
      </c>
      <c r="J1162" s="10">
        <v>4430.37</v>
      </c>
      <c r="K1162" s="10">
        <v>4430.37</v>
      </c>
      <c r="L1162" s="10">
        <v>5675.223</v>
      </c>
      <c r="M1162" s="10">
        <v>-165.02699999999999</v>
      </c>
      <c r="N1162" s="10">
        <v>-165.02699999999999</v>
      </c>
      <c r="O1162" s="10">
        <v>-3841.4859999999999</v>
      </c>
      <c r="P1162" s="10">
        <v>15</v>
      </c>
      <c r="Q1162" s="10">
        <v>15</v>
      </c>
      <c r="R1162" s="10">
        <v>17</v>
      </c>
    </row>
    <row r="1163" spans="1:18" ht="17" customHeight="1" x14ac:dyDescent="0.15">
      <c r="A1163" s="11" t="s">
        <v>6177</v>
      </c>
      <c r="B1163" s="1" t="s">
        <v>6178</v>
      </c>
      <c r="C1163" s="11" t="s">
        <v>6179</v>
      </c>
      <c r="D1163" s="11" t="s">
        <v>6180</v>
      </c>
      <c r="E1163" s="11" t="s">
        <v>6181</v>
      </c>
      <c r="F1163" s="11" t="s">
        <v>6182</v>
      </c>
      <c r="G1163" s="11" t="s">
        <v>6183</v>
      </c>
      <c r="H1163" s="11" t="s">
        <v>6154</v>
      </c>
      <c r="I1163" s="11" t="str">
        <f>HYPERLINK("http://beltrameluciano.com/","beltrameluciano.com")</f>
        <v>beltrameluciano.com</v>
      </c>
      <c r="J1163" s="12">
        <v>5106.3639999999996</v>
      </c>
      <c r="K1163" s="12">
        <v>5106.3639999999996</v>
      </c>
      <c r="L1163" s="13">
        <v>5672.799</v>
      </c>
      <c r="M1163" s="12">
        <v>284.23899999999998</v>
      </c>
      <c r="N1163" s="12">
        <v>284.23899999999998</v>
      </c>
      <c r="O1163" s="12">
        <v>592.47799999999995</v>
      </c>
      <c r="P1163" s="12">
        <v>38</v>
      </c>
      <c r="Q1163" s="12">
        <v>38</v>
      </c>
      <c r="R1163" s="12">
        <v>39</v>
      </c>
    </row>
    <row r="1164" spans="1:18" ht="29.5" customHeight="1" x14ac:dyDescent="0.15">
      <c r="A1164" s="8" t="s">
        <v>6184</v>
      </c>
      <c r="B1164" s="9" t="s">
        <v>6185</v>
      </c>
      <c r="C1164" s="8" t="s">
        <v>6186</v>
      </c>
      <c r="D1164" s="8" t="s">
        <v>6186</v>
      </c>
      <c r="E1164" s="8" t="s">
        <v>6187</v>
      </c>
      <c r="F1164" s="8" t="s">
        <v>6159</v>
      </c>
      <c r="G1164" s="8" t="s">
        <v>6160</v>
      </c>
      <c r="H1164" s="8" t="s">
        <v>6154</v>
      </c>
      <c r="I1164" s="8" t="str">
        <f>HYPERLINK("http://www.adler-chemicals.com/","http://www.adler-chemicals.com")</f>
        <v>http://www.adler-chemicals.com</v>
      </c>
      <c r="J1164" s="10">
        <v>5261.1</v>
      </c>
      <c r="K1164" s="10">
        <v>5261.1</v>
      </c>
      <c r="L1164" s="10">
        <v>5666.201</v>
      </c>
      <c r="M1164" s="10">
        <v>83.161000000000001</v>
      </c>
      <c r="N1164" s="10">
        <v>83.161000000000001</v>
      </c>
      <c r="O1164" s="10">
        <v>120.39400000000001</v>
      </c>
      <c r="P1164" s="10">
        <v>10</v>
      </c>
      <c r="Q1164" s="10">
        <v>10</v>
      </c>
      <c r="R1164" s="10">
        <v>14</v>
      </c>
    </row>
    <row r="1165" spans="1:18" ht="17" customHeight="1" x14ac:dyDescent="0.15">
      <c r="A1165" s="11" t="s">
        <v>6188</v>
      </c>
      <c r="B1165" s="1" t="s">
        <v>6189</v>
      </c>
      <c r="C1165" s="11" t="s">
        <v>6190</v>
      </c>
      <c r="D1165" s="11" t="s">
        <v>6190</v>
      </c>
      <c r="E1165" s="11" t="s">
        <v>6191</v>
      </c>
      <c r="F1165" s="11" t="s">
        <v>6133</v>
      </c>
      <c r="G1165" s="11" t="s">
        <v>6192</v>
      </c>
      <c r="H1165" s="11" t="s">
        <v>6135</v>
      </c>
      <c r="I1165" s="11" t="str">
        <f>HYPERLINK("http://anna-rossi.it/language/it","anna-rossi.it/language/it")</f>
        <v>anna-rossi.it/language/it</v>
      </c>
      <c r="J1165" s="12">
        <v>5407.2640000000001</v>
      </c>
      <c r="K1165" s="12">
        <v>5407.2640000000001</v>
      </c>
      <c r="L1165" s="13">
        <v>5652.7529999999997</v>
      </c>
      <c r="M1165" s="12">
        <v>-222.93100000000001</v>
      </c>
      <c r="N1165" s="12">
        <v>-222.93100000000001</v>
      </c>
      <c r="O1165" s="12">
        <v>49.44</v>
      </c>
      <c r="P1165" s="12">
        <v>18</v>
      </c>
      <c r="Q1165" s="12">
        <v>18</v>
      </c>
      <c r="R1165" s="12">
        <v>20</v>
      </c>
    </row>
    <row r="1166" spans="1:18" ht="43" customHeight="1" x14ac:dyDescent="0.15">
      <c r="A1166" s="8" t="s">
        <v>6193</v>
      </c>
      <c r="B1166" s="9" t="s">
        <v>6194</v>
      </c>
      <c r="C1166" s="8" t="s">
        <v>6195</v>
      </c>
      <c r="D1166" s="8" t="s">
        <v>6195</v>
      </c>
      <c r="E1166" s="8" t="s">
        <v>6196</v>
      </c>
      <c r="F1166" s="8" t="s">
        <v>6197</v>
      </c>
      <c r="G1166" s="8" t="s">
        <v>6160</v>
      </c>
      <c r="H1166" s="8" t="s">
        <v>6154</v>
      </c>
      <c r="I1166" s="8" t="str">
        <f>HYPERLINK("http://www.susimoda.it/","www.susimoda.it")</f>
        <v>www.susimoda.it</v>
      </c>
      <c r="J1166" s="10">
        <v>6327.4690000000001</v>
      </c>
      <c r="K1166" s="10">
        <v>6327.4690000000001</v>
      </c>
      <c r="L1166" s="10">
        <v>5642.1480000000001</v>
      </c>
      <c r="M1166" s="10">
        <v>-99.375</v>
      </c>
      <c r="N1166" s="10">
        <v>-99.375</v>
      </c>
      <c r="O1166" s="10">
        <v>17.47</v>
      </c>
      <c r="P1166" s="10">
        <v>34</v>
      </c>
      <c r="Q1166" s="10">
        <v>34</v>
      </c>
      <c r="R1166" s="10">
        <v>33</v>
      </c>
    </row>
    <row r="1167" spans="1:18" ht="17" customHeight="1" x14ac:dyDescent="0.15">
      <c r="A1167" s="11" t="s">
        <v>6198</v>
      </c>
      <c r="B1167" s="1" t="s">
        <v>6199</v>
      </c>
      <c r="C1167" s="11" t="s">
        <v>6200</v>
      </c>
      <c r="D1167" s="11" t="s">
        <v>6200</v>
      </c>
      <c r="E1167" s="11" t="s">
        <v>6201</v>
      </c>
      <c r="F1167" s="11" t="s">
        <v>6159</v>
      </c>
      <c r="G1167" s="11" t="s">
        <v>6202</v>
      </c>
      <c r="H1167" s="11" t="s">
        <v>6128</v>
      </c>
      <c r="I1167" s="11" t="str">
        <f>HYPERLINK("http://morellinopelli.it/","morellinopelli.it")</f>
        <v>morellinopelli.it</v>
      </c>
      <c r="J1167" s="12">
        <v>5566.4920000000002</v>
      </c>
      <c r="K1167" s="12">
        <v>5611.4059999999999</v>
      </c>
      <c r="L1167" s="13">
        <v>5624.9639999999999</v>
      </c>
      <c r="M1167" s="12">
        <v>-73.376000000000005</v>
      </c>
      <c r="N1167" s="12">
        <v>226.18100000000001</v>
      </c>
      <c r="O1167" s="12">
        <v>757.26800000000003</v>
      </c>
      <c r="P1167" s="12">
        <v>50</v>
      </c>
      <c r="Q1167" s="12">
        <v>50</v>
      </c>
      <c r="R1167" s="12">
        <v>42</v>
      </c>
    </row>
    <row r="1168" spans="1:18" ht="29.5" customHeight="1" x14ac:dyDescent="0.15">
      <c r="A1168" s="8" t="s">
        <v>6203</v>
      </c>
      <c r="B1168" s="9" t="s">
        <v>6204</v>
      </c>
      <c r="C1168" s="8" t="s">
        <v>6205</v>
      </c>
      <c r="D1168" s="8" t="s">
        <v>6205</v>
      </c>
      <c r="E1168" s="8" t="s">
        <v>6206</v>
      </c>
      <c r="F1168" s="8" t="s">
        <v>6207</v>
      </c>
      <c r="G1168" s="8" t="s">
        <v>6141</v>
      </c>
      <c r="H1168" s="8" t="s">
        <v>6142</v>
      </c>
      <c r="I1168" s="8" t="str">
        <f>HYPERLINK("http://www.lesanitarie.com/","www.lesanitarie.com")</f>
        <v>www.lesanitarie.com</v>
      </c>
      <c r="J1168" s="10">
        <v>4949.8469999999998</v>
      </c>
      <c r="K1168" s="10">
        <v>4949.8469999999998</v>
      </c>
      <c r="L1168" s="10">
        <v>5615.857</v>
      </c>
      <c r="M1168" s="10">
        <v>29.888000000000002</v>
      </c>
      <c r="N1168" s="10">
        <v>29.888000000000002</v>
      </c>
      <c r="O1168" s="10">
        <v>45</v>
      </c>
      <c r="P1168" s="10">
        <v>46</v>
      </c>
      <c r="Q1168" s="10">
        <v>46</v>
      </c>
      <c r="R1168" s="10">
        <v>52</v>
      </c>
    </row>
    <row r="1169" spans="1:18" ht="17" customHeight="1" x14ac:dyDescent="0.15">
      <c r="A1169" s="11" t="s">
        <v>6208</v>
      </c>
      <c r="B1169" s="1" t="s">
        <v>6209</v>
      </c>
      <c r="C1169" s="11" t="s">
        <v>6210</v>
      </c>
      <c r="D1169" s="11" t="s">
        <v>6210</v>
      </c>
      <c r="E1169" s="11" t="s">
        <v>6211</v>
      </c>
      <c r="F1169" s="11" t="s">
        <v>6140</v>
      </c>
      <c r="G1169" s="11" t="s">
        <v>6212</v>
      </c>
      <c r="H1169" s="11" t="s">
        <v>6121</v>
      </c>
      <c r="I1169" s="11" t="str">
        <f>HYPERLINK("http://www.naaxsrl.it/","www.naaxsrl.it")</f>
        <v>www.naaxsrl.it</v>
      </c>
      <c r="J1169" s="12">
        <v>5426.3010000000004</v>
      </c>
      <c r="K1169" s="12">
        <v>5426.3010000000004</v>
      </c>
      <c r="L1169" s="13">
        <v>5606.9120000000003</v>
      </c>
      <c r="M1169" s="12">
        <v>32.091000000000001</v>
      </c>
      <c r="N1169" s="12">
        <v>32.091000000000001</v>
      </c>
      <c r="O1169" s="12">
        <v>28.509</v>
      </c>
      <c r="P1169" s="12">
        <v>11</v>
      </c>
      <c r="Q1169" s="12">
        <v>11</v>
      </c>
      <c r="R1169" s="12">
        <v>11</v>
      </c>
    </row>
    <row r="1170" spans="1:18" ht="17" customHeight="1" x14ac:dyDescent="0.15">
      <c r="A1170" s="8" t="s">
        <v>6213</v>
      </c>
      <c r="B1170" s="9" t="s">
        <v>6214</v>
      </c>
      <c r="C1170" s="8" t="s">
        <v>6215</v>
      </c>
      <c r="D1170" s="8" t="s">
        <v>6215</v>
      </c>
      <c r="E1170" s="8" t="s">
        <v>6216</v>
      </c>
      <c r="F1170" s="8" t="s">
        <v>6133</v>
      </c>
      <c r="G1170" s="8" t="s">
        <v>6217</v>
      </c>
      <c r="H1170" s="8" t="s">
        <v>6218</v>
      </c>
      <c r="I1170" s="8" t="str">
        <f>HYPERLINK("http://oltredonna.com/","oltredonna.com")</f>
        <v>oltredonna.com</v>
      </c>
      <c r="J1170" s="10">
        <v>4875.4250000000002</v>
      </c>
      <c r="K1170" s="10">
        <v>4875.4250000000002</v>
      </c>
      <c r="L1170" s="10">
        <v>5606.9369999999999</v>
      </c>
      <c r="M1170" s="10">
        <v>102.845</v>
      </c>
      <c r="N1170" s="10">
        <v>102.845</v>
      </c>
      <c r="O1170" s="10">
        <v>428.68400000000003</v>
      </c>
      <c r="P1170" s="10">
        <v>46</v>
      </c>
      <c r="Q1170" s="10">
        <v>46</v>
      </c>
      <c r="R1170" s="10">
        <v>43</v>
      </c>
    </row>
    <row r="1171" spans="1:18" ht="17" customHeight="1" x14ac:dyDescent="0.15">
      <c r="A1171" s="11" t="s">
        <v>6219</v>
      </c>
      <c r="B1171" s="1" t="s">
        <v>6220</v>
      </c>
      <c r="C1171" s="11" t="s">
        <v>6221</v>
      </c>
      <c r="D1171" s="11" t="s">
        <v>6221</v>
      </c>
      <c r="E1171" s="11" t="s">
        <v>6222</v>
      </c>
      <c r="F1171" s="11" t="s">
        <v>6182</v>
      </c>
      <c r="G1171" s="11" t="s">
        <v>6223</v>
      </c>
      <c r="H1171" s="11" t="s">
        <v>6154</v>
      </c>
      <c r="I1171" s="11" t="str">
        <f>HYPERLINK("http://solettificiovigna.com/","solettificiovigna.com")</f>
        <v>solettificiovigna.com</v>
      </c>
      <c r="J1171" s="12">
        <v>5189.9589999999998</v>
      </c>
      <c r="K1171" s="12">
        <v>5189.9589999999998</v>
      </c>
      <c r="L1171" s="13">
        <v>5586.7960000000003</v>
      </c>
      <c r="M1171" s="12">
        <v>135.517</v>
      </c>
      <c r="N1171" s="12">
        <v>135.517</v>
      </c>
      <c r="O1171" s="12">
        <v>78.102999999999994</v>
      </c>
      <c r="P1171" s="12">
        <v>17</v>
      </c>
      <c r="Q1171" s="12">
        <v>17</v>
      </c>
      <c r="R1171" s="12">
        <v>21</v>
      </c>
    </row>
    <row r="1172" spans="1:18" ht="17" customHeight="1" x14ac:dyDescent="0.15">
      <c r="A1172" s="8" t="s">
        <v>6224</v>
      </c>
      <c r="B1172" s="9" t="s">
        <v>6225</v>
      </c>
      <c r="C1172" s="8" t="s">
        <v>6226</v>
      </c>
      <c r="D1172" s="8" t="s">
        <v>6226</v>
      </c>
      <c r="E1172" s="8" t="s">
        <v>6227</v>
      </c>
      <c r="F1172" s="8" t="s">
        <v>6228</v>
      </c>
      <c r="G1172" s="8" t="s">
        <v>6147</v>
      </c>
      <c r="H1172" s="8" t="s">
        <v>6148</v>
      </c>
      <c r="I1172" s="8" t="str">
        <f>HYPERLINK("http://emmegiassisi.com/","emmegiassisi.com")</f>
        <v>emmegiassisi.com</v>
      </c>
      <c r="J1172" s="10">
        <v>6368.393</v>
      </c>
      <c r="K1172" s="10">
        <v>6368.393</v>
      </c>
      <c r="L1172" s="10">
        <v>5547.74</v>
      </c>
      <c r="M1172" s="10">
        <v>393.17</v>
      </c>
      <c r="N1172" s="10">
        <v>393.17</v>
      </c>
      <c r="O1172" s="10">
        <v>69.908000000000001</v>
      </c>
      <c r="P1172" s="15" t="s">
        <v>6229</v>
      </c>
      <c r="Q1172" s="15" t="s">
        <v>6229</v>
      </c>
      <c r="R1172" s="10">
        <v>30</v>
      </c>
    </row>
    <row r="1173" spans="1:18" ht="17" customHeight="1" x14ac:dyDescent="0.15">
      <c r="A1173" s="11" t="s">
        <v>6230</v>
      </c>
      <c r="B1173" s="1" t="s">
        <v>6231</v>
      </c>
      <c r="C1173" s="11" t="s">
        <v>6232</v>
      </c>
      <c r="D1173" s="11" t="s">
        <v>6232</v>
      </c>
      <c r="E1173" s="11" t="s">
        <v>6233</v>
      </c>
      <c r="F1173" s="11" t="s">
        <v>6182</v>
      </c>
      <c r="G1173" s="11" t="s">
        <v>6120</v>
      </c>
      <c r="H1173" s="11" t="s">
        <v>6121</v>
      </c>
      <c r="I1173" s="11" t="str">
        <f>HYPERLINK("http://rmsuole.com/","rmsuole.com")</f>
        <v>rmsuole.com</v>
      </c>
      <c r="J1173" s="12">
        <v>8577.7860000000001</v>
      </c>
      <c r="K1173" s="12">
        <v>8577.7860000000001</v>
      </c>
      <c r="L1173" s="13">
        <v>5526.4570000000003</v>
      </c>
      <c r="M1173" s="12">
        <v>357.12900000000002</v>
      </c>
      <c r="N1173" s="12">
        <v>357.12900000000002</v>
      </c>
      <c r="O1173" s="12">
        <v>134.566</v>
      </c>
      <c r="P1173" s="12">
        <v>3</v>
      </c>
      <c r="Q1173" s="12">
        <v>3</v>
      </c>
      <c r="R1173" s="12">
        <v>2</v>
      </c>
    </row>
    <row r="1174" spans="1:18" ht="55.75" customHeight="1" x14ac:dyDescent="0.15">
      <c r="A1174" s="8" t="s">
        <v>6234</v>
      </c>
      <c r="B1174" s="9" t="s">
        <v>6235</v>
      </c>
      <c r="C1174" s="8" t="s">
        <v>6236</v>
      </c>
      <c r="D1174" s="8" t="s">
        <v>6236</v>
      </c>
      <c r="E1174" s="8" t="s">
        <v>6237</v>
      </c>
      <c r="F1174" s="8" t="s">
        <v>6159</v>
      </c>
      <c r="G1174" s="8" t="s">
        <v>6238</v>
      </c>
      <c r="H1174" s="8" t="s">
        <v>6239</v>
      </c>
      <c r="I1174" s="8" t="str">
        <f>HYPERLINK("http://www.mesi.it/","www.mesi.it")</f>
        <v>www.mesi.it</v>
      </c>
      <c r="J1174" s="10">
        <v>4576.7539999999999</v>
      </c>
      <c r="K1174" s="10">
        <v>4576.7539999999999</v>
      </c>
      <c r="L1174" s="10">
        <v>5515.8670000000002</v>
      </c>
      <c r="M1174" s="10">
        <v>-572.92999999999995</v>
      </c>
      <c r="N1174" s="10">
        <v>-572.92999999999995</v>
      </c>
      <c r="O1174" s="10">
        <v>-183.738</v>
      </c>
      <c r="P1174" s="10">
        <v>7</v>
      </c>
      <c r="Q1174" s="10">
        <v>7</v>
      </c>
      <c r="R1174" s="10">
        <v>9</v>
      </c>
    </row>
    <row r="1175" spans="1:18" ht="17" customHeight="1" x14ac:dyDescent="0.15">
      <c r="A1175" s="11" t="s">
        <v>6240</v>
      </c>
      <c r="B1175" s="1" t="s">
        <v>6241</v>
      </c>
      <c r="C1175" s="11" t="s">
        <v>6242</v>
      </c>
      <c r="D1175" s="11" t="s">
        <v>6242</v>
      </c>
      <c r="E1175" s="11" t="s">
        <v>6243</v>
      </c>
      <c r="F1175" s="11" t="s">
        <v>6244</v>
      </c>
      <c r="G1175" s="11" t="s">
        <v>6238</v>
      </c>
      <c r="H1175" s="11" t="s">
        <v>6239</v>
      </c>
      <c r="I1175" s="11" t="str">
        <f>HYPERLINK("http://www.moditgroup.com/","www.moditgroup.com")</f>
        <v>www.moditgroup.com</v>
      </c>
      <c r="J1175" s="12">
        <v>8188.5410000000002</v>
      </c>
      <c r="K1175" s="12">
        <v>8188.5410000000002</v>
      </c>
      <c r="L1175" s="13">
        <v>5512.8959999999997</v>
      </c>
      <c r="M1175" s="12">
        <v>141.232</v>
      </c>
      <c r="N1175" s="12">
        <v>141.232</v>
      </c>
      <c r="O1175" s="12">
        <v>10.342000000000001</v>
      </c>
      <c r="P1175" s="14" t="s">
        <v>6229</v>
      </c>
      <c r="Q1175" s="14" t="s">
        <v>6229</v>
      </c>
      <c r="R1175" s="12">
        <v>16</v>
      </c>
    </row>
    <row r="1176" spans="1:18" ht="29.5" customHeight="1" x14ac:dyDescent="0.15">
      <c r="A1176" s="8" t="s">
        <v>6245</v>
      </c>
      <c r="B1176" s="9" t="s">
        <v>6246</v>
      </c>
      <c r="C1176" s="8" t="s">
        <v>6247</v>
      </c>
      <c r="D1176" s="8" t="s">
        <v>6247</v>
      </c>
      <c r="E1176" s="8" t="s">
        <v>6248</v>
      </c>
      <c r="F1176" s="8" t="s">
        <v>6182</v>
      </c>
      <c r="G1176" s="8" t="s">
        <v>6134</v>
      </c>
      <c r="H1176" s="8" t="s">
        <v>6135</v>
      </c>
      <c r="I1176" s="8" t="str">
        <f>HYPERLINK("http://www.solettificiocompagnone.it/","www.solettificiocompagnone.it")</f>
        <v>www.solettificiocompagnone.it</v>
      </c>
      <c r="J1176" s="10">
        <v>4975.7889999999998</v>
      </c>
      <c r="K1176" s="10">
        <v>4975.7889999999998</v>
      </c>
      <c r="L1176" s="10">
        <v>5507.277</v>
      </c>
      <c r="M1176" s="10">
        <v>682.41600000000005</v>
      </c>
      <c r="N1176" s="10">
        <v>682.41600000000005</v>
      </c>
      <c r="O1176" s="10">
        <v>732.24400000000003</v>
      </c>
      <c r="P1176" s="10">
        <v>28</v>
      </c>
      <c r="Q1176" s="10">
        <v>28</v>
      </c>
      <c r="R1176" s="10">
        <v>22</v>
      </c>
    </row>
    <row r="1177" spans="1:18" ht="17" customHeight="1" x14ac:dyDescent="0.15">
      <c r="A1177" s="11" t="s">
        <v>6249</v>
      </c>
      <c r="B1177" s="1" t="s">
        <v>6250</v>
      </c>
      <c r="C1177" s="11" t="s">
        <v>6251</v>
      </c>
      <c r="D1177" s="11" t="s">
        <v>6251</v>
      </c>
      <c r="E1177" s="11" t="s">
        <v>6252</v>
      </c>
      <c r="F1177" s="11" t="s">
        <v>6140</v>
      </c>
      <c r="G1177" s="11" t="s">
        <v>6253</v>
      </c>
      <c r="H1177" s="11" t="s">
        <v>6254</v>
      </c>
      <c r="I1177" s="11" t="str">
        <f>HYPERLINK("http://www.petrelliuomo.com/cerimonia/","www.petrelliuomo.com/cerimonia/")</f>
        <v>www.petrelliuomo.com/cerimonia/</v>
      </c>
      <c r="J1177" s="12">
        <v>4720.1970000000001</v>
      </c>
      <c r="K1177" s="12">
        <v>4720.1970000000001</v>
      </c>
      <c r="L1177" s="13">
        <v>5499.4539999999997</v>
      </c>
      <c r="M1177" s="12">
        <v>242.833</v>
      </c>
      <c r="N1177" s="12">
        <v>242.833</v>
      </c>
      <c r="O1177" s="12">
        <v>268.541</v>
      </c>
      <c r="P1177" s="12">
        <v>24</v>
      </c>
      <c r="Q1177" s="12">
        <v>24</v>
      </c>
      <c r="R1177" s="12">
        <v>24</v>
      </c>
    </row>
    <row r="1178" spans="1:18" ht="17" customHeight="1" x14ac:dyDescent="0.15">
      <c r="A1178" s="8" t="s">
        <v>6255</v>
      </c>
      <c r="B1178" s="9" t="s">
        <v>6256</v>
      </c>
      <c r="C1178" s="8" t="s">
        <v>6257</v>
      </c>
      <c r="D1178" s="8" t="s">
        <v>6257</v>
      </c>
      <c r="E1178" s="8" t="s">
        <v>6258</v>
      </c>
      <c r="F1178" s="8" t="s">
        <v>6119</v>
      </c>
      <c r="G1178" s="8" t="s">
        <v>6259</v>
      </c>
      <c r="H1178" s="8" t="s">
        <v>6121</v>
      </c>
      <c r="I1178" s="8" t="str">
        <f>HYPERLINK("http://www.marialuisa.info/","www.marialuisa.info")</f>
        <v>www.marialuisa.info</v>
      </c>
      <c r="J1178" s="10">
        <v>6179.0379999999996</v>
      </c>
      <c r="K1178" s="10">
        <v>6179.0379999999996</v>
      </c>
      <c r="L1178" s="10">
        <v>5489.701</v>
      </c>
      <c r="M1178" s="10">
        <v>241.66800000000001</v>
      </c>
      <c r="N1178" s="10">
        <v>241.66800000000001</v>
      </c>
      <c r="O1178" s="10">
        <v>43.174999999999997</v>
      </c>
      <c r="P1178" s="10">
        <v>28</v>
      </c>
      <c r="Q1178" s="10">
        <v>28</v>
      </c>
      <c r="R1178" s="10">
        <v>25</v>
      </c>
    </row>
    <row r="1179" spans="1:18" ht="29.5" customHeight="1" x14ac:dyDescent="0.15">
      <c r="A1179" s="11" t="s">
        <v>6260</v>
      </c>
      <c r="B1179" s="1" t="s">
        <v>6261</v>
      </c>
      <c r="C1179" s="11" t="s">
        <v>6262</v>
      </c>
      <c r="D1179" s="11" t="s">
        <v>6262</v>
      </c>
      <c r="E1179" s="11" t="s">
        <v>6263</v>
      </c>
      <c r="F1179" s="11" t="s">
        <v>6264</v>
      </c>
      <c r="G1179" s="11" t="s">
        <v>6265</v>
      </c>
      <c r="H1179" s="11" t="s">
        <v>6128</v>
      </c>
      <c r="I1179" s="11" t="str">
        <f>HYPERLINK("http://www.montezemolo.net/","http://www.montezemolo.net")</f>
        <v>http://www.montezemolo.net</v>
      </c>
      <c r="J1179" s="12">
        <v>6210.9269999999997</v>
      </c>
      <c r="K1179" s="12">
        <v>6210.9269999999997</v>
      </c>
      <c r="L1179" s="13">
        <v>5476.7969999999996</v>
      </c>
      <c r="M1179" s="12">
        <v>20.494</v>
      </c>
      <c r="N1179" s="12">
        <v>20.494</v>
      </c>
      <c r="O1179" s="12">
        <v>23.164000000000001</v>
      </c>
      <c r="P1179" s="14" t="s">
        <v>6229</v>
      </c>
      <c r="Q1179" s="14" t="s">
        <v>6229</v>
      </c>
      <c r="R1179" s="12">
        <v>38</v>
      </c>
    </row>
    <row r="1180" spans="1:18" ht="17" customHeight="1" x14ac:dyDescent="0.15">
      <c r="A1180" s="8" t="s">
        <v>6266</v>
      </c>
      <c r="B1180" s="9" t="s">
        <v>6267</v>
      </c>
      <c r="C1180" s="8" t="s">
        <v>6268</v>
      </c>
      <c r="D1180" s="8" t="s">
        <v>6268</v>
      </c>
      <c r="E1180" s="8" t="s">
        <v>6269</v>
      </c>
      <c r="F1180" s="8" t="s">
        <v>6140</v>
      </c>
      <c r="G1180" s="8" t="s">
        <v>6265</v>
      </c>
      <c r="H1180" s="8" t="s">
        <v>6128</v>
      </c>
      <c r="I1180" s="8" t="str">
        <f>HYPERLINK("http://www.nikanika.it/","www.nikanika.it")</f>
        <v>www.nikanika.it</v>
      </c>
      <c r="J1180" s="10">
        <v>6900.259</v>
      </c>
      <c r="K1180" s="10">
        <v>6900.259</v>
      </c>
      <c r="L1180" s="10">
        <v>5459.3729999999996</v>
      </c>
      <c r="M1180" s="10">
        <v>252.702</v>
      </c>
      <c r="N1180" s="10">
        <v>252.702</v>
      </c>
      <c r="O1180" s="10">
        <v>285.22500000000002</v>
      </c>
      <c r="P1180" s="10">
        <v>12</v>
      </c>
      <c r="Q1180" s="10">
        <v>12</v>
      </c>
      <c r="R1180" s="10">
        <v>11</v>
      </c>
    </row>
    <row r="1181" spans="1:18" ht="17" customHeight="1" x14ac:dyDescent="0.15">
      <c r="A1181" s="11" t="s">
        <v>6270</v>
      </c>
      <c r="B1181" s="1" t="s">
        <v>6271</v>
      </c>
      <c r="C1181" s="11" t="s">
        <v>6272</v>
      </c>
      <c r="D1181" s="11" t="s">
        <v>6272</v>
      </c>
      <c r="E1181" s="11" t="s">
        <v>6273</v>
      </c>
      <c r="F1181" s="11" t="s">
        <v>6133</v>
      </c>
      <c r="G1181" s="11" t="s">
        <v>6274</v>
      </c>
      <c r="H1181" s="11" t="s">
        <v>6128</v>
      </c>
      <c r="I1181" s="11" t="str">
        <f>HYPERLINK("http://us.pineider.com/","us.pineider.com")</f>
        <v>us.pineider.com</v>
      </c>
      <c r="J1181" s="12">
        <v>6413.3940000000002</v>
      </c>
      <c r="K1181" s="12">
        <v>6413.3940000000002</v>
      </c>
      <c r="L1181" s="13">
        <v>5450.7089999999998</v>
      </c>
      <c r="M1181" s="12">
        <v>-6536.4319999999998</v>
      </c>
      <c r="N1181" s="12">
        <v>-6536.4319999999998</v>
      </c>
      <c r="O1181" s="12">
        <v>-3651.11</v>
      </c>
      <c r="P1181" s="12">
        <v>39</v>
      </c>
      <c r="Q1181" s="12">
        <v>39</v>
      </c>
      <c r="R1181" s="12">
        <v>37</v>
      </c>
    </row>
    <row r="1182" spans="1:18" ht="17" customHeight="1" x14ac:dyDescent="0.15">
      <c r="A1182" s="8" t="s">
        <v>6275</v>
      </c>
      <c r="B1182" s="9" t="s">
        <v>6276</v>
      </c>
      <c r="C1182" s="8" t="s">
        <v>6277</v>
      </c>
      <c r="D1182" s="8" t="s">
        <v>6277</v>
      </c>
      <c r="E1182" s="8" t="s">
        <v>6278</v>
      </c>
      <c r="F1182" s="8" t="s">
        <v>6171</v>
      </c>
      <c r="G1182" s="8" t="s">
        <v>6183</v>
      </c>
      <c r="H1182" s="8" t="s">
        <v>6154</v>
      </c>
      <c r="I1182" s="8" t="str">
        <f>HYPERLINK("http://www.confezionigallia.it/","www.confezionigallia.it")</f>
        <v>www.confezionigallia.it</v>
      </c>
      <c r="J1182" s="10">
        <v>6469.5640000000003</v>
      </c>
      <c r="K1182" s="10">
        <v>6469.5640000000003</v>
      </c>
      <c r="L1182" s="10">
        <v>5448.826</v>
      </c>
      <c r="M1182" s="10">
        <v>46.073</v>
      </c>
      <c r="N1182" s="10">
        <v>46.073</v>
      </c>
      <c r="O1182" s="10">
        <v>306.46699999999998</v>
      </c>
      <c r="P1182" s="10">
        <v>15</v>
      </c>
      <c r="Q1182" s="10">
        <v>15</v>
      </c>
      <c r="R1182" s="10">
        <v>15</v>
      </c>
    </row>
    <row r="1183" spans="1:18" ht="17" customHeight="1" x14ac:dyDescent="0.15">
      <c r="A1183" s="11" t="s">
        <v>6279</v>
      </c>
      <c r="B1183" s="1" t="s">
        <v>6280</v>
      </c>
      <c r="C1183" s="11" t="s">
        <v>6281</v>
      </c>
      <c r="D1183" s="11" t="s">
        <v>6281</v>
      </c>
      <c r="E1183" s="11" t="s">
        <v>6282</v>
      </c>
      <c r="F1183" s="11" t="s">
        <v>6182</v>
      </c>
      <c r="G1183" s="11" t="s">
        <v>6283</v>
      </c>
      <c r="H1183" s="11" t="s">
        <v>6135</v>
      </c>
      <c r="I1183" s="11" t="str">
        <f>HYPERLINK("http://www.apcsrl.it/","http://www.apcsrl.it")</f>
        <v>http://www.apcsrl.it</v>
      </c>
      <c r="J1183" s="12">
        <v>2826.83</v>
      </c>
      <c r="K1183" s="12">
        <v>2826.83</v>
      </c>
      <c r="L1183" s="13">
        <v>5422.5889999999999</v>
      </c>
      <c r="M1183" s="12">
        <v>-2508.9340000000002</v>
      </c>
      <c r="N1183" s="12">
        <v>-2508.9340000000002</v>
      </c>
      <c r="O1183" s="12">
        <v>11.628</v>
      </c>
      <c r="P1183" s="12">
        <v>18</v>
      </c>
      <c r="Q1183" s="12">
        <v>18</v>
      </c>
      <c r="R1183" s="12">
        <v>18</v>
      </c>
    </row>
    <row r="1184" spans="1:18" ht="17" customHeight="1" x14ac:dyDescent="0.15">
      <c r="A1184" s="8" t="s">
        <v>6284</v>
      </c>
      <c r="B1184" s="9" t="s">
        <v>6285</v>
      </c>
      <c r="C1184" s="8" t="s">
        <v>6286</v>
      </c>
      <c r="D1184" s="8" t="s">
        <v>6286</v>
      </c>
      <c r="E1184" s="8" t="s">
        <v>6287</v>
      </c>
      <c r="F1184" s="8" t="s">
        <v>6133</v>
      </c>
      <c r="G1184" s="8" t="s">
        <v>6274</v>
      </c>
      <c r="H1184" s="8" t="s">
        <v>6128</v>
      </c>
      <c r="I1184" s="8" t="str">
        <f>HYPERLINK("http://www.becpelletterie.it/","www.becpelletterie.it")</f>
        <v>www.becpelletterie.it</v>
      </c>
      <c r="J1184" s="10">
        <v>6582.585</v>
      </c>
      <c r="K1184" s="10">
        <v>6582.585</v>
      </c>
      <c r="L1184" s="10">
        <v>5422.3980000000001</v>
      </c>
      <c r="M1184" s="10">
        <v>1733.4559999999999</v>
      </c>
      <c r="N1184" s="10">
        <v>1733.4559999999999</v>
      </c>
      <c r="O1184" s="10">
        <v>1093.5930000000001</v>
      </c>
      <c r="P1184" s="15" t="s">
        <v>6229</v>
      </c>
      <c r="Q1184" s="15" t="s">
        <v>6229</v>
      </c>
      <c r="R1184" s="10">
        <v>46</v>
      </c>
    </row>
    <row r="1185" spans="1:18" ht="17" customHeight="1" x14ac:dyDescent="0.15">
      <c r="A1185" s="11" t="s">
        <v>6288</v>
      </c>
      <c r="B1185" s="1" t="s">
        <v>6289</v>
      </c>
      <c r="C1185" s="11" t="s">
        <v>6290</v>
      </c>
      <c r="D1185" s="11" t="s">
        <v>6290</v>
      </c>
      <c r="E1185" s="11" t="s">
        <v>6291</v>
      </c>
      <c r="F1185" s="11" t="s">
        <v>6292</v>
      </c>
      <c r="G1185" s="11" t="s">
        <v>6293</v>
      </c>
      <c r="H1185" s="11" t="s">
        <v>6294</v>
      </c>
      <c r="I1185" s="11" t="str">
        <f>HYPERLINK("http://www.prefinitisimon.com/","www.prefinitisimon.com")</f>
        <v>www.prefinitisimon.com</v>
      </c>
      <c r="J1185" s="12">
        <v>4994.9340000000002</v>
      </c>
      <c r="K1185" s="12">
        <v>4994.9340000000002</v>
      </c>
      <c r="L1185" s="13">
        <v>5420.4340000000002</v>
      </c>
      <c r="M1185" s="12">
        <v>394.00099999999998</v>
      </c>
      <c r="N1185" s="12">
        <v>394.00099999999998</v>
      </c>
      <c r="O1185" s="12">
        <v>466.875</v>
      </c>
      <c r="P1185" s="12">
        <v>22</v>
      </c>
      <c r="Q1185" s="12">
        <v>22</v>
      </c>
      <c r="R1185" s="12">
        <v>20</v>
      </c>
    </row>
    <row r="1186" spans="1:18" ht="17" customHeight="1" x14ac:dyDescent="0.15">
      <c r="A1186" s="8" t="s">
        <v>6295</v>
      </c>
      <c r="B1186" s="9" t="s">
        <v>6296</v>
      </c>
      <c r="C1186" s="8" t="s">
        <v>6297</v>
      </c>
      <c r="D1186" s="8" t="s">
        <v>6297</v>
      </c>
      <c r="E1186" s="8" t="s">
        <v>6298</v>
      </c>
      <c r="F1186" s="8" t="s">
        <v>6299</v>
      </c>
      <c r="G1186" s="8" t="s">
        <v>6300</v>
      </c>
      <c r="H1186" s="8" t="s">
        <v>6301</v>
      </c>
      <c r="I1186" s="8" t="str">
        <f>HYPERLINK("http://itttai.com/","itttai.com")</f>
        <v>itttai.com</v>
      </c>
      <c r="J1186" s="10">
        <v>3628.3530000000001</v>
      </c>
      <c r="K1186" s="10">
        <v>3628.3530000000001</v>
      </c>
      <c r="L1186" s="10">
        <v>5413.8620000000001</v>
      </c>
      <c r="M1186" s="10">
        <v>310.85000000000002</v>
      </c>
      <c r="N1186" s="10">
        <v>310.85000000000002</v>
      </c>
      <c r="O1186" s="10">
        <v>2635.8409999999999</v>
      </c>
      <c r="P1186" s="10">
        <v>5</v>
      </c>
      <c r="Q1186" s="10">
        <v>5</v>
      </c>
      <c r="R1186" s="10">
        <v>9</v>
      </c>
    </row>
    <row r="1187" spans="1:18" ht="17" customHeight="1" x14ac:dyDescent="0.15">
      <c r="A1187" s="11" t="s">
        <v>6302</v>
      </c>
      <c r="B1187" s="1" t="s">
        <v>6303</v>
      </c>
      <c r="C1187" s="11" t="s">
        <v>6304</v>
      </c>
      <c r="D1187" s="11" t="s">
        <v>6304</v>
      </c>
      <c r="E1187" s="11" t="s">
        <v>6305</v>
      </c>
      <c r="F1187" s="11" t="s">
        <v>6292</v>
      </c>
      <c r="G1187" s="11" t="s">
        <v>6300</v>
      </c>
      <c r="H1187" s="11" t="s">
        <v>6301</v>
      </c>
      <c r="I1187" s="11" t="str">
        <f>HYPERLINK("http://www.tre-bi.it/","http://www.tre-bi.it")</f>
        <v>http://www.tre-bi.it</v>
      </c>
      <c r="J1187" s="12">
        <v>4929.3059999999996</v>
      </c>
      <c r="K1187" s="12">
        <v>4929.3059999999996</v>
      </c>
      <c r="L1187" s="13">
        <v>5405.5479999999998</v>
      </c>
      <c r="M1187" s="12">
        <v>42.774999999999999</v>
      </c>
      <c r="N1187" s="12">
        <v>42.774999999999999</v>
      </c>
      <c r="O1187" s="12">
        <v>20.189</v>
      </c>
      <c r="P1187" s="12">
        <v>19</v>
      </c>
      <c r="Q1187" s="12">
        <v>19</v>
      </c>
      <c r="R1187" s="12">
        <v>16</v>
      </c>
    </row>
    <row r="1188" spans="1:18" ht="17" customHeight="1" x14ac:dyDescent="0.15">
      <c r="A1188" s="8" t="s">
        <v>6306</v>
      </c>
      <c r="B1188" s="9" t="s">
        <v>6307</v>
      </c>
      <c r="C1188" s="8" t="s">
        <v>6308</v>
      </c>
      <c r="D1188" s="8" t="s">
        <v>6308</v>
      </c>
      <c r="E1188" s="8" t="s">
        <v>6309</v>
      </c>
      <c r="F1188" s="8" t="s">
        <v>6310</v>
      </c>
      <c r="G1188" s="8" t="s">
        <v>6311</v>
      </c>
      <c r="H1188" s="8" t="s">
        <v>6312</v>
      </c>
      <c r="I1188" s="8" t="str">
        <f>HYPERLINK("http://www.conceriacaravaggio.it/","www.conceriacaravaggio.it")</f>
        <v>www.conceriacaravaggio.it</v>
      </c>
      <c r="J1188" s="10">
        <v>7167.1809999999996</v>
      </c>
      <c r="K1188" s="10">
        <v>7167.1809999999996</v>
      </c>
      <c r="L1188" s="10">
        <v>5396.9260000000004</v>
      </c>
      <c r="M1188" s="10">
        <v>222.51499999999999</v>
      </c>
      <c r="N1188" s="10">
        <v>222.51499999999999</v>
      </c>
      <c r="O1188" s="10">
        <v>234.46799999999999</v>
      </c>
      <c r="P1188" s="10">
        <v>14</v>
      </c>
      <c r="Q1188" s="10">
        <v>14</v>
      </c>
      <c r="R1188" s="10">
        <v>14</v>
      </c>
    </row>
    <row r="1189" spans="1:18" ht="29.5" customHeight="1" x14ac:dyDescent="0.15">
      <c r="A1189" s="11" t="s">
        <v>6313</v>
      </c>
      <c r="B1189" s="1" t="s">
        <v>6314</v>
      </c>
      <c r="C1189" s="11" t="s">
        <v>6315</v>
      </c>
      <c r="D1189" s="11" t="s">
        <v>6315</v>
      </c>
      <c r="E1189" s="11" t="s">
        <v>6316</v>
      </c>
      <c r="F1189" s="11" t="s">
        <v>6310</v>
      </c>
      <c r="G1189" s="11" t="s">
        <v>6311</v>
      </c>
      <c r="H1189" s="11" t="s">
        <v>6312</v>
      </c>
      <c r="I1189" s="11" t="str">
        <f>HYPERLINK("http://www.conceriacaponigiuseppe.it/","www.conceriacaponigiuseppe.it")</f>
        <v>www.conceriacaponigiuseppe.it</v>
      </c>
      <c r="J1189" s="12">
        <v>5800.6260000000002</v>
      </c>
      <c r="K1189" s="12">
        <v>5800.6260000000002</v>
      </c>
      <c r="L1189" s="13">
        <v>5382.6980000000003</v>
      </c>
      <c r="M1189" s="12">
        <v>49.543999999999997</v>
      </c>
      <c r="N1189" s="12">
        <v>49.543999999999997</v>
      </c>
      <c r="O1189" s="12">
        <v>41.533000000000001</v>
      </c>
      <c r="P1189" s="12">
        <v>14</v>
      </c>
      <c r="Q1189" s="12">
        <v>14</v>
      </c>
      <c r="R1189" s="12">
        <v>14</v>
      </c>
    </row>
    <row r="1190" spans="1:18" ht="17" customHeight="1" x14ac:dyDescent="0.15">
      <c r="A1190" s="8" t="s">
        <v>6317</v>
      </c>
      <c r="B1190" s="9" t="s">
        <v>6318</v>
      </c>
      <c r="C1190" s="8" t="s">
        <v>6319</v>
      </c>
      <c r="D1190" s="8" t="s">
        <v>6319</v>
      </c>
      <c r="E1190" s="8" t="s">
        <v>6320</v>
      </c>
      <c r="F1190" s="8" t="s">
        <v>6321</v>
      </c>
      <c r="G1190" s="8" t="s">
        <v>6322</v>
      </c>
      <c r="H1190" s="8" t="s">
        <v>6323</v>
      </c>
      <c r="I1190" s="8" t="str">
        <f>HYPERLINK("http://sylvie.it/","sylvie.it")</f>
        <v>sylvie.it</v>
      </c>
      <c r="J1190" s="10">
        <v>4551.2139999999999</v>
      </c>
      <c r="K1190" s="10">
        <v>4551.2139999999999</v>
      </c>
      <c r="L1190" s="10">
        <v>5373.1980000000003</v>
      </c>
      <c r="M1190" s="10">
        <v>317.70699999999999</v>
      </c>
      <c r="N1190" s="10">
        <v>317.70699999999999</v>
      </c>
      <c r="O1190" s="10">
        <v>1105.0119999999999</v>
      </c>
      <c r="P1190" s="10">
        <v>39</v>
      </c>
      <c r="Q1190" s="10">
        <v>39</v>
      </c>
      <c r="R1190" s="10">
        <v>29</v>
      </c>
    </row>
    <row r="1191" spans="1:18" ht="17" customHeight="1" x14ac:dyDescent="0.15">
      <c r="A1191" s="11" t="s">
        <v>6324</v>
      </c>
      <c r="B1191" s="1" t="s">
        <v>6325</v>
      </c>
      <c r="C1191" s="11" t="s">
        <v>6326</v>
      </c>
      <c r="D1191" s="11" t="s">
        <v>6326</v>
      </c>
      <c r="E1191" s="11" t="s">
        <v>6327</v>
      </c>
      <c r="F1191" s="11" t="s">
        <v>6328</v>
      </c>
      <c r="G1191" s="11" t="s">
        <v>6329</v>
      </c>
      <c r="H1191" s="11" t="s">
        <v>6330</v>
      </c>
      <c r="I1191" s="11" t="str">
        <f>HYPERLINK("http://www.benepiu.com/","www.benepiu.com")</f>
        <v>www.benepiu.com</v>
      </c>
      <c r="J1191" s="12">
        <v>5603.4219999999996</v>
      </c>
      <c r="K1191" s="12">
        <v>5603.4219999999996</v>
      </c>
      <c r="L1191" s="13">
        <v>5372.75</v>
      </c>
      <c r="M1191" s="12">
        <v>901.404</v>
      </c>
      <c r="N1191" s="12">
        <v>901.404</v>
      </c>
      <c r="O1191" s="12">
        <v>528.19500000000005</v>
      </c>
      <c r="P1191" s="12">
        <v>30</v>
      </c>
      <c r="Q1191" s="12">
        <v>30</v>
      </c>
      <c r="R1191" s="12">
        <v>29</v>
      </c>
    </row>
    <row r="1192" spans="1:18" ht="17" customHeight="1" x14ac:dyDescent="0.15">
      <c r="A1192" s="8" t="s">
        <v>6331</v>
      </c>
      <c r="B1192" s="9" t="s">
        <v>6332</v>
      </c>
      <c r="C1192" s="8" t="s">
        <v>6333</v>
      </c>
      <c r="D1192" s="8" t="s">
        <v>6333</v>
      </c>
      <c r="E1192" s="8" t="s">
        <v>6334</v>
      </c>
      <c r="F1192" s="8" t="s">
        <v>6335</v>
      </c>
      <c r="G1192" s="8" t="s">
        <v>6336</v>
      </c>
      <c r="H1192" s="8" t="s">
        <v>6312</v>
      </c>
      <c r="I1192" s="8" t="str">
        <f>HYPERLINK("http://www.eliapelletteria.it/","www.eliapelletteria.it")</f>
        <v>www.eliapelletteria.it</v>
      </c>
      <c r="J1192" s="10">
        <v>3845.5050000000001</v>
      </c>
      <c r="K1192" s="10">
        <v>3845.5050000000001</v>
      </c>
      <c r="L1192" s="10">
        <v>5368.56</v>
      </c>
      <c r="M1192" s="10">
        <v>-161.1</v>
      </c>
      <c r="N1192" s="10">
        <v>-161.1</v>
      </c>
      <c r="O1192" s="10">
        <v>55.832999999999998</v>
      </c>
      <c r="P1192" s="15" t="s">
        <v>6337</v>
      </c>
      <c r="Q1192" s="15" t="s">
        <v>6337</v>
      </c>
      <c r="R1192" s="10">
        <v>42</v>
      </c>
    </row>
    <row r="1193" spans="1:18" ht="17" customHeight="1" x14ac:dyDescent="0.15">
      <c r="A1193" s="11" t="s">
        <v>6338</v>
      </c>
      <c r="B1193" s="1" t="s">
        <v>6339</v>
      </c>
      <c r="C1193" s="11" t="s">
        <v>6340</v>
      </c>
      <c r="D1193" s="11" t="s">
        <v>6340</v>
      </c>
      <c r="E1193" s="11" t="s">
        <v>6341</v>
      </c>
      <c r="F1193" s="11" t="s">
        <v>6321</v>
      </c>
      <c r="G1193" s="11" t="s">
        <v>6342</v>
      </c>
      <c r="H1193" s="11" t="s">
        <v>6343</v>
      </c>
      <c r="I1193" s="11" t="str">
        <f>HYPERLINK("http://chiaradalba.it/","chiaradalba.it")</f>
        <v>chiaradalba.it</v>
      </c>
      <c r="J1193" s="12">
        <v>5288.5879999999997</v>
      </c>
      <c r="K1193" s="12">
        <v>5288.5879999999997</v>
      </c>
      <c r="L1193" s="13">
        <v>5363.3990000000003</v>
      </c>
      <c r="M1193" s="12">
        <v>224.488</v>
      </c>
      <c r="N1193" s="12">
        <v>224.488</v>
      </c>
      <c r="O1193" s="12">
        <v>294.76799999999997</v>
      </c>
      <c r="P1193" s="14" t="s">
        <v>6337</v>
      </c>
      <c r="Q1193" s="14" t="s">
        <v>6337</v>
      </c>
      <c r="R1193" s="12">
        <v>7</v>
      </c>
    </row>
    <row r="1194" spans="1:18" ht="29.5" customHeight="1" x14ac:dyDescent="0.15">
      <c r="A1194" s="8" t="s">
        <v>6344</v>
      </c>
      <c r="B1194" s="9" t="s">
        <v>6345</v>
      </c>
      <c r="C1194" s="8" t="s">
        <v>6346</v>
      </c>
      <c r="D1194" s="8" t="s">
        <v>6346</v>
      </c>
      <c r="E1194" s="8" t="s">
        <v>6347</v>
      </c>
      <c r="F1194" s="8" t="s">
        <v>6310</v>
      </c>
      <c r="G1194" s="8" t="s">
        <v>6311</v>
      </c>
      <c r="H1194" s="8" t="s">
        <v>6312</v>
      </c>
      <c r="I1194" s="8" t="str">
        <f>HYPERLINK("http://www.conceriapuccini.com/","www.conceriapuccini.com")</f>
        <v>www.conceriapuccini.com</v>
      </c>
      <c r="J1194" s="10">
        <v>4657.6940000000004</v>
      </c>
      <c r="K1194" s="10">
        <v>4657.6940000000004</v>
      </c>
      <c r="L1194" s="10">
        <v>5362.8559999999998</v>
      </c>
      <c r="M1194" s="10">
        <v>146.83099999999999</v>
      </c>
      <c r="N1194" s="10">
        <v>146.83099999999999</v>
      </c>
      <c r="O1194" s="10">
        <v>79.605000000000004</v>
      </c>
      <c r="P1194" s="15" t="s">
        <v>6337</v>
      </c>
      <c r="Q1194" s="15" t="s">
        <v>6337</v>
      </c>
      <c r="R1194" s="10">
        <v>10</v>
      </c>
    </row>
    <row r="1195" spans="1:18" ht="17" customHeight="1" x14ac:dyDescent="0.15">
      <c r="A1195" s="11" t="s">
        <v>6348</v>
      </c>
      <c r="B1195" s="1" t="s">
        <v>6349</v>
      </c>
      <c r="C1195" s="11" t="s">
        <v>6350</v>
      </c>
      <c r="D1195" s="11" t="s">
        <v>6350</v>
      </c>
      <c r="E1195" s="11" t="s">
        <v>6351</v>
      </c>
      <c r="F1195" s="11" t="s">
        <v>6352</v>
      </c>
      <c r="G1195" s="11" t="s">
        <v>6353</v>
      </c>
      <c r="H1195" s="11" t="s">
        <v>6294</v>
      </c>
      <c r="I1195" s="11" t="str">
        <f>HYPERLINK("http://www.vittorioercoli.it/","www.vittorioercoli.it")</f>
        <v>www.vittorioercoli.it</v>
      </c>
      <c r="J1195" s="12">
        <v>5082.4520000000002</v>
      </c>
      <c r="K1195" s="12">
        <v>5082.4520000000002</v>
      </c>
      <c r="L1195" s="13">
        <v>5355.9489999999996</v>
      </c>
      <c r="M1195" s="12">
        <v>145.07499999999999</v>
      </c>
      <c r="N1195" s="12">
        <v>145.07499999999999</v>
      </c>
      <c r="O1195" s="12">
        <v>170.57</v>
      </c>
      <c r="P1195" s="12">
        <v>31</v>
      </c>
      <c r="Q1195" s="12">
        <v>31</v>
      </c>
      <c r="R1195" s="12">
        <v>30</v>
      </c>
    </row>
    <row r="1196" spans="1:18" ht="17" customHeight="1" x14ac:dyDescent="0.15">
      <c r="A1196" s="8" t="s">
        <v>6354</v>
      </c>
      <c r="B1196" s="9" t="s">
        <v>6355</v>
      </c>
      <c r="C1196" s="8" t="s">
        <v>6356</v>
      </c>
      <c r="D1196" s="8" t="s">
        <v>6356</v>
      </c>
      <c r="E1196" s="8" t="s">
        <v>6357</v>
      </c>
      <c r="F1196" s="8" t="s">
        <v>6352</v>
      </c>
      <c r="G1196" s="8" t="s">
        <v>6358</v>
      </c>
      <c r="H1196" s="8" t="s">
        <v>6359</v>
      </c>
      <c r="I1196" s="8" t="str">
        <f>HYPERLINK("http://rucoline.com/","rucoline.com")</f>
        <v>rucoline.com</v>
      </c>
      <c r="J1196" s="10">
        <v>4628.5129999999999</v>
      </c>
      <c r="K1196" s="10">
        <v>4628.5129999999999</v>
      </c>
      <c r="L1196" s="10">
        <v>5353.0069999999996</v>
      </c>
      <c r="M1196" s="10">
        <v>17.47</v>
      </c>
      <c r="N1196" s="10">
        <v>17.47</v>
      </c>
      <c r="O1196" s="10">
        <v>130.61799999999999</v>
      </c>
      <c r="P1196" s="10">
        <v>18</v>
      </c>
      <c r="Q1196" s="10">
        <v>18</v>
      </c>
      <c r="R1196" s="10">
        <v>25</v>
      </c>
    </row>
    <row r="1197" spans="1:18" ht="29.5" customHeight="1" x14ac:dyDescent="0.15">
      <c r="A1197" s="11" t="s">
        <v>6360</v>
      </c>
      <c r="B1197" s="1" t="s">
        <v>6361</v>
      </c>
      <c r="C1197" s="11" t="s">
        <v>6362</v>
      </c>
      <c r="D1197" s="11" t="s">
        <v>6362</v>
      </c>
      <c r="E1197" s="11" t="s">
        <v>6363</v>
      </c>
      <c r="F1197" s="11" t="s">
        <v>6352</v>
      </c>
      <c r="G1197" s="11" t="s">
        <v>6311</v>
      </c>
      <c r="H1197" s="11" t="s">
        <v>6312</v>
      </c>
      <c r="I1197" s="11" t="str">
        <f>HYPERLINK("http://www.calzaturificiobellofatto.it/","www.calzaturificiobellofatto.it")</f>
        <v>www.calzaturificiobellofatto.it</v>
      </c>
      <c r="J1197" s="12">
        <v>3402.57</v>
      </c>
      <c r="K1197" s="12">
        <v>3402.57</v>
      </c>
      <c r="L1197" s="13">
        <v>5342.7939999999999</v>
      </c>
      <c r="M1197" s="12">
        <v>231.77699999999999</v>
      </c>
      <c r="N1197" s="12">
        <v>231.77699999999999</v>
      </c>
      <c r="O1197" s="12">
        <v>228.68700000000001</v>
      </c>
      <c r="P1197" s="12">
        <v>32</v>
      </c>
      <c r="Q1197" s="12">
        <v>32</v>
      </c>
      <c r="R1197" s="12">
        <v>32</v>
      </c>
    </row>
    <row r="1198" spans="1:18" ht="29.5" customHeight="1" x14ac:dyDescent="0.15">
      <c r="A1198" s="8" t="s">
        <v>6364</v>
      </c>
      <c r="B1198" s="9" t="s">
        <v>6365</v>
      </c>
      <c r="C1198" s="8" t="s">
        <v>6366</v>
      </c>
      <c r="D1198" s="8" t="s">
        <v>6366</v>
      </c>
      <c r="E1198" s="8" t="s">
        <v>6367</v>
      </c>
      <c r="F1198" s="8" t="s">
        <v>6310</v>
      </c>
      <c r="G1198" s="8" t="s">
        <v>6311</v>
      </c>
      <c r="H1198" s="8" t="s">
        <v>6312</v>
      </c>
      <c r="I1198" s="8" t="str">
        <f>HYPERLINK("http://www.pellealvegetale.it/concerie/nuova-grenoble/","www.pellealvegetale.it/concerie/nuova-grenoble/")</f>
        <v>www.pellealvegetale.it/concerie/nuova-grenoble/</v>
      </c>
      <c r="J1198" s="10">
        <v>3251.66</v>
      </c>
      <c r="K1198" s="10">
        <v>3251.66</v>
      </c>
      <c r="L1198" s="10">
        <v>5327.1570000000002</v>
      </c>
      <c r="M1198" s="10">
        <v>-1042.5540000000001</v>
      </c>
      <c r="N1198" s="10">
        <v>-1042.5540000000001</v>
      </c>
      <c r="O1198" s="10">
        <v>-199.751</v>
      </c>
      <c r="P1198" s="10">
        <v>21</v>
      </c>
      <c r="Q1198" s="10">
        <v>21</v>
      </c>
      <c r="R1198" s="10">
        <v>22</v>
      </c>
    </row>
    <row r="1199" spans="1:18" ht="17" customHeight="1" x14ac:dyDescent="0.15">
      <c r="A1199" s="11" t="s">
        <v>6368</v>
      </c>
      <c r="B1199" s="1" t="s">
        <v>6369</v>
      </c>
      <c r="C1199" s="11" t="s">
        <v>6370</v>
      </c>
      <c r="D1199" s="11" t="s">
        <v>6370</v>
      </c>
      <c r="E1199" s="11" t="s">
        <v>6371</v>
      </c>
      <c r="F1199" s="11" t="s">
        <v>6352</v>
      </c>
      <c r="G1199" s="11" t="s">
        <v>6372</v>
      </c>
      <c r="H1199" s="11" t="s">
        <v>6301</v>
      </c>
      <c r="I1199" s="11" t="str">
        <f>HYPERLINK("http://www.calzaturificiobello.it/","www.calzaturificiobello.it")</f>
        <v>www.calzaturificiobello.it</v>
      </c>
      <c r="J1199" s="12">
        <v>5658.8130000000001</v>
      </c>
      <c r="K1199" s="12">
        <v>5658.8130000000001</v>
      </c>
      <c r="L1199" s="13">
        <v>5324.759</v>
      </c>
      <c r="M1199" s="12">
        <v>54.588999999999999</v>
      </c>
      <c r="N1199" s="12">
        <v>54.588999999999999</v>
      </c>
      <c r="O1199" s="12">
        <v>58.392000000000003</v>
      </c>
      <c r="P1199" s="12">
        <v>15</v>
      </c>
      <c r="Q1199" s="12">
        <v>15</v>
      </c>
      <c r="R1199" s="12">
        <v>15</v>
      </c>
    </row>
    <row r="1200" spans="1:18" ht="17" customHeight="1" x14ac:dyDescent="0.15">
      <c r="A1200" s="8" t="s">
        <v>6373</v>
      </c>
      <c r="B1200" s="9" t="s">
        <v>6374</v>
      </c>
      <c r="C1200" s="8" t="s">
        <v>6375</v>
      </c>
      <c r="D1200" s="8" t="s">
        <v>6375</v>
      </c>
      <c r="E1200" s="8" t="s">
        <v>6376</v>
      </c>
      <c r="F1200" s="8" t="s">
        <v>6352</v>
      </c>
      <c r="G1200" s="8" t="s">
        <v>6293</v>
      </c>
      <c r="H1200" s="8" t="s">
        <v>6294</v>
      </c>
      <c r="I1200" s="8" t="str">
        <f>HYPERLINK("http://www.molliter.com/","www.molliter.com")</f>
        <v>www.molliter.com</v>
      </c>
      <c r="J1200" s="10">
        <v>4903.67</v>
      </c>
      <c r="K1200" s="10">
        <v>4903.67</v>
      </c>
      <c r="L1200" s="10">
        <v>5320.5420000000004</v>
      </c>
      <c r="M1200" s="10">
        <v>377.59800000000001</v>
      </c>
      <c r="N1200" s="10">
        <v>377.59800000000001</v>
      </c>
      <c r="O1200" s="10">
        <v>402.64299999999997</v>
      </c>
      <c r="P1200" s="10">
        <v>15</v>
      </c>
      <c r="Q1200" s="10">
        <v>15</v>
      </c>
      <c r="R1200" s="10">
        <v>12</v>
      </c>
    </row>
    <row r="1201" spans="1:18" ht="17" customHeight="1" x14ac:dyDescent="0.15">
      <c r="A1201" s="11" t="s">
        <v>6377</v>
      </c>
      <c r="B1201" s="1" t="s">
        <v>6378</v>
      </c>
      <c r="C1201" s="11" t="s">
        <v>6379</v>
      </c>
      <c r="D1201" s="11" t="s">
        <v>6379</v>
      </c>
      <c r="E1201" s="11" t="s">
        <v>6380</v>
      </c>
      <c r="F1201" s="11" t="s">
        <v>6381</v>
      </c>
      <c r="G1201" s="11" t="s">
        <v>6342</v>
      </c>
      <c r="H1201" s="11" t="s">
        <v>6343</v>
      </c>
      <c r="I1201" s="11" t="str">
        <f>HYPERLINK("http://www.trbaby.it/","www.trbaby.it")</f>
        <v>www.trbaby.it</v>
      </c>
      <c r="J1201" s="12">
        <v>4911.57</v>
      </c>
      <c r="K1201" s="12">
        <v>4911.57</v>
      </c>
      <c r="L1201" s="13">
        <v>5292.9939999999997</v>
      </c>
      <c r="M1201" s="12">
        <v>64.266000000000005</v>
      </c>
      <c r="N1201" s="12">
        <v>64.266000000000005</v>
      </c>
      <c r="O1201" s="12">
        <v>109.152</v>
      </c>
      <c r="P1201" s="14" t="s">
        <v>6337</v>
      </c>
      <c r="Q1201" s="14" t="s">
        <v>6337</v>
      </c>
      <c r="R1201" s="12">
        <v>17</v>
      </c>
    </row>
    <row r="1202" spans="1:18" ht="17" customHeight="1" x14ac:dyDescent="0.15">
      <c r="A1202" s="8" t="s">
        <v>6382</v>
      </c>
      <c r="B1202" s="9" t="s">
        <v>6383</v>
      </c>
      <c r="C1202" s="8" t="s">
        <v>6384</v>
      </c>
      <c r="D1202" s="8" t="s">
        <v>6384</v>
      </c>
      <c r="E1202" s="8" t="s">
        <v>6385</v>
      </c>
      <c r="F1202" s="8" t="s">
        <v>6299</v>
      </c>
      <c r="G1202" s="8" t="s">
        <v>6353</v>
      </c>
      <c r="H1202" s="8" t="s">
        <v>6294</v>
      </c>
      <c r="I1202" s="8" t="str">
        <f>HYPERLINK("http://shop.tirabasso.com/","shop.tirabasso.com")</f>
        <v>shop.tirabasso.com</v>
      </c>
      <c r="J1202" s="10">
        <v>5686.9960000000001</v>
      </c>
      <c r="K1202" s="10">
        <v>5686.9960000000001</v>
      </c>
      <c r="L1202" s="10">
        <v>5289.5510000000004</v>
      </c>
      <c r="M1202" s="10">
        <v>36.389000000000003</v>
      </c>
      <c r="N1202" s="10">
        <v>36.389000000000003</v>
      </c>
      <c r="O1202" s="10">
        <v>32.542999999999999</v>
      </c>
      <c r="P1202" s="10">
        <v>44</v>
      </c>
      <c r="Q1202" s="10">
        <v>44</v>
      </c>
      <c r="R1202" s="10">
        <v>39</v>
      </c>
    </row>
    <row r="1203" spans="1:18" ht="17" customHeight="1" x14ac:dyDescent="0.15">
      <c r="A1203" s="11" t="s">
        <v>6386</v>
      </c>
      <c r="B1203" s="1" t="s">
        <v>6387</v>
      </c>
      <c r="C1203" s="11" t="s">
        <v>6388</v>
      </c>
      <c r="D1203" s="11" t="s">
        <v>6389</v>
      </c>
      <c r="E1203" s="11" t="s">
        <v>6390</v>
      </c>
      <c r="F1203" s="11" t="s">
        <v>6310</v>
      </c>
      <c r="G1203" s="11" t="s">
        <v>6336</v>
      </c>
      <c r="H1203" s="11" t="s">
        <v>6312</v>
      </c>
      <c r="I1203" s="11" t="str">
        <f>HYPERLINK("http://www.europellsrl.it/","www.europellsrl.it")</f>
        <v>www.europellsrl.it</v>
      </c>
      <c r="J1203" s="12">
        <v>4113.6379999999999</v>
      </c>
      <c r="K1203" s="12">
        <v>4113.6379999999999</v>
      </c>
      <c r="L1203" s="13">
        <v>5287.7830000000004</v>
      </c>
      <c r="M1203" s="12">
        <v>-21.843</v>
      </c>
      <c r="N1203" s="12">
        <v>-21.843</v>
      </c>
      <c r="O1203" s="12">
        <v>59.853000000000002</v>
      </c>
      <c r="P1203" s="12">
        <v>18</v>
      </c>
      <c r="Q1203" s="12">
        <v>18</v>
      </c>
      <c r="R1203" s="12">
        <v>24</v>
      </c>
    </row>
    <row r="1204" spans="1:18" ht="17" customHeight="1" x14ac:dyDescent="0.15">
      <c r="A1204" s="8" t="s">
        <v>6391</v>
      </c>
      <c r="B1204" s="9" t="s">
        <v>6392</v>
      </c>
      <c r="C1204" s="8" t="s">
        <v>6393</v>
      </c>
      <c r="D1204" s="8" t="s">
        <v>6393</v>
      </c>
      <c r="E1204" s="8" t="s">
        <v>6394</v>
      </c>
      <c r="F1204" s="8" t="s">
        <v>6310</v>
      </c>
      <c r="G1204" s="8" t="s">
        <v>6395</v>
      </c>
      <c r="H1204" s="8" t="s">
        <v>6301</v>
      </c>
      <c r="I1204" s="8" t="str">
        <f>HYPERLINK("http://www.doraonline.it/","www.doraonline.it")</f>
        <v>www.doraonline.it</v>
      </c>
      <c r="J1204" s="10">
        <v>4866.74</v>
      </c>
      <c r="K1204" s="10">
        <v>4866.74</v>
      </c>
      <c r="L1204" s="10">
        <v>5278.3280000000004</v>
      </c>
      <c r="M1204" s="10">
        <v>117.604</v>
      </c>
      <c r="N1204" s="10">
        <v>117.604</v>
      </c>
      <c r="O1204" s="10">
        <v>52.383000000000003</v>
      </c>
      <c r="P1204" s="10">
        <v>1</v>
      </c>
      <c r="Q1204" s="10">
        <v>1</v>
      </c>
      <c r="R1204" s="10">
        <v>1</v>
      </c>
    </row>
    <row r="1205" spans="1:18" ht="17" customHeight="1" x14ac:dyDescent="0.15">
      <c r="A1205" s="11" t="s">
        <v>6396</v>
      </c>
      <c r="B1205" s="1" t="s">
        <v>6397</v>
      </c>
      <c r="C1205" s="11" t="s">
        <v>6398</v>
      </c>
      <c r="D1205" s="11" t="s">
        <v>6398</v>
      </c>
      <c r="E1205" s="11" t="s">
        <v>6399</v>
      </c>
      <c r="F1205" s="11" t="s">
        <v>6381</v>
      </c>
      <c r="G1205" s="11" t="s">
        <v>6329</v>
      </c>
      <c r="H1205" s="11" t="s">
        <v>6330</v>
      </c>
      <c r="I1205" s="11" t="str">
        <f>HYPERLINK("http://www.gioiamaglieria.it/","www.gioiamaglieria.it")</f>
        <v>www.gioiamaglieria.it</v>
      </c>
      <c r="J1205" s="12">
        <v>5904.2730000000001</v>
      </c>
      <c r="K1205" s="12">
        <v>5904.2730000000001</v>
      </c>
      <c r="L1205" s="13">
        <v>5265.7569999999996</v>
      </c>
      <c r="M1205" s="12">
        <v>180.517</v>
      </c>
      <c r="N1205" s="12">
        <v>180.517</v>
      </c>
      <c r="O1205" s="12">
        <v>160.18199999999999</v>
      </c>
      <c r="P1205" s="12">
        <v>21</v>
      </c>
      <c r="Q1205" s="12">
        <v>21</v>
      </c>
      <c r="R1205" s="12">
        <v>22</v>
      </c>
    </row>
    <row r="1206" spans="1:18" ht="17" customHeight="1" x14ac:dyDescent="0.15">
      <c r="A1206" s="8" t="s">
        <v>6400</v>
      </c>
      <c r="B1206" s="9" t="s">
        <v>6401</v>
      </c>
      <c r="C1206" s="8" t="s">
        <v>6402</v>
      </c>
      <c r="D1206" s="8" t="s">
        <v>6402</v>
      </c>
      <c r="E1206" s="8" t="s">
        <v>6403</v>
      </c>
      <c r="F1206" s="8" t="s">
        <v>6404</v>
      </c>
      <c r="G1206" s="8" t="s">
        <v>6405</v>
      </c>
      <c r="H1206" s="8" t="s">
        <v>6406</v>
      </c>
      <c r="I1206" s="8" t="str">
        <f>HYPERLINK("http://www.dollynoire.com/","www.dollynoire.com")</f>
        <v>www.dollynoire.com</v>
      </c>
      <c r="J1206" s="10">
        <v>5549.1760000000004</v>
      </c>
      <c r="K1206" s="10">
        <v>5549.1760000000004</v>
      </c>
      <c r="L1206" s="10">
        <v>5265.7190000000001</v>
      </c>
      <c r="M1206" s="10">
        <v>23.716999999999999</v>
      </c>
      <c r="N1206" s="10">
        <v>23.716999999999999</v>
      </c>
      <c r="O1206" s="10">
        <v>204.43799999999999</v>
      </c>
      <c r="P1206" s="10">
        <v>20</v>
      </c>
      <c r="Q1206" s="10">
        <v>20</v>
      </c>
      <c r="R1206" s="10">
        <v>15</v>
      </c>
    </row>
    <row r="1207" spans="1:18" ht="17" customHeight="1" x14ac:dyDescent="0.15">
      <c r="A1207" s="11" t="s">
        <v>6407</v>
      </c>
      <c r="B1207" s="1" t="s">
        <v>6408</v>
      </c>
      <c r="C1207" s="11" t="s">
        <v>6409</v>
      </c>
      <c r="D1207" s="11" t="s">
        <v>6409</v>
      </c>
      <c r="E1207" s="11" t="s">
        <v>6410</v>
      </c>
      <c r="F1207" s="11" t="s">
        <v>6411</v>
      </c>
      <c r="G1207" s="11" t="s">
        <v>6412</v>
      </c>
      <c r="H1207" s="11" t="s">
        <v>6301</v>
      </c>
      <c r="I1207" s="11" t="str">
        <f>HYPERLINK("http://www.pasasport.it/","www.pasasport.it")</f>
        <v>www.pasasport.it</v>
      </c>
      <c r="J1207" s="12">
        <v>2717.3180000000002</v>
      </c>
      <c r="K1207" s="12">
        <v>2717.3180000000002</v>
      </c>
      <c r="L1207" s="13">
        <v>5249.0929999999998</v>
      </c>
      <c r="M1207" s="12">
        <v>-238.46799999999999</v>
      </c>
      <c r="N1207" s="12">
        <v>-238.46799999999999</v>
      </c>
      <c r="O1207" s="12">
        <v>610.66499999999996</v>
      </c>
      <c r="P1207" s="12">
        <v>16</v>
      </c>
      <c r="Q1207" s="12">
        <v>16</v>
      </c>
      <c r="R1207" s="12">
        <v>16</v>
      </c>
    </row>
    <row r="1208" spans="1:18" ht="17" customHeight="1" x14ac:dyDescent="0.15">
      <c r="A1208" s="8" t="s">
        <v>6413</v>
      </c>
      <c r="B1208" s="9" t="s">
        <v>6414</v>
      </c>
      <c r="C1208" s="8" t="s">
        <v>6415</v>
      </c>
      <c r="D1208" s="8" t="s">
        <v>6415</v>
      </c>
      <c r="E1208" s="8" t="s">
        <v>6416</v>
      </c>
      <c r="F1208" s="8" t="s">
        <v>6328</v>
      </c>
      <c r="G1208" s="8" t="s">
        <v>6358</v>
      </c>
      <c r="H1208" s="8" t="s">
        <v>6359</v>
      </c>
      <c r="I1208" s="8" t="str">
        <f>HYPERLINK("http://www.maglificiopanicale.it/","www.maglificiopanicale.it")</f>
        <v>www.maglificiopanicale.it</v>
      </c>
      <c r="J1208" s="10">
        <v>9148.5210000000006</v>
      </c>
      <c r="K1208" s="10">
        <v>7520.2849999999999</v>
      </c>
      <c r="L1208" s="10">
        <v>5248.018</v>
      </c>
      <c r="M1208" s="10">
        <v>344.68700000000001</v>
      </c>
      <c r="N1208" s="10">
        <v>102.196</v>
      </c>
      <c r="O1208" s="10">
        <v>3.95</v>
      </c>
      <c r="P1208" s="15" t="s">
        <v>6337</v>
      </c>
      <c r="Q1208" s="15" t="s">
        <v>6337</v>
      </c>
      <c r="R1208" s="10">
        <v>19</v>
      </c>
    </row>
    <row r="1209" spans="1:18" ht="29.5" customHeight="1" x14ac:dyDescent="0.15">
      <c r="A1209" s="11" t="s">
        <v>6417</v>
      </c>
      <c r="B1209" s="1" t="s">
        <v>6418</v>
      </c>
      <c r="C1209" s="11" t="s">
        <v>6419</v>
      </c>
      <c r="D1209" s="11" t="s">
        <v>6419</v>
      </c>
      <c r="E1209" s="11" t="s">
        <v>6420</v>
      </c>
      <c r="F1209" s="11" t="s">
        <v>6299</v>
      </c>
      <c r="G1209" s="11" t="s">
        <v>6412</v>
      </c>
      <c r="H1209" s="11" t="s">
        <v>6301</v>
      </c>
      <c r="I1209" s="11" t="str">
        <f>HYPERLINK("http://www.tmfresearchcenter.com/","www.tmfresearchcenter.com")</f>
        <v>www.tmfresearchcenter.com</v>
      </c>
      <c r="J1209" s="12">
        <v>2925.8</v>
      </c>
      <c r="K1209" s="12">
        <v>2925.8</v>
      </c>
      <c r="L1209" s="13">
        <v>5240.616</v>
      </c>
      <c r="M1209" s="12">
        <v>194.095</v>
      </c>
      <c r="N1209" s="12">
        <v>194.095</v>
      </c>
      <c r="O1209" s="12">
        <v>647.42700000000002</v>
      </c>
      <c r="P1209" s="12">
        <v>35</v>
      </c>
      <c r="Q1209" s="12">
        <v>35</v>
      </c>
      <c r="R1209" s="12">
        <v>41</v>
      </c>
    </row>
    <row r="1210" spans="1:18" ht="29.5" customHeight="1" x14ac:dyDescent="0.15">
      <c r="A1210" s="8" t="s">
        <v>6421</v>
      </c>
      <c r="B1210" s="9" t="s">
        <v>6422</v>
      </c>
      <c r="C1210" s="8" t="s">
        <v>6423</v>
      </c>
      <c r="D1210" s="8" t="s">
        <v>6423</v>
      </c>
      <c r="E1210" s="8" t="s">
        <v>6424</v>
      </c>
      <c r="F1210" s="8" t="s">
        <v>6328</v>
      </c>
      <c r="G1210" s="8" t="s">
        <v>6425</v>
      </c>
      <c r="H1210" s="8" t="s">
        <v>6312</v>
      </c>
      <c r="I1210" s="8" t="str">
        <f>HYPERLINK("http://www.effettomaglia.com/","www.effettomaglia.com")</f>
        <v>www.effettomaglia.com</v>
      </c>
      <c r="J1210" s="10">
        <v>4948.3519999999999</v>
      </c>
      <c r="K1210" s="10">
        <v>4948.3519999999999</v>
      </c>
      <c r="L1210" s="10">
        <v>5240.4759999999997</v>
      </c>
      <c r="M1210" s="10">
        <v>161.81399999999999</v>
      </c>
      <c r="N1210" s="10">
        <v>161.81399999999999</v>
      </c>
      <c r="O1210" s="10">
        <v>374.95</v>
      </c>
      <c r="P1210" s="15" t="s">
        <v>6337</v>
      </c>
      <c r="Q1210" s="15" t="s">
        <v>6337</v>
      </c>
      <c r="R1210" s="10">
        <v>10</v>
      </c>
    </row>
    <row r="1211" spans="1:18" ht="17" customHeight="1" x14ac:dyDescent="0.15">
      <c r="A1211" s="11" t="s">
        <v>6426</v>
      </c>
      <c r="B1211" s="1" t="s">
        <v>6427</v>
      </c>
      <c r="C1211" s="11" t="s">
        <v>6428</v>
      </c>
      <c r="D1211" s="11" t="s">
        <v>6428</v>
      </c>
      <c r="E1211" s="11" t="s">
        <v>6429</v>
      </c>
      <c r="F1211" s="11" t="s">
        <v>6299</v>
      </c>
      <c r="G1211" s="11" t="s">
        <v>6430</v>
      </c>
      <c r="H1211" s="11" t="s">
        <v>6431</v>
      </c>
      <c r="I1211" s="11" t="str">
        <f>HYPERLINK("http://www.semmanifatture.it/","www.semmanifatture.it")</f>
        <v>www.semmanifatture.it</v>
      </c>
      <c r="J1211" s="12">
        <v>5099.7179999999998</v>
      </c>
      <c r="K1211" s="12">
        <v>5099.7179999999998</v>
      </c>
      <c r="L1211" s="13">
        <v>5231.4319999999998</v>
      </c>
      <c r="M1211" s="12">
        <v>119.28400000000001</v>
      </c>
      <c r="N1211" s="12">
        <v>119.28400000000001</v>
      </c>
      <c r="O1211" s="12">
        <v>119.33</v>
      </c>
      <c r="P1211" s="12">
        <v>32</v>
      </c>
      <c r="Q1211" s="12">
        <v>32</v>
      </c>
      <c r="R1211" s="12">
        <v>26</v>
      </c>
    </row>
    <row r="1212" spans="1:18" ht="17" customHeight="1" x14ac:dyDescent="0.15">
      <c r="A1212" s="8" t="s">
        <v>6432</v>
      </c>
      <c r="B1212" s="9" t="s">
        <v>6433</v>
      </c>
      <c r="C1212" s="8" t="s">
        <v>6434</v>
      </c>
      <c r="D1212" s="8" t="s">
        <v>6434</v>
      </c>
      <c r="E1212" s="8" t="s">
        <v>6435</v>
      </c>
      <c r="F1212" s="8" t="s">
        <v>6310</v>
      </c>
      <c r="G1212" s="8" t="s">
        <v>6311</v>
      </c>
      <c r="H1212" s="8" t="s">
        <v>6312</v>
      </c>
      <c r="I1212" s="8" t="str">
        <f>HYPERLINK("http://treeffegroup.it/","treeffegroup.it")</f>
        <v>treeffegroup.it</v>
      </c>
      <c r="J1212" s="10">
        <v>4395.7809999999999</v>
      </c>
      <c r="K1212" s="10">
        <v>4395.7809999999999</v>
      </c>
      <c r="L1212" s="10">
        <v>5226.4709999999995</v>
      </c>
      <c r="M1212" s="10">
        <v>-68.486999999999995</v>
      </c>
      <c r="N1212" s="10">
        <v>-68.486999999999995</v>
      </c>
      <c r="O1212" s="10">
        <v>-52.048999999999999</v>
      </c>
      <c r="P1212" s="10">
        <v>13</v>
      </c>
      <c r="Q1212" s="10">
        <v>13</v>
      </c>
      <c r="R1212" s="10">
        <v>14</v>
      </c>
    </row>
    <row r="1213" spans="1:18" ht="17" customHeight="1" x14ac:dyDescent="0.15">
      <c r="A1213" s="11" t="s">
        <v>6436</v>
      </c>
      <c r="B1213" s="1" t="s">
        <v>6437</v>
      </c>
      <c r="C1213" s="11" t="s">
        <v>6438</v>
      </c>
      <c r="D1213" s="11" t="s">
        <v>6438</v>
      </c>
      <c r="E1213" s="11" t="s">
        <v>6439</v>
      </c>
      <c r="F1213" s="11" t="s">
        <v>6321</v>
      </c>
      <c r="G1213" s="11" t="s">
        <v>6342</v>
      </c>
      <c r="H1213" s="11" t="s">
        <v>6343</v>
      </c>
      <c r="I1213" s="11" t="str">
        <f>HYPERLINK("http://entreamis.it/","entreamis.it")</f>
        <v>entreamis.it</v>
      </c>
      <c r="J1213" s="12">
        <v>4760.9120000000003</v>
      </c>
      <c r="K1213" s="12">
        <v>4760.9120000000003</v>
      </c>
      <c r="L1213" s="13">
        <v>5221.7110000000002</v>
      </c>
      <c r="M1213" s="12">
        <v>246.9</v>
      </c>
      <c r="N1213" s="12">
        <v>246.9</v>
      </c>
      <c r="O1213" s="12">
        <v>433.7</v>
      </c>
      <c r="P1213" s="12">
        <v>16</v>
      </c>
      <c r="Q1213" s="12">
        <v>16</v>
      </c>
      <c r="R1213" s="12">
        <v>14</v>
      </c>
    </row>
    <row r="1214" spans="1:18" ht="17" customHeight="1" x14ac:dyDescent="0.15">
      <c r="A1214" s="8" t="s">
        <v>6440</v>
      </c>
      <c r="B1214" s="9" t="s">
        <v>6441</v>
      </c>
      <c r="C1214" s="8" t="s">
        <v>6442</v>
      </c>
      <c r="D1214" s="8" t="s">
        <v>6442</v>
      </c>
      <c r="E1214" s="8" t="s">
        <v>6443</v>
      </c>
      <c r="F1214" s="8" t="s">
        <v>6310</v>
      </c>
      <c r="G1214" s="8" t="s">
        <v>6353</v>
      </c>
      <c r="H1214" s="8" t="s">
        <v>6294</v>
      </c>
      <c r="I1214" s="8" t="str">
        <f>HYPERLINK("http://www.rocpellami.com/","www.rocpellami.com")</f>
        <v>www.rocpellami.com</v>
      </c>
      <c r="J1214" s="10">
        <v>3211.1439999999998</v>
      </c>
      <c r="K1214" s="10">
        <v>3211.1439999999998</v>
      </c>
      <c r="L1214" s="10">
        <v>5215.3209999999999</v>
      </c>
      <c r="M1214" s="10">
        <v>31.657</v>
      </c>
      <c r="N1214" s="10">
        <v>31.657</v>
      </c>
      <c r="O1214" s="10">
        <v>22.811</v>
      </c>
      <c r="P1214" s="10">
        <v>8</v>
      </c>
      <c r="Q1214" s="10">
        <v>8</v>
      </c>
      <c r="R1214" s="10">
        <v>9</v>
      </c>
    </row>
    <row r="1215" spans="1:18" ht="17" customHeight="1" x14ac:dyDescent="0.15">
      <c r="A1215" s="11" t="s">
        <v>6444</v>
      </c>
      <c r="B1215" s="1" t="s">
        <v>6445</v>
      </c>
      <c r="C1215" s="11" t="s">
        <v>6446</v>
      </c>
      <c r="D1215" s="11" t="s">
        <v>6446</v>
      </c>
      <c r="E1215" s="11" t="s">
        <v>6447</v>
      </c>
      <c r="F1215" s="11" t="s">
        <v>6381</v>
      </c>
      <c r="G1215" s="11" t="s">
        <v>6448</v>
      </c>
      <c r="H1215" s="11" t="s">
        <v>6343</v>
      </c>
      <c r="I1215" s="11" t="str">
        <f>HYPERLINK("http://www.modexpress.it/","www.modexpress.it")</f>
        <v>www.modexpress.it</v>
      </c>
      <c r="J1215" s="12">
        <v>5155.4430000000002</v>
      </c>
      <c r="K1215" s="12">
        <v>5155.4430000000002</v>
      </c>
      <c r="L1215" s="13">
        <v>5209.3620000000001</v>
      </c>
      <c r="M1215" s="12">
        <v>4.5759999999999996</v>
      </c>
      <c r="N1215" s="12">
        <v>4.5759999999999996</v>
      </c>
      <c r="O1215" s="12">
        <v>136.131</v>
      </c>
      <c r="P1215" s="12">
        <v>29</v>
      </c>
      <c r="Q1215" s="12">
        <v>29</v>
      </c>
      <c r="R1215" s="12">
        <v>41</v>
      </c>
    </row>
    <row r="1216" spans="1:18" ht="17" customHeight="1" x14ac:dyDescent="0.15">
      <c r="A1216" s="8" t="s">
        <v>6449</v>
      </c>
      <c r="B1216" s="9" t="s">
        <v>6450</v>
      </c>
      <c r="C1216" s="8" t="s">
        <v>6451</v>
      </c>
      <c r="D1216" s="8" t="s">
        <v>6451</v>
      </c>
      <c r="E1216" s="8" t="s">
        <v>6452</v>
      </c>
      <c r="F1216" s="8" t="s">
        <v>6292</v>
      </c>
      <c r="G1216" s="8" t="s">
        <v>6353</v>
      </c>
      <c r="H1216" s="8" t="s">
        <v>6294</v>
      </c>
      <c r="I1216" s="8" t="str">
        <f>HYPERLINK("http://www.gsbsrl.it/","www.gsbsrl.it")</f>
        <v>www.gsbsrl.it</v>
      </c>
      <c r="J1216" s="10">
        <v>4646.4009999999998</v>
      </c>
      <c r="K1216" s="10">
        <v>4646.4009999999998</v>
      </c>
      <c r="L1216" s="10">
        <v>5202.8819999999996</v>
      </c>
      <c r="M1216" s="10">
        <v>128.06700000000001</v>
      </c>
      <c r="N1216" s="10">
        <v>128.06700000000001</v>
      </c>
      <c r="O1216" s="10">
        <v>356.36599999999999</v>
      </c>
      <c r="P1216" s="10">
        <v>64</v>
      </c>
      <c r="Q1216" s="10">
        <v>64</v>
      </c>
      <c r="R1216" s="10">
        <v>65</v>
      </c>
    </row>
    <row r="1217" spans="1:18" ht="17" customHeight="1" x14ac:dyDescent="0.15">
      <c r="A1217" s="11" t="s">
        <v>6453</v>
      </c>
      <c r="B1217" s="1" t="s">
        <v>6454</v>
      </c>
      <c r="C1217" s="11" t="s">
        <v>6455</v>
      </c>
      <c r="D1217" s="11" t="s">
        <v>6455</v>
      </c>
      <c r="E1217" s="11" t="s">
        <v>6456</v>
      </c>
      <c r="F1217" s="11" t="s">
        <v>6457</v>
      </c>
      <c r="G1217" s="11" t="s">
        <v>6458</v>
      </c>
      <c r="H1217" s="11" t="s">
        <v>6459</v>
      </c>
      <c r="I1217" s="11" t="str">
        <f>HYPERLINK("http://www.morettimoda.it/","www.morettimoda.it")</f>
        <v>www.morettimoda.it</v>
      </c>
      <c r="J1217" s="12">
        <v>6431.4620000000004</v>
      </c>
      <c r="K1217" s="12">
        <v>6431.4620000000004</v>
      </c>
      <c r="L1217" s="13">
        <v>5189.1229999999996</v>
      </c>
      <c r="M1217" s="12">
        <v>432.375</v>
      </c>
      <c r="N1217" s="12">
        <v>432.375</v>
      </c>
      <c r="O1217" s="12">
        <v>295.59199999999998</v>
      </c>
      <c r="P1217" s="14" t="s">
        <v>6460</v>
      </c>
      <c r="Q1217" s="14" t="s">
        <v>6460</v>
      </c>
      <c r="R1217" s="12">
        <v>22</v>
      </c>
    </row>
    <row r="1218" spans="1:18" ht="17" customHeight="1" x14ac:dyDescent="0.15">
      <c r="A1218" s="8" t="s">
        <v>6461</v>
      </c>
      <c r="B1218" s="9" t="s">
        <v>6462</v>
      </c>
      <c r="C1218" s="8" t="s">
        <v>6463</v>
      </c>
      <c r="D1218" s="8" t="s">
        <v>6463</v>
      </c>
      <c r="E1218" s="8" t="s">
        <v>6464</v>
      </c>
      <c r="F1218" s="8" t="s">
        <v>6465</v>
      </c>
      <c r="G1218" s="8" t="s">
        <v>6466</v>
      </c>
      <c r="H1218" s="8" t="s">
        <v>6459</v>
      </c>
      <c r="I1218" s="8" t="str">
        <f>HYPERLINK("http://www.madrilena.it/","www.madrilena.it")</f>
        <v>www.madrilena.it</v>
      </c>
      <c r="J1218" s="10">
        <v>3849.2049999999999</v>
      </c>
      <c r="K1218" s="10">
        <v>3849.2049999999999</v>
      </c>
      <c r="L1218" s="10">
        <v>5188.9780000000001</v>
      </c>
      <c r="M1218" s="10">
        <v>40.585000000000001</v>
      </c>
      <c r="N1218" s="10">
        <v>40.585000000000001</v>
      </c>
      <c r="O1218" s="10">
        <v>112.471</v>
      </c>
      <c r="P1218" s="10">
        <v>9</v>
      </c>
      <c r="Q1218" s="10">
        <v>9</v>
      </c>
      <c r="R1218" s="10">
        <v>9</v>
      </c>
    </row>
    <row r="1219" spans="1:18" ht="17" customHeight="1" x14ac:dyDescent="0.15">
      <c r="A1219" s="11" t="s">
        <v>6467</v>
      </c>
      <c r="B1219" s="1" t="s">
        <v>6468</v>
      </c>
      <c r="C1219" s="11" t="s">
        <v>6469</v>
      </c>
      <c r="D1219" s="11" t="s">
        <v>6469</v>
      </c>
      <c r="E1219" s="11" t="s">
        <v>6470</v>
      </c>
      <c r="F1219" s="11" t="s">
        <v>6471</v>
      </c>
      <c r="G1219" s="11" t="s">
        <v>6472</v>
      </c>
      <c r="H1219" s="11" t="s">
        <v>6459</v>
      </c>
      <c r="I1219" s="11" t="str">
        <f>HYPERLINK("http://www.pinup.it/","www.pinup.it")</f>
        <v>www.pinup.it</v>
      </c>
      <c r="J1219" s="12">
        <v>4517.3779999999997</v>
      </c>
      <c r="K1219" s="12">
        <v>5712.0690000000004</v>
      </c>
      <c r="L1219" s="13">
        <v>5188.3819999999996</v>
      </c>
      <c r="M1219" s="12">
        <v>417.99200000000002</v>
      </c>
      <c r="N1219" s="12">
        <v>658.41099999999994</v>
      </c>
      <c r="O1219" s="12">
        <v>608.39</v>
      </c>
      <c r="P1219" s="12">
        <v>18</v>
      </c>
      <c r="Q1219" s="12">
        <v>19</v>
      </c>
      <c r="R1219" s="12">
        <v>18</v>
      </c>
    </row>
    <row r="1220" spans="1:18" ht="17" customHeight="1" x14ac:dyDescent="0.15">
      <c r="A1220" s="8" t="s">
        <v>6473</v>
      </c>
      <c r="B1220" s="9" t="s">
        <v>6474</v>
      </c>
      <c r="C1220" s="8" t="s">
        <v>6475</v>
      </c>
      <c r="D1220" s="8" t="s">
        <v>6475</v>
      </c>
      <c r="E1220" s="8" t="s">
        <v>6476</v>
      </c>
      <c r="F1220" s="8" t="s">
        <v>6477</v>
      </c>
      <c r="G1220" s="8" t="s">
        <v>6478</v>
      </c>
      <c r="H1220" s="8" t="s">
        <v>6479</v>
      </c>
      <c r="I1220" s="8" t="str">
        <f>HYPERLINK("http://rindi.eu/","rindi.eu")</f>
        <v>rindi.eu</v>
      </c>
      <c r="J1220" s="10">
        <v>5039.0770000000002</v>
      </c>
      <c r="K1220" s="10">
        <v>5039.0770000000002</v>
      </c>
      <c r="L1220" s="10">
        <v>5188.2550000000001</v>
      </c>
      <c r="M1220" s="10">
        <v>11.542</v>
      </c>
      <c r="N1220" s="10">
        <v>11.542</v>
      </c>
      <c r="O1220" s="10">
        <v>17.486999999999998</v>
      </c>
      <c r="P1220" s="10">
        <v>19</v>
      </c>
      <c r="Q1220" s="10">
        <v>19</v>
      </c>
      <c r="R1220" s="10">
        <v>21</v>
      </c>
    </row>
    <row r="1221" spans="1:18" ht="17" customHeight="1" x14ac:dyDescent="0.15">
      <c r="A1221" s="11" t="s">
        <v>6480</v>
      </c>
      <c r="B1221" s="1" t="s">
        <v>6481</v>
      </c>
      <c r="C1221" s="11" t="s">
        <v>6482</v>
      </c>
      <c r="D1221" s="11" t="s">
        <v>6482</v>
      </c>
      <c r="E1221" s="11" t="s">
        <v>6483</v>
      </c>
      <c r="F1221" s="11" t="s">
        <v>6457</v>
      </c>
      <c r="G1221" s="11" t="s">
        <v>6484</v>
      </c>
      <c r="H1221" s="11" t="s">
        <v>6479</v>
      </c>
      <c r="I1221" s="11" t="str">
        <f>HYPERLINK("http://costumidabagnolefoglie.it/","costumidabagnolefoglie.it")</f>
        <v>costumidabagnolefoglie.it</v>
      </c>
      <c r="J1221" s="12">
        <v>3548.9259999999999</v>
      </c>
      <c r="K1221" s="12">
        <v>4944.3729999999996</v>
      </c>
      <c r="L1221" s="13">
        <v>5186.9480000000003</v>
      </c>
      <c r="M1221" s="12">
        <v>43.948999999999998</v>
      </c>
      <c r="N1221" s="12">
        <v>317.553</v>
      </c>
      <c r="O1221" s="12">
        <v>728.65899999999999</v>
      </c>
      <c r="P1221" s="14" t="s">
        <v>6460</v>
      </c>
      <c r="Q1221" s="12">
        <v>41</v>
      </c>
      <c r="R1221" s="12">
        <v>39</v>
      </c>
    </row>
    <row r="1222" spans="1:18" ht="17" customHeight="1" x14ac:dyDescent="0.15">
      <c r="A1222" s="8" t="s">
        <v>6485</v>
      </c>
      <c r="B1222" s="9" t="s">
        <v>6486</v>
      </c>
      <c r="C1222" s="8" t="s">
        <v>6487</v>
      </c>
      <c r="D1222" s="8" t="s">
        <v>6487</v>
      </c>
      <c r="E1222" s="8" t="s">
        <v>6488</v>
      </c>
      <c r="F1222" s="8" t="s">
        <v>6489</v>
      </c>
      <c r="G1222" s="8" t="s">
        <v>6490</v>
      </c>
      <c r="H1222" s="8" t="s">
        <v>6491</v>
      </c>
      <c r="I1222" s="8" t="str">
        <f>HYPERLINK("http://www.corsovannuccicashmere.it/","www.corsovannuccicashmere.it")</f>
        <v>www.corsovannuccicashmere.it</v>
      </c>
      <c r="J1222" s="10">
        <v>4784.8249999999998</v>
      </c>
      <c r="K1222" s="10">
        <v>4784.8249999999998</v>
      </c>
      <c r="L1222" s="10">
        <v>5172.759</v>
      </c>
      <c r="M1222" s="10">
        <v>614.41700000000003</v>
      </c>
      <c r="N1222" s="10">
        <v>614.41700000000003</v>
      </c>
      <c r="O1222" s="10">
        <v>657.21500000000003</v>
      </c>
      <c r="P1222" s="10">
        <v>19</v>
      </c>
      <c r="Q1222" s="10">
        <v>19</v>
      </c>
      <c r="R1222" s="10">
        <v>20</v>
      </c>
    </row>
    <row r="1223" spans="1:18" ht="17" customHeight="1" x14ac:dyDescent="0.15">
      <c r="A1223" s="11" t="s">
        <v>6492</v>
      </c>
      <c r="B1223" s="1" t="s">
        <v>6493</v>
      </c>
      <c r="C1223" s="11" t="s">
        <v>6494</v>
      </c>
      <c r="D1223" s="11" t="s">
        <v>6494</v>
      </c>
      <c r="E1223" s="11" t="s">
        <v>6495</v>
      </c>
      <c r="F1223" s="11" t="s">
        <v>6496</v>
      </c>
      <c r="G1223" s="11" t="s">
        <v>6478</v>
      </c>
      <c r="H1223" s="11" t="s">
        <v>6479</v>
      </c>
      <c r="I1223" s="11" t="str">
        <f>HYPERLINK("http://www.leatherluxury.it/","www.leatherluxury.it")</f>
        <v>www.leatherluxury.it</v>
      </c>
      <c r="J1223" s="12">
        <v>4948.9269999999997</v>
      </c>
      <c r="K1223" s="12">
        <v>4948.9269999999997</v>
      </c>
      <c r="L1223" s="13">
        <v>5158.2690000000002</v>
      </c>
      <c r="M1223" s="12">
        <v>551.08399999999995</v>
      </c>
      <c r="N1223" s="12">
        <v>551.08399999999995</v>
      </c>
      <c r="O1223" s="12">
        <v>540.096</v>
      </c>
      <c r="P1223" s="12">
        <v>19</v>
      </c>
      <c r="Q1223" s="12">
        <v>19</v>
      </c>
      <c r="R1223" s="12">
        <v>17</v>
      </c>
    </row>
    <row r="1224" spans="1:18" ht="17" customHeight="1" x14ac:dyDescent="0.15">
      <c r="A1224" s="8" t="s">
        <v>6497</v>
      </c>
      <c r="B1224" s="9" t="s">
        <v>6498</v>
      </c>
      <c r="C1224" s="8" t="s">
        <v>6499</v>
      </c>
      <c r="D1224" s="8" t="s">
        <v>6499</v>
      </c>
      <c r="E1224" s="8" t="s">
        <v>6500</v>
      </c>
      <c r="F1224" s="8" t="s">
        <v>6501</v>
      </c>
      <c r="G1224" s="8" t="s">
        <v>6502</v>
      </c>
      <c r="H1224" s="8" t="s">
        <v>6479</v>
      </c>
      <c r="I1224" s="8" t="str">
        <f>HYPERLINK("http://www.bhwsrl.it/","www.bhwsrl.it")</f>
        <v>www.bhwsrl.it</v>
      </c>
      <c r="J1224" s="10">
        <v>5129.26</v>
      </c>
      <c r="K1224" s="10">
        <v>5129.26</v>
      </c>
      <c r="L1224" s="10">
        <v>5156.4110000000001</v>
      </c>
      <c r="M1224" s="10">
        <v>69.09</v>
      </c>
      <c r="N1224" s="10">
        <v>69.09</v>
      </c>
      <c r="O1224" s="10">
        <v>-11.000999999999999</v>
      </c>
      <c r="P1224" s="10">
        <v>11</v>
      </c>
      <c r="Q1224" s="10">
        <v>11</v>
      </c>
      <c r="R1224" s="10">
        <v>11</v>
      </c>
    </row>
    <row r="1225" spans="1:18" ht="17" customHeight="1" x14ac:dyDescent="0.15">
      <c r="A1225" s="11" t="s">
        <v>6503</v>
      </c>
      <c r="B1225" s="1" t="s">
        <v>6504</v>
      </c>
      <c r="C1225" s="11" t="s">
        <v>6505</v>
      </c>
      <c r="D1225" s="11" t="s">
        <v>6505</v>
      </c>
      <c r="E1225" s="11" t="s">
        <v>6506</v>
      </c>
      <c r="F1225" s="11" t="s">
        <v>6507</v>
      </c>
      <c r="G1225" s="11" t="s">
        <v>6508</v>
      </c>
      <c r="H1225" s="11" t="s">
        <v>6509</v>
      </c>
      <c r="I1225" s="11" t="str">
        <f>HYPERLINK("http://www.nuovaleon.com/","www.nuovaleon.com")</f>
        <v>www.nuovaleon.com</v>
      </c>
      <c r="J1225" s="12">
        <v>5263.7209999999995</v>
      </c>
      <c r="K1225" s="12">
        <v>5263.7209999999995</v>
      </c>
      <c r="L1225" s="13">
        <v>5150.5860000000002</v>
      </c>
      <c r="M1225" s="12">
        <v>29.39</v>
      </c>
      <c r="N1225" s="12">
        <v>29.39</v>
      </c>
      <c r="O1225" s="12">
        <v>95.173000000000002</v>
      </c>
      <c r="P1225" s="12">
        <v>22</v>
      </c>
      <c r="Q1225" s="12">
        <v>22</v>
      </c>
      <c r="R1225" s="12">
        <v>19</v>
      </c>
    </row>
    <row r="1226" spans="1:18" ht="17" customHeight="1" x14ac:dyDescent="0.15">
      <c r="A1226" s="8" t="s">
        <v>6510</v>
      </c>
      <c r="B1226" s="9" t="s">
        <v>6511</v>
      </c>
      <c r="C1226" s="8" t="s">
        <v>6512</v>
      </c>
      <c r="D1226" s="8" t="s">
        <v>6512</v>
      </c>
      <c r="E1226" s="8" t="s">
        <v>6513</v>
      </c>
      <c r="F1226" s="8" t="s">
        <v>6496</v>
      </c>
      <c r="G1226" s="8" t="s">
        <v>6478</v>
      </c>
      <c r="H1226" s="8" t="s">
        <v>6479</v>
      </c>
      <c r="I1226" s="8" t="str">
        <f>HYPERLINK("http://www.dreampell.it/","www.dreampell.it")</f>
        <v>www.dreampell.it</v>
      </c>
      <c r="J1226" s="10">
        <v>4318.8159999999998</v>
      </c>
      <c r="K1226" s="10">
        <v>4318.8159999999998</v>
      </c>
      <c r="L1226" s="10">
        <v>5144.9809999999998</v>
      </c>
      <c r="M1226" s="10">
        <v>-68.992000000000004</v>
      </c>
      <c r="N1226" s="10">
        <v>-68.992000000000004</v>
      </c>
      <c r="O1226" s="10">
        <v>173.43700000000001</v>
      </c>
      <c r="P1226" s="10">
        <v>68</v>
      </c>
      <c r="Q1226" s="10">
        <v>68</v>
      </c>
      <c r="R1226" s="10">
        <v>74</v>
      </c>
    </row>
    <row r="1227" spans="1:18" ht="17" customHeight="1" x14ac:dyDescent="0.15">
      <c r="A1227" s="11" t="s">
        <v>6514</v>
      </c>
      <c r="B1227" s="1" t="s">
        <v>6515</v>
      </c>
      <c r="C1227" s="11" t="s">
        <v>6516</v>
      </c>
      <c r="D1227" s="11" t="s">
        <v>6516</v>
      </c>
      <c r="E1227" s="11" t="s">
        <v>6517</v>
      </c>
      <c r="F1227" s="11" t="s">
        <v>6518</v>
      </c>
      <c r="G1227" s="11" t="s">
        <v>6502</v>
      </c>
      <c r="H1227" s="11" t="s">
        <v>6479</v>
      </c>
      <c r="I1227" s="11" t="str">
        <f>HYPERLINK("http://www.saeni.it/","www.saeni.it")</f>
        <v>www.saeni.it</v>
      </c>
      <c r="J1227" s="12">
        <v>3884.0309999999999</v>
      </c>
      <c r="K1227" s="12">
        <v>3884.0309999999999</v>
      </c>
      <c r="L1227" s="13">
        <v>5141.2089999999998</v>
      </c>
      <c r="M1227" s="12">
        <v>20.527999999999999</v>
      </c>
      <c r="N1227" s="12">
        <v>20.527999999999999</v>
      </c>
      <c r="O1227" s="12">
        <v>128.44999999999999</v>
      </c>
      <c r="P1227" s="14" t="s">
        <v>6460</v>
      </c>
      <c r="Q1227" s="14" t="s">
        <v>6460</v>
      </c>
      <c r="R1227" s="12">
        <v>15</v>
      </c>
    </row>
    <row r="1228" spans="1:18" ht="17" customHeight="1" x14ac:dyDescent="0.15">
      <c r="A1228" s="8" t="s">
        <v>6519</v>
      </c>
      <c r="B1228" s="9" t="s">
        <v>6520</v>
      </c>
      <c r="C1228" s="8" t="s">
        <v>6521</v>
      </c>
      <c r="D1228" s="8" t="s">
        <v>6521</v>
      </c>
      <c r="E1228" s="8" t="s">
        <v>6522</v>
      </c>
      <c r="F1228" s="8" t="s">
        <v>6523</v>
      </c>
      <c r="G1228" s="8" t="s">
        <v>6524</v>
      </c>
      <c r="H1228" s="8" t="s">
        <v>6459</v>
      </c>
      <c r="I1228" s="8" t="str">
        <f>HYPERLINK("http://www.maxisuola.it/","www.maxisuola.it/")</f>
        <v>www.maxisuola.it/</v>
      </c>
      <c r="J1228" s="10">
        <v>5372.8580000000002</v>
      </c>
      <c r="K1228" s="10">
        <v>5372.8580000000002</v>
      </c>
      <c r="L1228" s="10">
        <v>5130.7950000000001</v>
      </c>
      <c r="M1228" s="10">
        <v>301.96699999999998</v>
      </c>
      <c r="N1228" s="10">
        <v>301.96699999999998</v>
      </c>
      <c r="O1228" s="10">
        <v>331.029</v>
      </c>
      <c r="P1228" s="10">
        <v>30</v>
      </c>
      <c r="Q1228" s="10">
        <v>30</v>
      </c>
      <c r="R1228" s="10">
        <v>30</v>
      </c>
    </row>
    <row r="1229" spans="1:18" ht="17" customHeight="1" x14ac:dyDescent="0.15">
      <c r="A1229" s="11" t="s">
        <v>6525</v>
      </c>
      <c r="B1229" s="1" t="s">
        <v>6526</v>
      </c>
      <c r="C1229" s="11" t="s">
        <v>6527</v>
      </c>
      <c r="D1229" s="11" t="s">
        <v>6527</v>
      </c>
      <c r="E1229" s="11" t="s">
        <v>6528</v>
      </c>
      <c r="F1229" s="11" t="s">
        <v>6457</v>
      </c>
      <c r="G1229" s="11" t="s">
        <v>6502</v>
      </c>
      <c r="H1229" s="11" t="s">
        <v>6479</v>
      </c>
      <c r="I1229" s="11" t="str">
        <f>HYPERLINK("http://www.confezioniluma.com/","www.confezioniluma.com")</f>
        <v>www.confezioniluma.com</v>
      </c>
      <c r="J1229" s="12">
        <v>4946.7879999999996</v>
      </c>
      <c r="K1229" s="12">
        <v>4946.7879999999996</v>
      </c>
      <c r="L1229" s="13">
        <v>5118.893</v>
      </c>
      <c r="M1229" s="12">
        <v>110.11199999999999</v>
      </c>
      <c r="N1229" s="12">
        <v>110.11199999999999</v>
      </c>
      <c r="O1229" s="12">
        <v>62.651000000000003</v>
      </c>
      <c r="P1229" s="12">
        <v>12</v>
      </c>
      <c r="Q1229" s="12">
        <v>12</v>
      </c>
      <c r="R1229" s="12">
        <v>11</v>
      </c>
    </row>
    <row r="1230" spans="1:18" ht="17" customHeight="1" x14ac:dyDescent="0.15">
      <c r="A1230" s="8" t="s">
        <v>6529</v>
      </c>
      <c r="B1230" s="9" t="s">
        <v>6530</v>
      </c>
      <c r="C1230" s="8" t="s">
        <v>6531</v>
      </c>
      <c r="D1230" s="8" t="s">
        <v>6531</v>
      </c>
      <c r="E1230" s="8" t="s">
        <v>6532</v>
      </c>
      <c r="F1230" s="8" t="s">
        <v>6533</v>
      </c>
      <c r="G1230" s="8" t="s">
        <v>6534</v>
      </c>
      <c r="H1230" s="8" t="s">
        <v>6535</v>
      </c>
      <c r="I1230" s="8" t="str">
        <f>HYPERLINK("http://www.fru.it/","www.fru.it")</f>
        <v>www.fru.it</v>
      </c>
      <c r="J1230" s="10">
        <v>4645.7179999999998</v>
      </c>
      <c r="K1230" s="10">
        <v>4645.7179999999998</v>
      </c>
      <c r="L1230" s="10">
        <v>5116.8140000000003</v>
      </c>
      <c r="M1230" s="10">
        <v>110.58</v>
      </c>
      <c r="N1230" s="10">
        <v>110.58</v>
      </c>
      <c r="O1230" s="10">
        <v>120.07899999999999</v>
      </c>
      <c r="P1230" s="10">
        <v>36</v>
      </c>
      <c r="Q1230" s="10">
        <v>36</v>
      </c>
      <c r="R1230" s="10">
        <v>39</v>
      </c>
    </row>
    <row r="1231" spans="1:18" ht="17" customHeight="1" x14ac:dyDescent="0.15">
      <c r="A1231" s="11" t="s">
        <v>6536</v>
      </c>
      <c r="B1231" s="1" t="s">
        <v>6537</v>
      </c>
      <c r="C1231" s="11" t="s">
        <v>6538</v>
      </c>
      <c r="D1231" s="11" t="s">
        <v>6538</v>
      </c>
      <c r="E1231" s="11" t="s">
        <v>6539</v>
      </c>
      <c r="F1231" s="11" t="s">
        <v>6540</v>
      </c>
      <c r="G1231" s="11" t="s">
        <v>6541</v>
      </c>
      <c r="H1231" s="11" t="s">
        <v>6542</v>
      </c>
      <c r="I1231" s="11" t="str">
        <f>HYPERLINK("http://www.calzeileana.it/","www.calzeileana.it")</f>
        <v>www.calzeileana.it</v>
      </c>
      <c r="J1231" s="12">
        <v>3804.1849999999999</v>
      </c>
      <c r="K1231" s="12">
        <v>3804.1849999999999</v>
      </c>
      <c r="L1231" s="13">
        <v>5116.1989999999996</v>
      </c>
      <c r="M1231" s="12">
        <v>42.176000000000002</v>
      </c>
      <c r="N1231" s="12">
        <v>42.176000000000002</v>
      </c>
      <c r="O1231" s="12">
        <v>133.46799999999999</v>
      </c>
      <c r="P1231" s="12">
        <v>16</v>
      </c>
      <c r="Q1231" s="12">
        <v>16</v>
      </c>
      <c r="R1231" s="12">
        <v>16</v>
      </c>
    </row>
    <row r="1232" spans="1:18" ht="29.5" customHeight="1" x14ac:dyDescent="0.15">
      <c r="A1232" s="8" t="s">
        <v>6543</v>
      </c>
      <c r="B1232" s="9" t="s">
        <v>6544</v>
      </c>
      <c r="C1232" s="8" t="s">
        <v>6545</v>
      </c>
      <c r="D1232" s="8" t="s">
        <v>6545</v>
      </c>
      <c r="E1232" s="8" t="s">
        <v>6546</v>
      </c>
      <c r="F1232" s="8" t="s">
        <v>6533</v>
      </c>
      <c r="G1232" s="8" t="s">
        <v>6547</v>
      </c>
      <c r="H1232" s="8" t="s">
        <v>6548</v>
      </c>
      <c r="I1232" s="8" t="str">
        <f>HYPERLINK("http://www.digiuseppe.it/","www.digiuseppe.it")</f>
        <v>www.digiuseppe.it</v>
      </c>
      <c r="J1232" s="10">
        <v>5114.8549999999996</v>
      </c>
      <c r="K1232" s="10">
        <v>5114.8549999999996</v>
      </c>
      <c r="L1232" s="10">
        <v>5106.5129999999999</v>
      </c>
      <c r="M1232" s="10">
        <v>362.17099999999999</v>
      </c>
      <c r="N1232" s="10">
        <v>362.17099999999999</v>
      </c>
      <c r="O1232" s="10">
        <v>219.67500000000001</v>
      </c>
      <c r="P1232" s="15" t="s">
        <v>6460</v>
      </c>
      <c r="Q1232" s="15" t="s">
        <v>6460</v>
      </c>
      <c r="R1232" s="10">
        <v>45</v>
      </c>
    </row>
    <row r="1233" spans="1:18" ht="17" customHeight="1" x14ac:dyDescent="0.15">
      <c r="A1233" s="11" t="s">
        <v>6549</v>
      </c>
      <c r="B1233" s="1" t="s">
        <v>6550</v>
      </c>
      <c r="C1233" s="11" t="s">
        <v>6551</v>
      </c>
      <c r="D1233" s="11" t="s">
        <v>6551</v>
      </c>
      <c r="E1233" s="11" t="s">
        <v>6552</v>
      </c>
      <c r="F1233" s="11" t="s">
        <v>6507</v>
      </c>
      <c r="G1233" s="11" t="s">
        <v>6478</v>
      </c>
      <c r="H1233" s="11" t="s">
        <v>6479</v>
      </c>
      <c r="I1233" s="11" t="str">
        <f>HYPERLINK("http://concerialufran.it/","concerialufran.it")</f>
        <v>concerialufran.it</v>
      </c>
      <c r="J1233" s="12">
        <v>7365.1440000000002</v>
      </c>
      <c r="K1233" s="12">
        <v>7365.1440000000002</v>
      </c>
      <c r="L1233" s="13">
        <v>5105.0429999999997</v>
      </c>
      <c r="M1233" s="12">
        <v>906.44</v>
      </c>
      <c r="N1233" s="12">
        <v>906.44</v>
      </c>
      <c r="O1233" s="12">
        <v>1123.9690000000001</v>
      </c>
      <c r="P1233" s="14" t="s">
        <v>6460</v>
      </c>
      <c r="Q1233" s="14" t="s">
        <v>6460</v>
      </c>
      <c r="R1233" s="12">
        <v>10</v>
      </c>
    </row>
    <row r="1234" spans="1:18" ht="17" customHeight="1" x14ac:dyDescent="0.15">
      <c r="A1234" s="8" t="s">
        <v>6553</v>
      </c>
      <c r="B1234" s="9" t="s">
        <v>6554</v>
      </c>
      <c r="C1234" s="8" t="s">
        <v>6555</v>
      </c>
      <c r="D1234" s="8" t="s">
        <v>6555</v>
      </c>
      <c r="E1234" s="8" t="s">
        <v>6556</v>
      </c>
      <c r="F1234" s="8" t="s">
        <v>6465</v>
      </c>
      <c r="G1234" s="8" t="s">
        <v>6557</v>
      </c>
      <c r="H1234" s="8" t="s">
        <v>6542</v>
      </c>
      <c r="I1234" s="8" t="str">
        <f>HYPERLINK("http://whyci.it/","whyci.it")</f>
        <v>whyci.it</v>
      </c>
      <c r="J1234" s="10">
        <v>5586.1949999999997</v>
      </c>
      <c r="K1234" s="10">
        <v>5080.8469999999998</v>
      </c>
      <c r="L1234" s="10">
        <v>5100.8549999999996</v>
      </c>
      <c r="M1234" s="10">
        <v>149.30500000000001</v>
      </c>
      <c r="N1234" s="10">
        <v>174.99199999999999</v>
      </c>
      <c r="O1234" s="10">
        <v>30.343</v>
      </c>
      <c r="P1234" s="10">
        <v>26</v>
      </c>
      <c r="Q1234" s="10">
        <v>25</v>
      </c>
      <c r="R1234" s="10">
        <v>32</v>
      </c>
    </row>
    <row r="1235" spans="1:18" ht="17" customHeight="1" x14ac:dyDescent="0.15">
      <c r="A1235" s="11" t="s">
        <v>6558</v>
      </c>
      <c r="B1235" s="1" t="s">
        <v>6559</v>
      </c>
      <c r="C1235" s="11" t="s">
        <v>6560</v>
      </c>
      <c r="D1235" s="11" t="s">
        <v>6560</v>
      </c>
      <c r="E1235" s="11" t="s">
        <v>6561</v>
      </c>
      <c r="F1235" s="11" t="s">
        <v>6533</v>
      </c>
      <c r="G1235" s="11" t="s">
        <v>6562</v>
      </c>
      <c r="H1235" s="11" t="s">
        <v>6509</v>
      </c>
      <c r="I1235" s="11" t="str">
        <f>HYPERLINK("http://www.wildsideshoes.com/","www.wildsideshoes.com")</f>
        <v>www.wildsideshoes.com</v>
      </c>
      <c r="J1235" s="12">
        <v>6073.0519999999997</v>
      </c>
      <c r="K1235" s="12">
        <v>6073.0519999999997</v>
      </c>
      <c r="L1235" s="13">
        <v>5089.2520000000004</v>
      </c>
      <c r="M1235" s="12">
        <v>396.09300000000002</v>
      </c>
      <c r="N1235" s="12">
        <v>396.09300000000002</v>
      </c>
      <c r="O1235" s="12">
        <v>625.10500000000002</v>
      </c>
      <c r="P1235" s="12">
        <v>10</v>
      </c>
      <c r="Q1235" s="12">
        <v>10</v>
      </c>
      <c r="R1235" s="12">
        <v>9</v>
      </c>
    </row>
    <row r="1236" spans="1:18" ht="17" customHeight="1" x14ac:dyDescent="0.15">
      <c r="A1236" s="8" t="s">
        <v>6563</v>
      </c>
      <c r="B1236" s="9" t="s">
        <v>6564</v>
      </c>
      <c r="C1236" s="8" t="s">
        <v>6565</v>
      </c>
      <c r="D1236" s="8" t="s">
        <v>6565</v>
      </c>
      <c r="E1236" s="8" t="s">
        <v>6566</v>
      </c>
      <c r="F1236" s="8" t="s">
        <v>6465</v>
      </c>
      <c r="G1236" s="8" t="s">
        <v>6472</v>
      </c>
      <c r="H1236" s="8" t="s">
        <v>6459</v>
      </c>
      <c r="I1236" s="8" t="str">
        <f>HYPERLINK("http://8pm.it/","8pm.it")</f>
        <v>8pm.it</v>
      </c>
      <c r="J1236" s="10">
        <v>4869.13</v>
      </c>
      <c r="K1236" s="10">
        <v>4869.13</v>
      </c>
      <c r="L1236" s="10">
        <v>5071.7150000000001</v>
      </c>
      <c r="M1236" s="10">
        <v>192.506</v>
      </c>
      <c r="N1236" s="10">
        <v>192.506</v>
      </c>
      <c r="O1236" s="10">
        <v>428.12099999999998</v>
      </c>
      <c r="P1236" s="10">
        <v>22</v>
      </c>
      <c r="Q1236" s="10">
        <v>22</v>
      </c>
      <c r="R1236" s="10">
        <v>27</v>
      </c>
    </row>
    <row r="1237" spans="1:18" ht="17" customHeight="1" x14ac:dyDescent="0.15">
      <c r="A1237" s="11" t="s">
        <v>6567</v>
      </c>
      <c r="B1237" s="1" t="s">
        <v>6568</v>
      </c>
      <c r="C1237" s="11" t="s">
        <v>6569</v>
      </c>
      <c r="D1237" s="11" t="s">
        <v>6569</v>
      </c>
      <c r="E1237" s="11" t="s">
        <v>6570</v>
      </c>
      <c r="F1237" s="11" t="s">
        <v>6465</v>
      </c>
      <c r="G1237" s="11" t="s">
        <v>6571</v>
      </c>
      <c r="H1237" s="11" t="s">
        <v>6548</v>
      </c>
      <c r="I1237" s="11" t="str">
        <f>HYPERLINK("http://www.biancabrandi.com/","www.biancabrandi.com")</f>
        <v>www.biancabrandi.com</v>
      </c>
      <c r="J1237" s="12">
        <v>6158.116</v>
      </c>
      <c r="K1237" s="12">
        <v>6158.116</v>
      </c>
      <c r="L1237" s="13">
        <v>5047.1610000000001</v>
      </c>
      <c r="M1237" s="12">
        <v>131.22</v>
      </c>
      <c r="N1237" s="12">
        <v>131.22</v>
      </c>
      <c r="O1237" s="12">
        <v>154.976</v>
      </c>
      <c r="P1237" s="12">
        <v>15</v>
      </c>
      <c r="Q1237" s="12">
        <v>15</v>
      </c>
      <c r="R1237" s="12">
        <v>15</v>
      </c>
    </row>
    <row r="1238" spans="1:18" ht="17" customHeight="1" x14ac:dyDescent="0.15">
      <c r="A1238" s="8" t="s">
        <v>6572</v>
      </c>
      <c r="B1238" s="9" t="s">
        <v>6573</v>
      </c>
      <c r="C1238" s="8" t="s">
        <v>6574</v>
      </c>
      <c r="D1238" s="8" t="s">
        <v>6574</v>
      </c>
      <c r="E1238" s="8" t="s">
        <v>6575</v>
      </c>
      <c r="F1238" s="8" t="s">
        <v>6533</v>
      </c>
      <c r="G1238" s="8" t="s">
        <v>6571</v>
      </c>
      <c r="H1238" s="8" t="s">
        <v>6548</v>
      </c>
      <c r="I1238" s="8" t="str">
        <f>HYPERLINK("http://www.bervicato.com/","www.bervicato.com")</f>
        <v>www.bervicato.com</v>
      </c>
      <c r="J1238" s="10">
        <v>5039.3339999999998</v>
      </c>
      <c r="K1238" s="15" t="s">
        <v>6460</v>
      </c>
      <c r="L1238" s="10">
        <v>5039.3339999999998</v>
      </c>
      <c r="M1238" s="10">
        <v>402.31599999999997</v>
      </c>
      <c r="N1238" s="15" t="s">
        <v>6460</v>
      </c>
      <c r="O1238" s="10">
        <v>402.31599999999997</v>
      </c>
      <c r="P1238" s="10">
        <v>39</v>
      </c>
      <c r="Q1238" s="15" t="s">
        <v>6460</v>
      </c>
      <c r="R1238" s="10">
        <v>39</v>
      </c>
    </row>
    <row r="1239" spans="1:18" ht="17" customHeight="1" x14ac:dyDescent="0.15">
      <c r="A1239" s="11" t="s">
        <v>6576</v>
      </c>
      <c r="B1239" s="1" t="s">
        <v>6577</v>
      </c>
      <c r="C1239" s="11" t="s">
        <v>6578</v>
      </c>
      <c r="D1239" s="11" t="s">
        <v>6578</v>
      </c>
      <c r="E1239" s="11" t="s">
        <v>6579</v>
      </c>
      <c r="F1239" s="11" t="s">
        <v>6507</v>
      </c>
      <c r="G1239" s="11" t="s">
        <v>6580</v>
      </c>
      <c r="H1239" s="11" t="s">
        <v>6548</v>
      </c>
      <c r="I1239" s="11" t="str">
        <f>HYPERLINK("http://www.ouma.it/","www.ouma.it")</f>
        <v>www.ouma.it</v>
      </c>
      <c r="J1239" s="12">
        <v>3595.4059999999999</v>
      </c>
      <c r="K1239" s="12">
        <v>3595.4059999999999</v>
      </c>
      <c r="L1239" s="13">
        <v>5039.2520000000004</v>
      </c>
      <c r="M1239" s="12">
        <v>11.87</v>
      </c>
      <c r="N1239" s="12">
        <v>11.87</v>
      </c>
      <c r="O1239" s="12">
        <v>40.057000000000002</v>
      </c>
      <c r="P1239" s="12">
        <v>2</v>
      </c>
      <c r="Q1239" s="12">
        <v>2</v>
      </c>
      <c r="R1239" s="12">
        <v>2</v>
      </c>
    </row>
    <row r="1240" spans="1:18" ht="17" customHeight="1" x14ac:dyDescent="0.15">
      <c r="A1240" s="8" t="s">
        <v>6581</v>
      </c>
      <c r="B1240" s="9" t="s">
        <v>6582</v>
      </c>
      <c r="C1240" s="8" t="s">
        <v>6583</v>
      </c>
      <c r="D1240" s="8" t="s">
        <v>6583</v>
      </c>
      <c r="E1240" s="8" t="s">
        <v>6584</v>
      </c>
      <c r="F1240" s="8" t="s">
        <v>6507</v>
      </c>
      <c r="G1240" s="8" t="s">
        <v>6585</v>
      </c>
      <c r="H1240" s="8" t="s">
        <v>6479</v>
      </c>
      <c r="I1240" s="8" t="str">
        <f>HYPERLINK("http://www.a-tema.com/","www.a-tema.com")</f>
        <v>www.a-tema.com</v>
      </c>
      <c r="J1240" s="10">
        <v>5655.1710000000003</v>
      </c>
      <c r="K1240" s="10">
        <v>5655.1710000000003</v>
      </c>
      <c r="L1240" s="10">
        <v>5038.5780000000004</v>
      </c>
      <c r="M1240" s="10">
        <v>0.83799999999999997</v>
      </c>
      <c r="N1240" s="10">
        <v>0.83799999999999997</v>
      </c>
      <c r="O1240" s="10">
        <v>-62.286999999999999</v>
      </c>
      <c r="P1240" s="15" t="s">
        <v>6460</v>
      </c>
      <c r="Q1240" s="15" t="s">
        <v>6460</v>
      </c>
      <c r="R1240" s="10">
        <v>17</v>
      </c>
    </row>
    <row r="1241" spans="1:18" ht="17" customHeight="1" x14ac:dyDescent="0.15">
      <c r="A1241" s="11" t="s">
        <v>6586</v>
      </c>
      <c r="B1241" s="1" t="s">
        <v>6587</v>
      </c>
      <c r="C1241" s="11" t="s">
        <v>6588</v>
      </c>
      <c r="D1241" s="11" t="s">
        <v>6588</v>
      </c>
      <c r="E1241" s="11" t="s">
        <v>6589</v>
      </c>
      <c r="F1241" s="11" t="s">
        <v>6457</v>
      </c>
      <c r="G1241" s="11" t="s">
        <v>6590</v>
      </c>
      <c r="H1241" s="11" t="s">
        <v>6535</v>
      </c>
      <c r="I1241" s="11" t="str">
        <f>HYPERLINK("http://de.montecore.it/","de.montecore.it")</f>
        <v>de.montecore.it</v>
      </c>
      <c r="J1241" s="12">
        <v>7646.0259999999998</v>
      </c>
      <c r="K1241" s="12">
        <v>7646.0259999999998</v>
      </c>
      <c r="L1241" s="13">
        <v>5032.0529999999999</v>
      </c>
      <c r="M1241" s="12">
        <v>1048.7180000000001</v>
      </c>
      <c r="N1241" s="12">
        <v>1048.7180000000001</v>
      </c>
      <c r="O1241" s="12">
        <v>115.092</v>
      </c>
      <c r="P1241" s="12">
        <v>5</v>
      </c>
      <c r="Q1241" s="12">
        <v>5</v>
      </c>
      <c r="R1241" s="12">
        <v>5</v>
      </c>
    </row>
    <row r="1242" spans="1:18" ht="17" customHeight="1" x14ac:dyDescent="0.15">
      <c r="A1242" s="8" t="s">
        <v>6591</v>
      </c>
      <c r="B1242" s="9" t="s">
        <v>6592</v>
      </c>
      <c r="C1242" s="8" t="s">
        <v>6593</v>
      </c>
      <c r="D1242" s="8" t="s">
        <v>6593</v>
      </c>
      <c r="E1242" s="8" t="s">
        <v>6594</v>
      </c>
      <c r="F1242" s="8" t="s">
        <v>6471</v>
      </c>
      <c r="G1242" s="8" t="s">
        <v>6595</v>
      </c>
      <c r="H1242" s="8" t="s">
        <v>6596</v>
      </c>
      <c r="I1242" s="8" t="str">
        <f>HYPERLINK("http://www.q36-5.com/","www.q36-5.com")</f>
        <v>www.q36-5.com</v>
      </c>
      <c r="J1242" s="10">
        <v>7220.018</v>
      </c>
      <c r="K1242" s="10">
        <v>7220.018</v>
      </c>
      <c r="L1242" s="10">
        <v>5031.6019999999999</v>
      </c>
      <c r="M1242" s="10">
        <v>-2682.2040000000002</v>
      </c>
      <c r="N1242" s="10">
        <v>-2682.2040000000002</v>
      </c>
      <c r="O1242" s="10">
        <v>-1675.893</v>
      </c>
      <c r="P1242" s="10">
        <v>18</v>
      </c>
      <c r="Q1242" s="10">
        <v>18</v>
      </c>
      <c r="R1242" s="10">
        <v>18</v>
      </c>
    </row>
    <row r="1243" spans="1:18" ht="17" customHeight="1" x14ac:dyDescent="0.15">
      <c r="A1243" s="11" t="s">
        <v>6597</v>
      </c>
      <c r="B1243" s="1" t="s">
        <v>6598</v>
      </c>
      <c r="C1243" s="11" t="s">
        <v>6599</v>
      </c>
      <c r="D1243" s="11" t="s">
        <v>6599</v>
      </c>
      <c r="E1243" s="11" t="s">
        <v>6600</v>
      </c>
      <c r="F1243" s="11" t="s">
        <v>6533</v>
      </c>
      <c r="G1243" s="11" t="s">
        <v>6585</v>
      </c>
      <c r="H1243" s="11" t="s">
        <v>6479</v>
      </c>
      <c r="I1243" s="11" t="str">
        <f>HYPERLINK("http://calzaturificiocosmo.it/","calzaturificiocosmo.it")</f>
        <v>calzaturificiocosmo.it</v>
      </c>
      <c r="J1243" s="12">
        <v>7120.915</v>
      </c>
      <c r="K1243" s="12">
        <v>7120.915</v>
      </c>
      <c r="L1243" s="13">
        <v>5025.0590000000002</v>
      </c>
      <c r="M1243" s="12">
        <v>84.238</v>
      </c>
      <c r="N1243" s="12">
        <v>84.238</v>
      </c>
      <c r="O1243" s="12">
        <v>85.820999999999998</v>
      </c>
      <c r="P1243" s="14" t="s">
        <v>6460</v>
      </c>
      <c r="Q1243" s="14" t="s">
        <v>6460</v>
      </c>
      <c r="R1243" s="12">
        <v>14</v>
      </c>
    </row>
    <row r="1244" spans="1:18" ht="17" customHeight="1" x14ac:dyDescent="0.15">
      <c r="A1244" s="8" t="s">
        <v>6601</v>
      </c>
      <c r="B1244" s="9" t="s">
        <v>6602</v>
      </c>
      <c r="C1244" s="8" t="s">
        <v>6603</v>
      </c>
      <c r="D1244" s="8" t="s">
        <v>6603</v>
      </c>
      <c r="E1244" s="8" t="s">
        <v>6604</v>
      </c>
      <c r="F1244" s="8" t="s">
        <v>6471</v>
      </c>
      <c r="G1244" s="8" t="s">
        <v>6562</v>
      </c>
      <c r="H1244" s="8" t="s">
        <v>6509</v>
      </c>
      <c r="I1244" s="8" t="str">
        <f>HYPERLINK("http://zero1.srl/","zero1.srl")</f>
        <v>zero1.srl</v>
      </c>
      <c r="J1244" s="10">
        <v>3741.1790000000001</v>
      </c>
      <c r="K1244" s="10">
        <v>4326.6080000000002</v>
      </c>
      <c r="L1244" s="10">
        <v>5024.9210000000003</v>
      </c>
      <c r="M1244" s="10">
        <v>152.048</v>
      </c>
      <c r="N1244" s="10">
        <v>250.614</v>
      </c>
      <c r="O1244" s="10">
        <v>154.81200000000001</v>
      </c>
      <c r="P1244" s="15" t="s">
        <v>6460</v>
      </c>
      <c r="Q1244" s="10">
        <v>39</v>
      </c>
      <c r="R1244" s="10">
        <v>39</v>
      </c>
    </row>
    <row r="1245" spans="1:18" ht="17" customHeight="1" x14ac:dyDescent="0.15">
      <c r="A1245" s="11" t="s">
        <v>6605</v>
      </c>
      <c r="B1245" s="1" t="s">
        <v>6606</v>
      </c>
      <c r="C1245" s="11" t="s">
        <v>6607</v>
      </c>
      <c r="D1245" s="11" t="s">
        <v>6607</v>
      </c>
      <c r="E1245" s="11" t="s">
        <v>6608</v>
      </c>
      <c r="F1245" s="11" t="s">
        <v>6523</v>
      </c>
      <c r="G1245" s="11" t="s">
        <v>6534</v>
      </c>
      <c r="H1245" s="11" t="s">
        <v>6535</v>
      </c>
      <c r="I1245" s="11" t="str">
        <f>HYPERLINK("http://www.squadroni.info/","www.squadroni.info")</f>
        <v>www.squadroni.info</v>
      </c>
      <c r="J1245" s="12">
        <v>4532.4750000000004</v>
      </c>
      <c r="K1245" s="12">
        <v>4532.4750000000004</v>
      </c>
      <c r="L1245" s="13">
        <v>5024.7839999999997</v>
      </c>
      <c r="M1245" s="12">
        <v>7.3719999999999999</v>
      </c>
      <c r="N1245" s="12">
        <v>7.3719999999999999</v>
      </c>
      <c r="O1245" s="12">
        <v>74.263999999999996</v>
      </c>
      <c r="P1245" s="12">
        <v>30</v>
      </c>
      <c r="Q1245" s="12">
        <v>30</v>
      </c>
      <c r="R1245" s="12">
        <v>33</v>
      </c>
    </row>
    <row r="1246" spans="1:18" ht="29.5" customHeight="1" x14ac:dyDescent="0.15">
      <c r="A1246" s="8" t="s">
        <v>6609</v>
      </c>
      <c r="B1246" s="9" t="s">
        <v>6610</v>
      </c>
      <c r="C1246" s="8" t="s">
        <v>6611</v>
      </c>
      <c r="D1246" s="8" t="s">
        <v>6611</v>
      </c>
      <c r="E1246" s="8" t="s">
        <v>6612</v>
      </c>
      <c r="F1246" s="8" t="s">
        <v>6496</v>
      </c>
      <c r="G1246" s="8" t="s">
        <v>6557</v>
      </c>
      <c r="H1246" s="8" t="s">
        <v>6542</v>
      </c>
      <c r="I1246" s="8" t="str">
        <f>HYPERLINK("http://valigeriatasca.com/","valigeriatasca.com")</f>
        <v>valigeriatasca.com</v>
      </c>
      <c r="J1246" s="10">
        <v>6941.5730000000003</v>
      </c>
      <c r="K1246" s="10">
        <v>6941.5730000000003</v>
      </c>
      <c r="L1246" s="10">
        <v>5012.8490000000002</v>
      </c>
      <c r="M1246" s="10">
        <v>1097.146</v>
      </c>
      <c r="N1246" s="10">
        <v>1097.146</v>
      </c>
      <c r="O1246" s="10">
        <v>836.15300000000002</v>
      </c>
      <c r="P1246" s="10">
        <v>52</v>
      </c>
      <c r="Q1246" s="10">
        <v>52</v>
      </c>
      <c r="R1246" s="10">
        <v>47</v>
      </c>
    </row>
    <row r="1247" spans="1:18" ht="17" customHeight="1" x14ac:dyDescent="0.15">
      <c r="A1247" s="11" t="s">
        <v>6613</v>
      </c>
      <c r="B1247" s="1" t="s">
        <v>6614</v>
      </c>
      <c r="C1247" s="11" t="s">
        <v>6615</v>
      </c>
      <c r="D1247" s="11" t="s">
        <v>6615</v>
      </c>
      <c r="E1247" s="11" t="s">
        <v>6616</v>
      </c>
      <c r="F1247" s="11" t="s">
        <v>6465</v>
      </c>
      <c r="G1247" s="11" t="s">
        <v>6617</v>
      </c>
      <c r="H1247" s="11" t="s">
        <v>6479</v>
      </c>
      <c r="I1247" s="11" t="str">
        <f>HYPERLINK("http://valentinas.it/","valentinas.it")</f>
        <v>valentinas.it</v>
      </c>
      <c r="J1247" s="12">
        <v>5638.116</v>
      </c>
      <c r="K1247" s="12">
        <v>5638.116</v>
      </c>
      <c r="L1247" s="13">
        <v>5012.3280000000004</v>
      </c>
      <c r="M1247" s="12">
        <v>162.28800000000001</v>
      </c>
      <c r="N1247" s="12">
        <v>162.28800000000001</v>
      </c>
      <c r="O1247" s="12">
        <v>44.451000000000001</v>
      </c>
      <c r="P1247" s="12">
        <v>13</v>
      </c>
      <c r="Q1247" s="12">
        <v>13</v>
      </c>
      <c r="R1247" s="12">
        <v>18</v>
      </c>
    </row>
    <row r="1248" spans="1:18" ht="29.5" customHeight="1" x14ac:dyDescent="0.15">
      <c r="A1248" s="8" t="s">
        <v>6618</v>
      </c>
      <c r="B1248" s="9" t="s">
        <v>6619</v>
      </c>
      <c r="C1248" s="8" t="s">
        <v>6620</v>
      </c>
      <c r="D1248" s="8" t="s">
        <v>6620</v>
      </c>
      <c r="E1248" s="8" t="s">
        <v>6621</v>
      </c>
      <c r="F1248" s="8" t="s">
        <v>6507</v>
      </c>
      <c r="G1248" s="8" t="s">
        <v>6585</v>
      </c>
      <c r="H1248" s="8" t="s">
        <v>6479</v>
      </c>
      <c r="I1248" s="8" t="str">
        <f>HYPERLINK("http://www.ellegipellami.it/","www.ellegipellami.it")</f>
        <v>www.ellegipellami.it</v>
      </c>
      <c r="J1248" s="10">
        <v>3837.8339999999998</v>
      </c>
      <c r="K1248" s="10">
        <v>3837.8339999999998</v>
      </c>
      <c r="L1248" s="10">
        <v>5011.57</v>
      </c>
      <c r="M1248" s="10">
        <v>-1562.299</v>
      </c>
      <c r="N1248" s="10">
        <v>-1562.299</v>
      </c>
      <c r="O1248" s="10">
        <v>-491.435</v>
      </c>
      <c r="P1248" s="10">
        <v>14</v>
      </c>
      <c r="Q1248" s="10">
        <v>14</v>
      </c>
      <c r="R1248" s="10">
        <v>18</v>
      </c>
    </row>
    <row r="1249" spans="1:18" ht="17" customHeight="1" x14ac:dyDescent="0.15">
      <c r="A1249" s="11" t="s">
        <v>6622</v>
      </c>
      <c r="B1249" s="1" t="s">
        <v>6623</v>
      </c>
      <c r="C1249" s="11" t="s">
        <v>6624</v>
      </c>
      <c r="D1249" s="11" t="s">
        <v>6624</v>
      </c>
      <c r="E1249" s="11" t="s">
        <v>6625</v>
      </c>
      <c r="F1249" s="11" t="s">
        <v>6626</v>
      </c>
      <c r="G1249" s="11" t="s">
        <v>6627</v>
      </c>
      <c r="H1249" s="11" t="s">
        <v>6628</v>
      </c>
      <c r="I1249" s="11" t="str">
        <f>HYPERLINK("http://www.lacchiplast.it/","www.lacchiplast.it")</f>
        <v>www.lacchiplast.it</v>
      </c>
      <c r="J1249" s="12">
        <v>4485.0349999999999</v>
      </c>
      <c r="K1249" s="12">
        <v>4485.0349999999999</v>
      </c>
      <c r="L1249" s="13">
        <v>5008.0119999999997</v>
      </c>
      <c r="M1249" s="12">
        <v>-357.78</v>
      </c>
      <c r="N1249" s="12">
        <v>-357.78</v>
      </c>
      <c r="O1249" s="12">
        <v>105.657</v>
      </c>
      <c r="P1249" s="12">
        <v>12</v>
      </c>
      <c r="Q1249" s="12">
        <v>12</v>
      </c>
      <c r="R1249" s="12">
        <v>11</v>
      </c>
    </row>
    <row r="1250" spans="1:18" ht="43" customHeight="1" x14ac:dyDescent="0.15">
      <c r="A1250" s="8" t="s">
        <v>6629</v>
      </c>
      <c r="B1250" s="9" t="s">
        <v>6630</v>
      </c>
      <c r="C1250" s="8" t="s">
        <v>6631</v>
      </c>
      <c r="D1250" s="8" t="s">
        <v>6631</v>
      </c>
      <c r="E1250" s="8" t="s">
        <v>6632</v>
      </c>
      <c r="F1250" s="8" t="s">
        <v>6633</v>
      </c>
      <c r="G1250" s="8" t="s">
        <v>6634</v>
      </c>
      <c r="H1250" s="8" t="s">
        <v>6635</v>
      </c>
      <c r="I1250" s="8" t="str">
        <f>HYPERLINK("http://www.classicleatheritalia.com/","www.classicleatheritalia.com")</f>
        <v>www.classicleatheritalia.com</v>
      </c>
      <c r="J1250" s="10">
        <v>5581.0150000000003</v>
      </c>
      <c r="K1250" s="10">
        <v>5581.0150000000003</v>
      </c>
      <c r="L1250" s="10">
        <v>5006.8540000000003</v>
      </c>
      <c r="M1250" s="10">
        <v>39.944000000000003</v>
      </c>
      <c r="N1250" s="10">
        <v>39.944000000000003</v>
      </c>
      <c r="O1250" s="10">
        <v>351.18599999999998</v>
      </c>
      <c r="P1250" s="10">
        <v>25</v>
      </c>
      <c r="Q1250" s="10">
        <v>25</v>
      </c>
      <c r="R1250" s="10">
        <v>27</v>
      </c>
    </row>
    <row r="1251" spans="1:18" ht="29.5" customHeight="1" x14ac:dyDescent="0.15">
      <c r="A1251" s="11" t="s">
        <v>6636</v>
      </c>
      <c r="B1251" s="1" t="s">
        <v>6637</v>
      </c>
      <c r="C1251" s="11" t="s">
        <v>6638</v>
      </c>
      <c r="D1251" s="11" t="s">
        <v>6638</v>
      </c>
      <c r="E1251" s="11" t="s">
        <v>6639</v>
      </c>
      <c r="F1251" s="11" t="s">
        <v>6640</v>
      </c>
      <c r="G1251" s="11" t="s">
        <v>6641</v>
      </c>
      <c r="H1251" s="11" t="s">
        <v>6642</v>
      </c>
      <c r="I1251" s="11" t="str">
        <f>HYPERLINK("http://www.creazionipadus.it/","http://www.creazionipadus.it")</f>
        <v>http://www.creazionipadus.it</v>
      </c>
      <c r="J1251" s="12">
        <v>5283.9340000000002</v>
      </c>
      <c r="K1251" s="12">
        <v>5283.9340000000002</v>
      </c>
      <c r="L1251" s="13">
        <v>5003.5510000000004</v>
      </c>
      <c r="M1251" s="12">
        <v>969.46299999999997</v>
      </c>
      <c r="N1251" s="12">
        <v>969.46299999999997</v>
      </c>
      <c r="O1251" s="12">
        <v>672.39099999999996</v>
      </c>
      <c r="P1251" s="12">
        <v>23</v>
      </c>
      <c r="Q1251" s="12">
        <v>23</v>
      </c>
      <c r="R1251" s="12">
        <v>21</v>
      </c>
    </row>
    <row r="1252" spans="1:18" ht="29.5" customHeight="1" x14ac:dyDescent="0.15">
      <c r="A1252" s="8" t="s">
        <v>6643</v>
      </c>
      <c r="B1252" s="9" t="s">
        <v>6644</v>
      </c>
      <c r="C1252" s="8" t="s">
        <v>6645</v>
      </c>
      <c r="D1252" s="8" t="s">
        <v>6645</v>
      </c>
      <c r="E1252" s="8" t="s">
        <v>6646</v>
      </c>
      <c r="F1252" s="8" t="s">
        <v>6647</v>
      </c>
      <c r="G1252" s="8" t="s">
        <v>6648</v>
      </c>
      <c r="H1252" s="8" t="s">
        <v>6649</v>
      </c>
      <c r="I1252" s="8" t="str">
        <f>HYPERLINK("http://www.chirossrl.it/","www.chirossrl.it")</f>
        <v>www.chirossrl.it</v>
      </c>
      <c r="J1252" s="10">
        <v>5825.9740000000002</v>
      </c>
      <c r="K1252" s="10">
        <v>5825.9740000000002</v>
      </c>
      <c r="L1252" s="10">
        <v>4978.1130000000003</v>
      </c>
      <c r="M1252" s="10">
        <v>237.72200000000001</v>
      </c>
      <c r="N1252" s="10">
        <v>237.72200000000001</v>
      </c>
      <c r="O1252" s="10">
        <v>-700.78399999999999</v>
      </c>
      <c r="P1252" s="10">
        <v>14</v>
      </c>
      <c r="Q1252" s="10">
        <v>14</v>
      </c>
      <c r="R1252" s="10">
        <v>15</v>
      </c>
    </row>
    <row r="1253" spans="1:18" ht="17" customHeight="1" x14ac:dyDescent="0.15">
      <c r="A1253" s="11" t="s">
        <v>6650</v>
      </c>
      <c r="B1253" s="1" t="s">
        <v>6651</v>
      </c>
      <c r="C1253" s="11" t="s">
        <v>6652</v>
      </c>
      <c r="D1253" s="11" t="s">
        <v>6652</v>
      </c>
      <c r="E1253" s="11" t="s">
        <v>6653</v>
      </c>
      <c r="F1253" s="11" t="s">
        <v>6633</v>
      </c>
      <c r="G1253" s="11" t="s">
        <v>6654</v>
      </c>
      <c r="H1253" s="11" t="s">
        <v>6655</v>
      </c>
      <c r="I1253" s="11" t="str">
        <f>HYPERLINK("http://www.mastertan.com/","www.mastertan.com")</f>
        <v>www.mastertan.com</v>
      </c>
      <c r="J1253" s="12">
        <v>3457.067</v>
      </c>
      <c r="K1253" s="12">
        <v>3457.067</v>
      </c>
      <c r="L1253" s="13">
        <v>4976.9480000000003</v>
      </c>
      <c r="M1253" s="12">
        <v>146.096</v>
      </c>
      <c r="N1253" s="12">
        <v>146.096</v>
      </c>
      <c r="O1253" s="12">
        <v>145.12700000000001</v>
      </c>
      <c r="P1253" s="12">
        <v>18</v>
      </c>
      <c r="Q1253" s="12">
        <v>18</v>
      </c>
      <c r="R1253" s="12">
        <v>15</v>
      </c>
    </row>
    <row r="1254" spans="1:18" ht="29.5" customHeight="1" x14ac:dyDescent="0.15">
      <c r="A1254" s="8" t="s">
        <v>6656</v>
      </c>
      <c r="B1254" s="9" t="s">
        <v>6657</v>
      </c>
      <c r="C1254" s="8" t="s">
        <v>6658</v>
      </c>
      <c r="D1254" s="8" t="s">
        <v>6658</v>
      </c>
      <c r="E1254" s="8" t="s">
        <v>6659</v>
      </c>
      <c r="F1254" s="8" t="s">
        <v>6640</v>
      </c>
      <c r="G1254" s="8" t="s">
        <v>6660</v>
      </c>
      <c r="H1254" s="8" t="s">
        <v>6661</v>
      </c>
      <c r="I1254" s="8" t="str">
        <f>HYPERLINK("http://www.malagrida.it/","www.malagrida.it")</f>
        <v>www.malagrida.it</v>
      </c>
      <c r="J1254" s="10">
        <v>5699.9480000000003</v>
      </c>
      <c r="K1254" s="10">
        <v>5699.9480000000003</v>
      </c>
      <c r="L1254" s="10">
        <v>4974.9679999999998</v>
      </c>
      <c r="M1254" s="10">
        <v>34.683999999999997</v>
      </c>
      <c r="N1254" s="10">
        <v>34.683999999999997</v>
      </c>
      <c r="O1254" s="10">
        <v>-80.674999999999997</v>
      </c>
      <c r="P1254" s="10">
        <v>24</v>
      </c>
      <c r="Q1254" s="10">
        <v>24</v>
      </c>
      <c r="R1254" s="10">
        <v>27</v>
      </c>
    </row>
    <row r="1255" spans="1:18" ht="29.5" customHeight="1" x14ac:dyDescent="0.15">
      <c r="A1255" s="11" t="s">
        <v>6662</v>
      </c>
      <c r="B1255" s="1" t="s">
        <v>6663</v>
      </c>
      <c r="C1255" s="11" t="s">
        <v>6664</v>
      </c>
      <c r="D1255" s="11" t="s">
        <v>6664</v>
      </c>
      <c r="E1255" s="11" t="s">
        <v>6665</v>
      </c>
      <c r="F1255" s="11" t="s">
        <v>6633</v>
      </c>
      <c r="G1255" s="11" t="s">
        <v>6666</v>
      </c>
      <c r="H1255" s="11" t="s">
        <v>6649</v>
      </c>
      <c r="I1255" s="11" t="str">
        <f>HYPERLINK("http://www.conceriabruttomesso.it/","www.conceriabruttomesso.it")</f>
        <v>www.conceriabruttomesso.it</v>
      </c>
      <c r="J1255" s="12">
        <v>2680.0250000000001</v>
      </c>
      <c r="K1255" s="12">
        <v>2680.0250000000001</v>
      </c>
      <c r="L1255" s="13">
        <v>4975.0140000000001</v>
      </c>
      <c r="M1255" s="12">
        <v>-691.07399999999996</v>
      </c>
      <c r="N1255" s="12">
        <v>-691.07399999999996</v>
      </c>
      <c r="O1255" s="12">
        <v>61.521000000000001</v>
      </c>
      <c r="P1255" s="12">
        <v>14</v>
      </c>
      <c r="Q1255" s="12">
        <v>14</v>
      </c>
      <c r="R1255" s="12">
        <v>17</v>
      </c>
    </row>
    <row r="1256" spans="1:18" ht="17" customHeight="1" x14ac:dyDescent="0.15">
      <c r="A1256" s="8" t="s">
        <v>6667</v>
      </c>
      <c r="B1256" s="9" t="s">
        <v>6668</v>
      </c>
      <c r="C1256" s="8" t="s">
        <v>6669</v>
      </c>
      <c r="D1256" s="8" t="s">
        <v>6669</v>
      </c>
      <c r="E1256" s="8" t="s">
        <v>6670</v>
      </c>
      <c r="F1256" s="8" t="s">
        <v>6671</v>
      </c>
      <c r="G1256" s="8" t="s">
        <v>6672</v>
      </c>
      <c r="H1256" s="8" t="s">
        <v>6673</v>
      </c>
      <c r="I1256" s="8" t="str">
        <f>HYPERLINK("http://www.blubiancomilano.com/","www.blubiancomilano.com")</f>
        <v>www.blubiancomilano.com</v>
      </c>
      <c r="J1256" s="10">
        <v>5199.8149999999996</v>
      </c>
      <c r="K1256" s="10">
        <v>5199.8149999999996</v>
      </c>
      <c r="L1256" s="10">
        <v>4967.1130000000003</v>
      </c>
      <c r="M1256" s="10">
        <v>2.1859999999999999</v>
      </c>
      <c r="N1256" s="10">
        <v>2.1859999999999999</v>
      </c>
      <c r="O1256" s="10">
        <v>290.06799999999998</v>
      </c>
      <c r="P1256" s="10">
        <v>18</v>
      </c>
      <c r="Q1256" s="10">
        <v>18</v>
      </c>
      <c r="R1256" s="10">
        <v>14</v>
      </c>
    </row>
    <row r="1257" spans="1:18" ht="17" customHeight="1" x14ac:dyDescent="0.15">
      <c r="A1257" s="11" t="s">
        <v>6674</v>
      </c>
      <c r="B1257" s="1" t="s">
        <v>6675</v>
      </c>
      <c r="C1257" s="11" t="s">
        <v>6676</v>
      </c>
      <c r="D1257" s="11" t="s">
        <v>6676</v>
      </c>
      <c r="E1257" s="11" t="s">
        <v>6677</v>
      </c>
      <c r="F1257" s="11" t="s">
        <v>6678</v>
      </c>
      <c r="G1257" s="11" t="s">
        <v>6679</v>
      </c>
      <c r="H1257" s="11" t="s">
        <v>6635</v>
      </c>
      <c r="I1257" s="11" t="str">
        <f>HYPERLINK("http://www.solomodasrl.com/","www.solomodasrl.com")</f>
        <v>www.solomodasrl.com</v>
      </c>
      <c r="J1257" s="12">
        <v>6161.56</v>
      </c>
      <c r="K1257" s="12">
        <v>6161.56</v>
      </c>
      <c r="L1257" s="13">
        <v>4957.71</v>
      </c>
      <c r="M1257" s="12">
        <v>189.53700000000001</v>
      </c>
      <c r="N1257" s="12">
        <v>189.53700000000001</v>
      </c>
      <c r="O1257" s="12">
        <v>19.157</v>
      </c>
      <c r="P1257" s="12">
        <v>12</v>
      </c>
      <c r="Q1257" s="12">
        <v>12</v>
      </c>
      <c r="R1257" s="12">
        <v>24</v>
      </c>
    </row>
    <row r="1258" spans="1:18" ht="17" customHeight="1" x14ac:dyDescent="0.15">
      <c r="A1258" s="8" t="s">
        <v>6680</v>
      </c>
      <c r="B1258" s="9" t="s">
        <v>6681</v>
      </c>
      <c r="C1258" s="8" t="s">
        <v>6682</v>
      </c>
      <c r="D1258" s="8" t="s">
        <v>6682</v>
      </c>
      <c r="E1258" s="8" t="s">
        <v>6683</v>
      </c>
      <c r="F1258" s="8" t="s">
        <v>6626</v>
      </c>
      <c r="G1258" s="8" t="s">
        <v>6634</v>
      </c>
      <c r="H1258" s="8" t="s">
        <v>6635</v>
      </c>
      <c r="I1258" s="8" t="str">
        <f>HYPERLINK("http://www.caparrini.it/","http://www.caparrini.it")</f>
        <v>http://www.caparrini.it</v>
      </c>
      <c r="J1258" s="10">
        <v>4654.268</v>
      </c>
      <c r="K1258" s="10">
        <v>4654.268</v>
      </c>
      <c r="L1258" s="10">
        <v>4953.9769999999999</v>
      </c>
      <c r="M1258" s="10">
        <v>106.18</v>
      </c>
      <c r="N1258" s="10">
        <v>106.18</v>
      </c>
      <c r="O1258" s="10">
        <v>163.816</v>
      </c>
      <c r="P1258" s="10">
        <v>32</v>
      </c>
      <c r="Q1258" s="10">
        <v>32</v>
      </c>
      <c r="R1258" s="10">
        <v>32</v>
      </c>
    </row>
    <row r="1259" spans="1:18" ht="17" customHeight="1" x14ac:dyDescent="0.15">
      <c r="A1259" s="11" t="s">
        <v>6684</v>
      </c>
      <c r="B1259" s="1" t="s">
        <v>6685</v>
      </c>
      <c r="C1259" s="11" t="s">
        <v>6686</v>
      </c>
      <c r="D1259" s="11" t="s">
        <v>6686</v>
      </c>
      <c r="E1259" s="11" t="s">
        <v>6687</v>
      </c>
      <c r="F1259" s="11" t="s">
        <v>6688</v>
      </c>
      <c r="G1259" s="11" t="s">
        <v>6689</v>
      </c>
      <c r="H1259" s="11" t="s">
        <v>6635</v>
      </c>
      <c r="I1259" s="11" t="str">
        <f>HYPERLINK("http://www.whiterosedesign.it/","www.whiterosedesign.it")</f>
        <v>www.whiterosedesign.it</v>
      </c>
      <c r="J1259" s="12">
        <v>4512.1540000000005</v>
      </c>
      <c r="K1259" s="12">
        <v>4512.1540000000005</v>
      </c>
      <c r="L1259" s="13">
        <v>4953.2730000000001</v>
      </c>
      <c r="M1259" s="12">
        <v>-777.7</v>
      </c>
      <c r="N1259" s="12">
        <v>-777.7</v>
      </c>
      <c r="O1259" s="12">
        <v>48.975000000000001</v>
      </c>
      <c r="P1259" s="12">
        <v>14</v>
      </c>
      <c r="Q1259" s="12">
        <v>14</v>
      </c>
      <c r="R1259" s="12">
        <v>14</v>
      </c>
    </row>
    <row r="1260" spans="1:18" ht="17" customHeight="1" x14ac:dyDescent="0.15">
      <c r="A1260" s="8" t="s">
        <v>6690</v>
      </c>
      <c r="B1260" s="9" t="s">
        <v>6691</v>
      </c>
      <c r="C1260" s="8" t="s">
        <v>6692</v>
      </c>
      <c r="D1260" s="8" t="s">
        <v>6692</v>
      </c>
      <c r="E1260" s="8" t="s">
        <v>6693</v>
      </c>
      <c r="F1260" s="8" t="s">
        <v>6640</v>
      </c>
      <c r="G1260" s="8" t="s">
        <v>6694</v>
      </c>
      <c r="H1260" s="8" t="s">
        <v>6673</v>
      </c>
      <c r="I1260" s="8" t="str">
        <f>HYPERLINK("http://www.maglificiomapier.it/","www.maglificiomapier.it")</f>
        <v>www.maglificiomapier.it</v>
      </c>
      <c r="J1260" s="10">
        <v>4521.9759999999997</v>
      </c>
      <c r="K1260" s="10">
        <v>4521.9759999999997</v>
      </c>
      <c r="L1260" s="10">
        <v>4952.8100000000004</v>
      </c>
      <c r="M1260" s="10">
        <v>-272.83199999999999</v>
      </c>
      <c r="N1260" s="10">
        <v>-272.83199999999999</v>
      </c>
      <c r="O1260" s="10">
        <v>-269.11599999999999</v>
      </c>
      <c r="P1260" s="10">
        <v>22</v>
      </c>
      <c r="Q1260" s="10">
        <v>22</v>
      </c>
      <c r="R1260" s="10">
        <v>21</v>
      </c>
    </row>
    <row r="1261" spans="1:18" ht="17" customHeight="1" x14ac:dyDescent="0.15">
      <c r="A1261" s="11" t="s">
        <v>6695</v>
      </c>
      <c r="B1261" s="1" t="s">
        <v>6696</v>
      </c>
      <c r="C1261" s="11" t="s">
        <v>6697</v>
      </c>
      <c r="D1261" s="11" t="s">
        <v>6697</v>
      </c>
      <c r="E1261" s="11" t="s">
        <v>6698</v>
      </c>
      <c r="F1261" s="11" t="s">
        <v>6699</v>
      </c>
      <c r="G1261" s="11" t="s">
        <v>6694</v>
      </c>
      <c r="H1261" s="11" t="s">
        <v>6673</v>
      </c>
      <c r="I1261" s="11" t="str">
        <f>HYPERLINK("http://www.maurel.com/","www.maurel.com")</f>
        <v>www.maurel.com</v>
      </c>
      <c r="J1261" s="12">
        <v>6340.4549999999999</v>
      </c>
      <c r="K1261" s="12">
        <v>6340.4549999999999</v>
      </c>
      <c r="L1261" s="13">
        <v>4950.0870000000004</v>
      </c>
      <c r="M1261" s="12">
        <v>137.733</v>
      </c>
      <c r="N1261" s="12">
        <v>137.733</v>
      </c>
      <c r="O1261" s="12">
        <v>208.03899999999999</v>
      </c>
      <c r="P1261" s="14" t="s">
        <v>6700</v>
      </c>
      <c r="Q1261" s="14" t="s">
        <v>6700</v>
      </c>
      <c r="R1261" s="12">
        <v>29</v>
      </c>
    </row>
    <row r="1262" spans="1:18" ht="17" customHeight="1" x14ac:dyDescent="0.15">
      <c r="A1262" s="8" t="s">
        <v>6701</v>
      </c>
      <c r="B1262" s="9" t="s">
        <v>6702</v>
      </c>
      <c r="C1262" s="8" t="s">
        <v>6703</v>
      </c>
      <c r="D1262" s="8" t="s">
        <v>6703</v>
      </c>
      <c r="E1262" s="8" t="s">
        <v>6704</v>
      </c>
      <c r="F1262" s="8" t="s">
        <v>6626</v>
      </c>
      <c r="G1262" s="8" t="s">
        <v>6705</v>
      </c>
      <c r="H1262" s="8" t="s">
        <v>6661</v>
      </c>
      <c r="I1262" s="8" t="str">
        <f>HYPERLINK("http://www.comartshoes.it/","www.comartshoes.it")</f>
        <v>www.comartshoes.it</v>
      </c>
      <c r="J1262" s="10">
        <v>5886.3909999999996</v>
      </c>
      <c r="K1262" s="10">
        <v>5886.3909999999996</v>
      </c>
      <c r="L1262" s="10">
        <v>4941.26</v>
      </c>
      <c r="M1262" s="10">
        <v>43.418999999999997</v>
      </c>
      <c r="N1262" s="10">
        <v>43.418999999999997</v>
      </c>
      <c r="O1262" s="10">
        <v>9.1920000000000002</v>
      </c>
      <c r="P1262" s="10">
        <v>5</v>
      </c>
      <c r="Q1262" s="10">
        <v>5</v>
      </c>
      <c r="R1262" s="10">
        <v>6</v>
      </c>
    </row>
    <row r="1263" spans="1:18" ht="17" customHeight="1" x14ac:dyDescent="0.15">
      <c r="A1263" s="11" t="s">
        <v>6706</v>
      </c>
      <c r="B1263" s="1" t="s">
        <v>6707</v>
      </c>
      <c r="C1263" s="11" t="s">
        <v>6708</v>
      </c>
      <c r="D1263" s="11" t="s">
        <v>6708</v>
      </c>
      <c r="E1263" s="11" t="s">
        <v>6709</v>
      </c>
      <c r="F1263" s="11" t="s">
        <v>6671</v>
      </c>
      <c r="G1263" s="11" t="s">
        <v>6710</v>
      </c>
      <c r="H1263" s="11" t="s">
        <v>6661</v>
      </c>
      <c r="I1263" s="11" t="str">
        <f>HYPERLINK("http://www.effepifashion.com/","www.effepifashion.com")</f>
        <v>www.effepifashion.com</v>
      </c>
      <c r="J1263" s="12">
        <v>5953.2659999999996</v>
      </c>
      <c r="K1263" s="12">
        <v>5953.2659999999996</v>
      </c>
      <c r="L1263" s="13">
        <v>4938.8969999999999</v>
      </c>
      <c r="M1263" s="12">
        <v>593.09299999999996</v>
      </c>
      <c r="N1263" s="12">
        <v>593.09299999999996</v>
      </c>
      <c r="O1263" s="12">
        <v>530.79200000000003</v>
      </c>
      <c r="P1263" s="14" t="s">
        <v>6700</v>
      </c>
      <c r="Q1263" s="14" t="s">
        <v>6700</v>
      </c>
      <c r="R1263" s="12">
        <v>42</v>
      </c>
    </row>
    <row r="1264" spans="1:18" ht="29.5" customHeight="1" x14ac:dyDescent="0.15">
      <c r="A1264" s="8" t="s">
        <v>6711</v>
      </c>
      <c r="B1264" s="9" t="s">
        <v>6712</v>
      </c>
      <c r="C1264" s="8" t="s">
        <v>6713</v>
      </c>
      <c r="D1264" s="8" t="s">
        <v>6713</v>
      </c>
      <c r="E1264" s="8" t="s">
        <v>6714</v>
      </c>
      <c r="F1264" s="8" t="s">
        <v>6715</v>
      </c>
      <c r="G1264" s="8" t="s">
        <v>6716</v>
      </c>
      <c r="H1264" s="8" t="s">
        <v>6673</v>
      </c>
      <c r="I1264" s="8" t="str">
        <f>HYPERLINK("http://guidoangeloni.com/","guidoangeloni.com")</f>
        <v>guidoangeloni.com</v>
      </c>
      <c r="J1264" s="10">
        <v>3978.933</v>
      </c>
      <c r="K1264" s="10">
        <v>3978.933</v>
      </c>
      <c r="L1264" s="10">
        <v>4938.9009999999998</v>
      </c>
      <c r="M1264" s="10">
        <v>81.168999999999997</v>
      </c>
      <c r="N1264" s="10">
        <v>81.168999999999997</v>
      </c>
      <c r="O1264" s="10">
        <v>149.81800000000001</v>
      </c>
      <c r="P1264" s="15" t="s">
        <v>6700</v>
      </c>
      <c r="Q1264" s="15" t="s">
        <v>6700</v>
      </c>
      <c r="R1264" s="10">
        <v>10</v>
      </c>
    </row>
    <row r="1265" spans="1:18" ht="17" customHeight="1" x14ac:dyDescent="0.15">
      <c r="A1265" s="11" t="s">
        <v>6717</v>
      </c>
      <c r="B1265" s="1" t="s">
        <v>6718</v>
      </c>
      <c r="C1265" s="11" t="s">
        <v>6719</v>
      </c>
      <c r="D1265" s="11" t="s">
        <v>6719</v>
      </c>
      <c r="E1265" s="11" t="s">
        <v>6720</v>
      </c>
      <c r="F1265" s="11" t="s">
        <v>6671</v>
      </c>
      <c r="G1265" s="11" t="s">
        <v>6721</v>
      </c>
      <c r="H1265" s="11" t="s">
        <v>6722</v>
      </c>
      <c r="I1265" s="11" t="str">
        <f>HYPERLINK("http://mamab.it/","mamab.it")</f>
        <v>mamab.it</v>
      </c>
      <c r="J1265" s="12">
        <v>5075.7700000000004</v>
      </c>
      <c r="K1265" s="12">
        <v>5075.7700000000004</v>
      </c>
      <c r="L1265" s="13">
        <v>4937.259</v>
      </c>
      <c r="M1265" s="12">
        <v>1178.6369999999999</v>
      </c>
      <c r="N1265" s="12">
        <v>1178.6369999999999</v>
      </c>
      <c r="O1265" s="12">
        <v>1152.8409999999999</v>
      </c>
      <c r="P1265" s="12">
        <v>3</v>
      </c>
      <c r="Q1265" s="12">
        <v>3</v>
      </c>
      <c r="R1265" s="12">
        <v>3</v>
      </c>
    </row>
    <row r="1266" spans="1:18" ht="29.5" customHeight="1" x14ac:dyDescent="0.15">
      <c r="A1266" s="8" t="s">
        <v>6723</v>
      </c>
      <c r="B1266" s="9" t="s">
        <v>6724</v>
      </c>
      <c r="C1266" s="8" t="s">
        <v>6725</v>
      </c>
      <c r="D1266" s="8" t="s">
        <v>6726</v>
      </c>
      <c r="E1266" s="8" t="s">
        <v>6727</v>
      </c>
      <c r="F1266" s="8" t="s">
        <v>6626</v>
      </c>
      <c r="G1266" s="8" t="s">
        <v>6648</v>
      </c>
      <c r="H1266" s="8" t="s">
        <v>6649</v>
      </c>
      <c r="I1266" s="8" t="str">
        <f>HYPERLINK("http://www.straffordshoes.com/","www.straffordshoes.com")</f>
        <v>www.straffordshoes.com</v>
      </c>
      <c r="J1266" s="10">
        <v>4207.9549999999999</v>
      </c>
      <c r="K1266" s="10">
        <v>4207.9549999999999</v>
      </c>
      <c r="L1266" s="10">
        <v>4936.8050000000003</v>
      </c>
      <c r="M1266" s="10">
        <v>356.60399999999998</v>
      </c>
      <c r="N1266" s="10">
        <v>356.60399999999998</v>
      </c>
      <c r="O1266" s="10">
        <v>379.85700000000003</v>
      </c>
      <c r="P1266" s="10">
        <v>24</v>
      </c>
      <c r="Q1266" s="10">
        <v>24</v>
      </c>
      <c r="R1266" s="10">
        <v>25</v>
      </c>
    </row>
    <row r="1267" spans="1:18" ht="17" customHeight="1" x14ac:dyDescent="0.15">
      <c r="A1267" s="11" t="s">
        <v>6728</v>
      </c>
      <c r="B1267" s="1" t="s">
        <v>6729</v>
      </c>
      <c r="C1267" s="11" t="s">
        <v>6730</v>
      </c>
      <c r="D1267" s="11" t="s">
        <v>6730</v>
      </c>
      <c r="E1267" s="11" t="s">
        <v>6731</v>
      </c>
      <c r="F1267" s="11" t="s">
        <v>6671</v>
      </c>
      <c r="G1267" s="11" t="s">
        <v>6641</v>
      </c>
      <c r="H1267" s="11" t="s">
        <v>6642</v>
      </c>
      <c r="I1267" s="11" t="str">
        <f>HYPERLINK("http://l-lab.it/","l-lab.it")</f>
        <v>l-lab.it</v>
      </c>
      <c r="J1267" s="12">
        <v>5759.3149999999996</v>
      </c>
      <c r="K1267" s="12">
        <v>5759.3149999999996</v>
      </c>
      <c r="L1267" s="13">
        <v>4922.5680000000002</v>
      </c>
      <c r="M1267" s="12">
        <v>59.329000000000001</v>
      </c>
      <c r="N1267" s="12">
        <v>59.329000000000001</v>
      </c>
      <c r="O1267" s="12">
        <v>59.831000000000003</v>
      </c>
      <c r="P1267" s="12">
        <v>11</v>
      </c>
      <c r="Q1267" s="12">
        <v>11</v>
      </c>
      <c r="R1267" s="12">
        <v>9</v>
      </c>
    </row>
    <row r="1268" spans="1:18" ht="17" customHeight="1" x14ac:dyDescent="0.15">
      <c r="A1268" s="8" t="s">
        <v>6732</v>
      </c>
      <c r="B1268" s="9" t="s">
        <v>6733</v>
      </c>
      <c r="C1268" s="8" t="s">
        <v>6734</v>
      </c>
      <c r="D1268" s="8" t="s">
        <v>6734</v>
      </c>
      <c r="E1268" s="8" t="s">
        <v>6735</v>
      </c>
      <c r="F1268" s="8" t="s">
        <v>6633</v>
      </c>
      <c r="G1268" s="8" t="s">
        <v>6654</v>
      </c>
      <c r="H1268" s="8" t="s">
        <v>6655</v>
      </c>
      <c r="I1268" s="8" t="str">
        <f>HYPERLINK("http://www.conceriaf3.com/","www.conceriaf3.com")</f>
        <v>www.conceriaf3.com</v>
      </c>
      <c r="J1268" s="10">
        <v>4770.8789999999999</v>
      </c>
      <c r="K1268" s="10">
        <v>4770.8789999999999</v>
      </c>
      <c r="L1268" s="10">
        <v>4913.598</v>
      </c>
      <c r="M1268" s="10">
        <v>169.31899999999999</v>
      </c>
      <c r="N1268" s="10">
        <v>169.31899999999999</v>
      </c>
      <c r="O1268" s="10">
        <v>191.65100000000001</v>
      </c>
      <c r="P1268" s="10">
        <v>16</v>
      </c>
      <c r="Q1268" s="10">
        <v>16</v>
      </c>
      <c r="R1268" s="10">
        <v>15</v>
      </c>
    </row>
    <row r="1269" spans="1:18" ht="17" customHeight="1" x14ac:dyDescent="0.15">
      <c r="A1269" s="11" t="s">
        <v>6736</v>
      </c>
      <c r="B1269" s="1" t="s">
        <v>6737</v>
      </c>
      <c r="C1269" s="11" t="s">
        <v>6738</v>
      </c>
      <c r="D1269" s="11" t="s">
        <v>6738</v>
      </c>
      <c r="E1269" s="11" t="s">
        <v>6739</v>
      </c>
      <c r="F1269" s="11" t="s">
        <v>6740</v>
      </c>
      <c r="G1269" s="11" t="s">
        <v>6741</v>
      </c>
      <c r="H1269" s="11" t="s">
        <v>6673</v>
      </c>
      <c r="I1269" s="11" t="str">
        <f>HYPERLINK("http://www.bonadei.com/","http://www.bonadei.com")</f>
        <v>http://www.bonadei.com</v>
      </c>
      <c r="J1269" s="12">
        <v>4604.0360000000001</v>
      </c>
      <c r="K1269" s="12">
        <v>4604.0360000000001</v>
      </c>
      <c r="L1269" s="13">
        <v>4903.4359999999997</v>
      </c>
      <c r="M1269" s="12">
        <v>170.15899999999999</v>
      </c>
      <c r="N1269" s="12">
        <v>170.15899999999999</v>
      </c>
      <c r="O1269" s="12">
        <v>314.45800000000003</v>
      </c>
      <c r="P1269" s="12">
        <v>36</v>
      </c>
      <c r="Q1269" s="12">
        <v>36</v>
      </c>
      <c r="R1269" s="12">
        <v>35</v>
      </c>
    </row>
    <row r="1270" spans="1:18" ht="29.5" customHeight="1" x14ac:dyDescent="0.15">
      <c r="A1270" s="8" t="s">
        <v>6742</v>
      </c>
      <c r="B1270" s="9" t="s">
        <v>6743</v>
      </c>
      <c r="C1270" s="8" t="s">
        <v>6744</v>
      </c>
      <c r="D1270" s="8" t="s">
        <v>6744</v>
      </c>
      <c r="E1270" s="8" t="s">
        <v>6745</v>
      </c>
      <c r="F1270" s="8" t="s">
        <v>6626</v>
      </c>
      <c r="G1270" s="8" t="s">
        <v>6705</v>
      </c>
      <c r="H1270" s="8" t="s">
        <v>6661</v>
      </c>
      <c r="I1270" s="8" t="str">
        <f>HYPERLINK("http://www.designlabitalia.com/","www.designlabitalia.com")</f>
        <v>www.designlabitalia.com</v>
      </c>
      <c r="J1270" s="10">
        <v>4623.41</v>
      </c>
      <c r="K1270" s="10">
        <v>4623.41</v>
      </c>
      <c r="L1270" s="10">
        <v>4902.018</v>
      </c>
      <c r="M1270" s="10">
        <v>36.365000000000002</v>
      </c>
      <c r="N1270" s="10">
        <v>36.365000000000002</v>
      </c>
      <c r="O1270" s="10">
        <v>66.903000000000006</v>
      </c>
      <c r="P1270" s="15" t="s">
        <v>6700</v>
      </c>
      <c r="Q1270" s="15" t="s">
        <v>6700</v>
      </c>
      <c r="R1270" s="10">
        <v>15</v>
      </c>
    </row>
    <row r="1271" spans="1:18" ht="29.5" customHeight="1" x14ac:dyDescent="0.15">
      <c r="A1271" s="11" t="s">
        <v>6746</v>
      </c>
      <c r="B1271" s="1" t="s">
        <v>6747</v>
      </c>
      <c r="C1271" s="11" t="s">
        <v>6748</v>
      </c>
      <c r="D1271" s="11" t="s">
        <v>6748</v>
      </c>
      <c r="E1271" s="11" t="s">
        <v>6749</v>
      </c>
      <c r="F1271" s="11" t="s">
        <v>6640</v>
      </c>
      <c r="G1271" s="11" t="s">
        <v>6750</v>
      </c>
      <c r="H1271" s="11" t="s">
        <v>6642</v>
      </c>
      <c r="I1271" s="11" t="str">
        <f>HYPERLINK("http://www.linkedin.com/company/maglificio-pini","www.linkedin.com/company/maglificio-pini")</f>
        <v>www.linkedin.com/company/maglificio-pini</v>
      </c>
      <c r="J1271" s="12">
        <v>4252.4759999999997</v>
      </c>
      <c r="K1271" s="12">
        <v>4252.4759999999997</v>
      </c>
      <c r="L1271" s="13">
        <v>4900.8999999999996</v>
      </c>
      <c r="M1271" s="12">
        <v>169.79400000000001</v>
      </c>
      <c r="N1271" s="12">
        <v>169.79400000000001</v>
      </c>
      <c r="O1271" s="12">
        <v>542.58500000000004</v>
      </c>
      <c r="P1271" s="12">
        <v>44</v>
      </c>
      <c r="Q1271" s="12">
        <v>44</v>
      </c>
      <c r="R1271" s="12">
        <v>39</v>
      </c>
    </row>
    <row r="1272" spans="1:18" ht="17" customHeight="1" x14ac:dyDescent="0.15">
      <c r="A1272" s="8" t="s">
        <v>6751</v>
      </c>
      <c r="B1272" s="9" t="s">
        <v>6752</v>
      </c>
      <c r="C1272" s="8" t="s">
        <v>6753</v>
      </c>
      <c r="D1272" s="8" t="s">
        <v>6753</v>
      </c>
      <c r="E1272" s="8" t="s">
        <v>6754</v>
      </c>
      <c r="F1272" s="8" t="s">
        <v>6699</v>
      </c>
      <c r="G1272" s="8" t="s">
        <v>6672</v>
      </c>
      <c r="H1272" s="8" t="s">
        <v>6673</v>
      </c>
      <c r="I1272" s="8" t="str">
        <f>HYPERLINK("http://www.afti.it/","www.afti.it")</f>
        <v>www.afti.it</v>
      </c>
      <c r="J1272" s="10">
        <v>4761.9719999999998</v>
      </c>
      <c r="K1272" s="10">
        <v>4761.9719999999998</v>
      </c>
      <c r="L1272" s="10">
        <v>4900.7809999999999</v>
      </c>
      <c r="M1272" s="10">
        <v>26.63</v>
      </c>
      <c r="N1272" s="10">
        <v>26.63</v>
      </c>
      <c r="O1272" s="10">
        <v>131.58199999999999</v>
      </c>
      <c r="P1272" s="10">
        <v>23</v>
      </c>
      <c r="Q1272" s="10">
        <v>23</v>
      </c>
      <c r="R1272" s="10">
        <v>23</v>
      </c>
    </row>
    <row r="1273" spans="1:18" ht="17" customHeight="1" x14ac:dyDescent="0.15">
      <c r="A1273" s="11" t="s">
        <v>6755</v>
      </c>
      <c r="B1273" s="1" t="s">
        <v>6756</v>
      </c>
      <c r="C1273" s="11" t="s">
        <v>6757</v>
      </c>
      <c r="D1273" s="11" t="s">
        <v>6757</v>
      </c>
      <c r="E1273" s="11" t="s">
        <v>6758</v>
      </c>
      <c r="F1273" s="11" t="s">
        <v>6759</v>
      </c>
      <c r="G1273" s="11" t="s">
        <v>6634</v>
      </c>
      <c r="H1273" s="11" t="s">
        <v>6635</v>
      </c>
      <c r="I1273" s="11" t="str">
        <f>HYPERLINK("http://santipel.com/","santipel.com")</f>
        <v>santipel.com</v>
      </c>
      <c r="J1273" s="12">
        <v>4436.91</v>
      </c>
      <c r="K1273" s="12">
        <v>4436.91</v>
      </c>
      <c r="L1273" s="13">
        <v>4900.08</v>
      </c>
      <c r="M1273" s="12">
        <v>32.066000000000003</v>
      </c>
      <c r="N1273" s="12">
        <v>32.066000000000003</v>
      </c>
      <c r="O1273" s="12">
        <v>106.364</v>
      </c>
      <c r="P1273" s="12">
        <v>29</v>
      </c>
      <c r="Q1273" s="12">
        <v>29</v>
      </c>
      <c r="R1273" s="12">
        <v>33</v>
      </c>
    </row>
    <row r="1274" spans="1:18" ht="17" customHeight="1" x14ac:dyDescent="0.15">
      <c r="A1274" s="8" t="s">
        <v>6760</v>
      </c>
      <c r="B1274" s="9" t="s">
        <v>6761</v>
      </c>
      <c r="C1274" s="8" t="s">
        <v>6762</v>
      </c>
      <c r="D1274" s="8" t="s">
        <v>6763</v>
      </c>
      <c r="E1274" s="8" t="s">
        <v>6764</v>
      </c>
      <c r="F1274" s="8" t="s">
        <v>6688</v>
      </c>
      <c r="G1274" s="8" t="s">
        <v>6765</v>
      </c>
      <c r="H1274" s="8" t="s">
        <v>6673</v>
      </c>
      <c r="I1274" s="8" t="str">
        <f>HYPERLINK("http://www.incor3.it/","www.incor3.it")</f>
        <v>www.incor3.it</v>
      </c>
      <c r="J1274" s="10">
        <v>4550.5649999999996</v>
      </c>
      <c r="K1274" s="10">
        <v>4550.5649999999996</v>
      </c>
      <c r="L1274" s="10">
        <v>4894.1469999999999</v>
      </c>
      <c r="M1274" s="10">
        <v>19.988</v>
      </c>
      <c r="N1274" s="10">
        <v>19.988</v>
      </c>
      <c r="O1274" s="10">
        <v>-136.66200000000001</v>
      </c>
      <c r="P1274" s="10">
        <v>20</v>
      </c>
      <c r="Q1274" s="10">
        <v>20</v>
      </c>
      <c r="R1274" s="10">
        <v>20</v>
      </c>
    </row>
    <row r="1275" spans="1:18" ht="17" customHeight="1" x14ac:dyDescent="0.15">
      <c r="A1275" s="11" t="s">
        <v>6766</v>
      </c>
      <c r="B1275" s="1" t="s">
        <v>6767</v>
      </c>
      <c r="C1275" s="11" t="s">
        <v>6768</v>
      </c>
      <c r="D1275" s="11" t="s">
        <v>6768</v>
      </c>
      <c r="E1275" s="11" t="s">
        <v>6769</v>
      </c>
      <c r="F1275" s="11" t="s">
        <v>6626</v>
      </c>
      <c r="G1275" s="11" t="s">
        <v>6705</v>
      </c>
      <c r="H1275" s="11" t="s">
        <v>6661</v>
      </c>
      <c r="I1275" s="11" t="str">
        <f>HYPERLINK("http://www.assiatrend.it/","http://www.assiatrend.it")</f>
        <v>http://www.assiatrend.it</v>
      </c>
      <c r="J1275" s="12">
        <v>6513.8360000000002</v>
      </c>
      <c r="K1275" s="12">
        <v>6513.8360000000002</v>
      </c>
      <c r="L1275" s="13">
        <v>4893.4380000000001</v>
      </c>
      <c r="M1275" s="12">
        <v>414.71199999999999</v>
      </c>
      <c r="N1275" s="12">
        <v>414.71199999999999</v>
      </c>
      <c r="O1275" s="12">
        <v>196.54300000000001</v>
      </c>
      <c r="P1275" s="14" t="s">
        <v>6700</v>
      </c>
      <c r="Q1275" s="14" t="s">
        <v>6700</v>
      </c>
      <c r="R1275" s="12">
        <v>16</v>
      </c>
    </row>
    <row r="1276" spans="1:18" ht="17" customHeight="1" x14ac:dyDescent="0.15">
      <c r="A1276" s="8" t="s">
        <v>6770</v>
      </c>
      <c r="B1276" s="9" t="s">
        <v>6771</v>
      </c>
      <c r="C1276" s="8" t="s">
        <v>6772</v>
      </c>
      <c r="D1276" s="8" t="s">
        <v>6772</v>
      </c>
      <c r="E1276" s="8" t="s">
        <v>6773</v>
      </c>
      <c r="F1276" s="8" t="s">
        <v>6626</v>
      </c>
      <c r="G1276" s="8" t="s">
        <v>6774</v>
      </c>
      <c r="H1276" s="8" t="s">
        <v>6655</v>
      </c>
      <c r="I1276" s="8" t="str">
        <f>HYPERLINK("http://exton.it/","exton.it")</f>
        <v>exton.it</v>
      </c>
      <c r="J1276" s="10">
        <v>5555.9350000000004</v>
      </c>
      <c r="K1276" s="10">
        <v>5555.9350000000004</v>
      </c>
      <c r="L1276" s="10">
        <v>4888.576</v>
      </c>
      <c r="M1276" s="10">
        <v>95.5</v>
      </c>
      <c r="N1276" s="10">
        <v>95.5</v>
      </c>
      <c r="O1276" s="10">
        <v>145.16</v>
      </c>
      <c r="P1276" s="15" t="s">
        <v>6700</v>
      </c>
      <c r="Q1276" s="15" t="s">
        <v>6700</v>
      </c>
      <c r="R1276" s="10">
        <v>34</v>
      </c>
    </row>
    <row r="1277" spans="1:18" ht="17" customHeight="1" x14ac:dyDescent="0.15">
      <c r="A1277" s="11" t="s">
        <v>6775</v>
      </c>
      <c r="B1277" s="1" t="s">
        <v>6776</v>
      </c>
      <c r="C1277" s="11" t="s">
        <v>6777</v>
      </c>
      <c r="D1277" s="11" t="s">
        <v>6777</v>
      </c>
      <c r="E1277" s="11" t="s">
        <v>6778</v>
      </c>
      <c r="F1277" s="11" t="s">
        <v>6626</v>
      </c>
      <c r="G1277" s="11" t="s">
        <v>6705</v>
      </c>
      <c r="H1277" s="11" t="s">
        <v>6661</v>
      </c>
      <c r="I1277" s="11" t="str">
        <f>HYPERLINK("http://www.torresi.it/","www.torresi.it")</f>
        <v>www.torresi.it</v>
      </c>
      <c r="J1277" s="12">
        <v>4541.4579999999996</v>
      </c>
      <c r="K1277" s="12">
        <v>4541.4579999999996</v>
      </c>
      <c r="L1277" s="13">
        <v>4887.7839999999997</v>
      </c>
      <c r="M1277" s="12">
        <v>34.796999999999997</v>
      </c>
      <c r="N1277" s="12">
        <v>34.796999999999997</v>
      </c>
      <c r="O1277" s="12">
        <v>101.051</v>
      </c>
      <c r="P1277" s="14" t="s">
        <v>6700</v>
      </c>
      <c r="Q1277" s="14" t="s">
        <v>6700</v>
      </c>
      <c r="R1277" s="12">
        <v>24</v>
      </c>
    </row>
    <row r="1278" spans="1:18" ht="17" customHeight="1" x14ac:dyDescent="0.15">
      <c r="A1278" s="8" t="s">
        <v>6779</v>
      </c>
      <c r="B1278" s="9" t="s">
        <v>6780</v>
      </c>
      <c r="C1278" s="8" t="s">
        <v>6781</v>
      </c>
      <c r="D1278" s="8" t="s">
        <v>6781</v>
      </c>
      <c r="E1278" s="8" t="s">
        <v>6782</v>
      </c>
      <c r="F1278" s="8" t="s">
        <v>6640</v>
      </c>
      <c r="G1278" s="8" t="s">
        <v>6627</v>
      </c>
      <c r="H1278" s="8" t="s">
        <v>6628</v>
      </c>
      <c r="I1278" s="8" t="str">
        <f>HYPERLINK("http://www.gianangeli.com/","http://www.gianangeli.com")</f>
        <v>http://www.gianangeli.com</v>
      </c>
      <c r="J1278" s="10">
        <v>4914.6009999999997</v>
      </c>
      <c r="K1278" s="10">
        <v>4914.6009999999997</v>
      </c>
      <c r="L1278" s="10">
        <v>4886.116</v>
      </c>
      <c r="M1278" s="10">
        <v>1158</v>
      </c>
      <c r="N1278" s="10">
        <v>1158</v>
      </c>
      <c r="O1278" s="10">
        <v>794.76800000000003</v>
      </c>
      <c r="P1278" s="10">
        <v>30</v>
      </c>
      <c r="Q1278" s="10">
        <v>30</v>
      </c>
      <c r="R1278" s="10">
        <v>30</v>
      </c>
    </row>
    <row r="1279" spans="1:18" ht="17" customHeight="1" x14ac:dyDescent="0.15">
      <c r="A1279" s="11" t="s">
        <v>6783</v>
      </c>
      <c r="B1279" s="1" t="s">
        <v>6784</v>
      </c>
      <c r="C1279" s="11" t="s">
        <v>6785</v>
      </c>
      <c r="D1279" s="11" t="s">
        <v>6785</v>
      </c>
      <c r="E1279" s="11" t="s">
        <v>6786</v>
      </c>
      <c r="F1279" s="11" t="s">
        <v>6787</v>
      </c>
      <c r="G1279" s="11" t="s">
        <v>6788</v>
      </c>
      <c r="H1279" s="11" t="s">
        <v>6789</v>
      </c>
      <c r="I1279" s="11" t="str">
        <f>HYPERLINK("http://intimodueesse.it/","intimodueesse.it")</f>
        <v>intimodueesse.it</v>
      </c>
      <c r="J1279" s="12">
        <v>3511.5819999999999</v>
      </c>
      <c r="K1279" s="12">
        <v>3511.5819999999999</v>
      </c>
      <c r="L1279" s="13">
        <v>4880.5379999999996</v>
      </c>
      <c r="M1279" s="12">
        <v>19.984000000000002</v>
      </c>
      <c r="N1279" s="12">
        <v>19.984000000000002</v>
      </c>
      <c r="O1279" s="12">
        <v>51.673000000000002</v>
      </c>
      <c r="P1279" s="14" t="s">
        <v>6700</v>
      </c>
      <c r="Q1279" s="14" t="s">
        <v>6700</v>
      </c>
      <c r="R1279" s="12">
        <v>22</v>
      </c>
    </row>
    <row r="1280" spans="1:18" ht="17" customHeight="1" x14ac:dyDescent="0.15">
      <c r="A1280" s="8" t="s">
        <v>6790</v>
      </c>
      <c r="B1280" s="9" t="s">
        <v>6791</v>
      </c>
      <c r="C1280" s="8" t="s">
        <v>6792</v>
      </c>
      <c r="D1280" s="8" t="s">
        <v>6792</v>
      </c>
      <c r="E1280" s="8" t="s">
        <v>6793</v>
      </c>
      <c r="F1280" s="8" t="s">
        <v>6740</v>
      </c>
      <c r="G1280" s="8" t="s">
        <v>6794</v>
      </c>
      <c r="H1280" s="8" t="s">
        <v>6789</v>
      </c>
      <c r="I1280" s="8" t="str">
        <f>HYPERLINK("http://www.calzificiolablu.it/","www.calzificiolablu.it")</f>
        <v>www.calzificiolablu.it</v>
      </c>
      <c r="J1280" s="10">
        <v>3761.3890000000001</v>
      </c>
      <c r="K1280" s="10">
        <v>3761.3890000000001</v>
      </c>
      <c r="L1280" s="10">
        <v>4879.2420000000002</v>
      </c>
      <c r="M1280" s="10">
        <v>57.991999999999997</v>
      </c>
      <c r="N1280" s="10">
        <v>57.991999999999997</v>
      </c>
      <c r="O1280" s="10">
        <v>148.44999999999999</v>
      </c>
      <c r="P1280" s="10">
        <v>44</v>
      </c>
      <c r="Q1280" s="10">
        <v>44</v>
      </c>
      <c r="R1280" s="10">
        <v>40</v>
      </c>
    </row>
    <row r="1281" spans="1:18" ht="17" customHeight="1" x14ac:dyDescent="0.15">
      <c r="A1281" s="11" t="s">
        <v>6795</v>
      </c>
      <c r="B1281" s="1" t="s">
        <v>6796</v>
      </c>
      <c r="C1281" s="11" t="s">
        <v>6797</v>
      </c>
      <c r="D1281" s="11" t="s">
        <v>6797</v>
      </c>
      <c r="E1281" s="11" t="s">
        <v>6798</v>
      </c>
      <c r="F1281" s="11" t="s">
        <v>6799</v>
      </c>
      <c r="G1281" s="11" t="s">
        <v>6800</v>
      </c>
      <c r="H1281" s="11" t="s">
        <v>6801</v>
      </c>
      <c r="I1281" s="11" t="str">
        <f>HYPERLINK("http://www.lomer.it/","www.lomer.it")</f>
        <v>www.lomer.it</v>
      </c>
      <c r="J1281" s="12">
        <v>4767.0540000000001</v>
      </c>
      <c r="K1281" s="12">
        <v>4767.0540000000001</v>
      </c>
      <c r="L1281" s="13">
        <v>4868.1469999999999</v>
      </c>
      <c r="M1281" s="12">
        <v>155.256</v>
      </c>
      <c r="N1281" s="12">
        <v>155.256</v>
      </c>
      <c r="O1281" s="12">
        <v>236.89099999999999</v>
      </c>
      <c r="P1281" s="12">
        <v>7</v>
      </c>
      <c r="Q1281" s="12">
        <v>7</v>
      </c>
      <c r="R1281" s="12">
        <v>7</v>
      </c>
    </row>
    <row r="1282" spans="1:18" ht="17" customHeight="1" x14ac:dyDescent="0.15">
      <c r="A1282" s="8" t="s">
        <v>6802</v>
      </c>
      <c r="B1282" s="9" t="s">
        <v>6803</v>
      </c>
      <c r="C1282" s="8" t="s">
        <v>6804</v>
      </c>
      <c r="D1282" s="8" t="s">
        <v>6804</v>
      </c>
      <c r="E1282" s="8" t="s">
        <v>6805</v>
      </c>
      <c r="F1282" s="8" t="s">
        <v>6806</v>
      </c>
      <c r="G1282" s="8" t="s">
        <v>6807</v>
      </c>
      <c r="H1282" s="8" t="s">
        <v>6808</v>
      </c>
      <c r="I1282" s="8" t="str">
        <f>HYPERLINK("http://guantificioabruzzese.com/","guantificioabruzzese.com")</f>
        <v>guantificioabruzzese.com</v>
      </c>
      <c r="J1282" s="10">
        <v>4556.7539999999999</v>
      </c>
      <c r="K1282" s="10">
        <v>4556.7539999999999</v>
      </c>
      <c r="L1282" s="10">
        <v>4861.6869999999999</v>
      </c>
      <c r="M1282" s="10">
        <v>134.99799999999999</v>
      </c>
      <c r="N1282" s="10">
        <v>134.99799999999999</v>
      </c>
      <c r="O1282" s="10">
        <v>157.821</v>
      </c>
      <c r="P1282" s="10">
        <v>10</v>
      </c>
      <c r="Q1282" s="10">
        <v>10</v>
      </c>
      <c r="R1282" s="10">
        <v>7</v>
      </c>
    </row>
    <row r="1283" spans="1:18" ht="17" customHeight="1" x14ac:dyDescent="0.15">
      <c r="A1283" s="11" t="s">
        <v>6809</v>
      </c>
      <c r="B1283" s="1" t="s">
        <v>6810</v>
      </c>
      <c r="C1283" s="11" t="s">
        <v>6811</v>
      </c>
      <c r="D1283" s="11" t="s">
        <v>6811</v>
      </c>
      <c r="E1283" s="11" t="s">
        <v>6812</v>
      </c>
      <c r="F1283" s="11" t="s">
        <v>6813</v>
      </c>
      <c r="G1283" s="11" t="s">
        <v>6814</v>
      </c>
      <c r="H1283" s="11" t="s">
        <v>6815</v>
      </c>
      <c r="I1283" s="11" t="str">
        <f>HYPERLINK("http://www.pellamilopel.com/","www.pellamilopel.com")</f>
        <v>www.pellamilopel.com</v>
      </c>
      <c r="J1283" s="12">
        <v>3613.2669999999998</v>
      </c>
      <c r="K1283" s="12">
        <v>3613.2669999999998</v>
      </c>
      <c r="L1283" s="13">
        <v>4860.4189999999999</v>
      </c>
      <c r="M1283" s="12">
        <v>18.911999999999999</v>
      </c>
      <c r="N1283" s="12">
        <v>18.911999999999999</v>
      </c>
      <c r="O1283" s="12">
        <v>15.246</v>
      </c>
      <c r="P1283" s="14" t="s">
        <v>6816</v>
      </c>
      <c r="Q1283" s="14" t="s">
        <v>6816</v>
      </c>
      <c r="R1283" s="12">
        <v>6</v>
      </c>
    </row>
    <row r="1284" spans="1:18" ht="29.5" customHeight="1" x14ac:dyDescent="0.15">
      <c r="A1284" s="8" t="s">
        <v>6817</v>
      </c>
      <c r="B1284" s="9" t="s">
        <v>6818</v>
      </c>
      <c r="C1284" s="8" t="s">
        <v>6819</v>
      </c>
      <c r="D1284" s="8" t="s">
        <v>6819</v>
      </c>
      <c r="E1284" s="8" t="s">
        <v>6820</v>
      </c>
      <c r="F1284" s="8" t="s">
        <v>6799</v>
      </c>
      <c r="G1284" s="8" t="s">
        <v>6821</v>
      </c>
      <c r="H1284" s="8" t="s">
        <v>6815</v>
      </c>
      <c r="I1284" s="8" t="str">
        <f>HYPERLINK("http://sandyshoes.it/","sandyshoes.it")</f>
        <v>sandyshoes.it</v>
      </c>
      <c r="J1284" s="10">
        <v>3630.03</v>
      </c>
      <c r="K1284" s="10">
        <v>3630.03</v>
      </c>
      <c r="L1284" s="10">
        <v>4843.9229999999998</v>
      </c>
      <c r="M1284" s="10">
        <v>8.6549999999999994</v>
      </c>
      <c r="N1284" s="10">
        <v>8.6549999999999994</v>
      </c>
      <c r="O1284" s="10">
        <v>15.782999999999999</v>
      </c>
      <c r="P1284" s="10">
        <v>7</v>
      </c>
      <c r="Q1284" s="10">
        <v>7</v>
      </c>
      <c r="R1284" s="10">
        <v>7</v>
      </c>
    </row>
    <row r="1285" spans="1:18" ht="17" customHeight="1" x14ac:dyDescent="0.15">
      <c r="A1285" s="11" t="s">
        <v>6822</v>
      </c>
      <c r="B1285" s="1" t="s">
        <v>6823</v>
      </c>
      <c r="C1285" s="11" t="s">
        <v>6824</v>
      </c>
      <c r="D1285" s="11" t="s">
        <v>6824</v>
      </c>
      <c r="E1285" s="11" t="s">
        <v>6825</v>
      </c>
      <c r="F1285" s="11" t="s">
        <v>6826</v>
      </c>
      <c r="G1285" s="11" t="s">
        <v>6827</v>
      </c>
      <c r="H1285" s="11" t="s">
        <v>6828</v>
      </c>
      <c r="I1285" s="11" t="str">
        <f>HYPERLINK("http://www.centotex.it/","www.centotex.it")</f>
        <v>www.centotex.it</v>
      </c>
      <c r="J1285" s="12">
        <v>7609.9229999999998</v>
      </c>
      <c r="K1285" s="12">
        <v>7609.9229999999998</v>
      </c>
      <c r="L1285" s="13">
        <v>4833.4040000000005</v>
      </c>
      <c r="M1285" s="12">
        <v>36.908999999999999</v>
      </c>
      <c r="N1285" s="12">
        <v>36.908999999999999</v>
      </c>
      <c r="O1285" s="12">
        <v>15.507999999999999</v>
      </c>
      <c r="P1285" s="12">
        <v>23</v>
      </c>
      <c r="Q1285" s="12">
        <v>23</v>
      </c>
      <c r="R1285" s="12">
        <v>22</v>
      </c>
    </row>
    <row r="1286" spans="1:18" ht="17" customHeight="1" x14ac:dyDescent="0.15">
      <c r="A1286" s="8" t="s">
        <v>6829</v>
      </c>
      <c r="B1286" s="9" t="s">
        <v>6830</v>
      </c>
      <c r="C1286" s="8" t="s">
        <v>6831</v>
      </c>
      <c r="D1286" s="8" t="s">
        <v>6831</v>
      </c>
      <c r="E1286" s="8" t="s">
        <v>6832</v>
      </c>
      <c r="F1286" s="8" t="s">
        <v>6833</v>
      </c>
      <c r="G1286" s="8" t="s">
        <v>6834</v>
      </c>
      <c r="H1286" s="8" t="s">
        <v>6801</v>
      </c>
      <c r="I1286" s="8" t="str">
        <f>HYPERLINK("http://shop.energiapura.info/","shop.energiapura.info")</f>
        <v>shop.energiapura.info</v>
      </c>
      <c r="J1286" s="10">
        <v>6121.634</v>
      </c>
      <c r="K1286" s="10">
        <v>6121.634</v>
      </c>
      <c r="L1286" s="10">
        <v>4811.1099999999997</v>
      </c>
      <c r="M1286" s="10">
        <v>5.8570000000000002</v>
      </c>
      <c r="N1286" s="10">
        <v>5.8570000000000002</v>
      </c>
      <c r="O1286" s="10">
        <v>43.898000000000003</v>
      </c>
      <c r="P1286" s="10">
        <v>27</v>
      </c>
      <c r="Q1286" s="10">
        <v>27</v>
      </c>
      <c r="R1286" s="10">
        <v>26</v>
      </c>
    </row>
    <row r="1287" spans="1:18" ht="17" customHeight="1" x14ac:dyDescent="0.15">
      <c r="A1287" s="11" t="s">
        <v>6835</v>
      </c>
      <c r="B1287" s="1" t="s">
        <v>6836</v>
      </c>
      <c r="C1287" s="11" t="s">
        <v>6837</v>
      </c>
      <c r="D1287" s="11" t="s">
        <v>6837</v>
      </c>
      <c r="E1287" s="11" t="s">
        <v>6838</v>
      </c>
      <c r="F1287" s="11" t="s">
        <v>6799</v>
      </c>
      <c r="G1287" s="11" t="s">
        <v>6839</v>
      </c>
      <c r="H1287" s="11" t="s">
        <v>6815</v>
      </c>
      <c r="I1287" s="11" t="str">
        <f>HYPERLINK("http://www.farida.it/","www.farida.it")</f>
        <v>www.farida.it</v>
      </c>
      <c r="J1287" s="12">
        <v>3775.6759999999999</v>
      </c>
      <c r="K1287" s="12">
        <v>3775.6759999999999</v>
      </c>
      <c r="L1287" s="13">
        <v>4796.616</v>
      </c>
      <c r="M1287" s="12">
        <v>19.702000000000002</v>
      </c>
      <c r="N1287" s="12">
        <v>19.702000000000002</v>
      </c>
      <c r="O1287" s="12">
        <v>25.463999999999999</v>
      </c>
      <c r="P1287" s="12">
        <v>22</v>
      </c>
      <c r="Q1287" s="12">
        <v>22</v>
      </c>
      <c r="R1287" s="12">
        <v>24</v>
      </c>
    </row>
    <row r="1288" spans="1:18" ht="17" customHeight="1" x14ac:dyDescent="0.15">
      <c r="A1288" s="8" t="s">
        <v>6840</v>
      </c>
      <c r="B1288" s="9" t="s">
        <v>6841</v>
      </c>
      <c r="C1288" s="8" t="s">
        <v>6842</v>
      </c>
      <c r="D1288" s="8" t="s">
        <v>6842</v>
      </c>
      <c r="E1288" s="8" t="s">
        <v>6843</v>
      </c>
      <c r="F1288" s="8" t="s">
        <v>6806</v>
      </c>
      <c r="G1288" s="8" t="s">
        <v>6844</v>
      </c>
      <c r="H1288" s="8" t="s">
        <v>6845</v>
      </c>
      <c r="I1288" s="8" t="str">
        <f>HYPERLINK("http://www.guantificio2esse.com/","www.guantificio2esse.com")</f>
        <v>www.guantificio2esse.com</v>
      </c>
      <c r="J1288" s="10">
        <v>6873.72</v>
      </c>
      <c r="K1288" s="10">
        <v>6873.72</v>
      </c>
      <c r="L1288" s="10">
        <v>4786.9620000000004</v>
      </c>
      <c r="M1288" s="10">
        <v>984.03300000000002</v>
      </c>
      <c r="N1288" s="10">
        <v>984.03300000000002</v>
      </c>
      <c r="O1288" s="10">
        <v>598.26400000000001</v>
      </c>
      <c r="P1288" s="10">
        <v>3</v>
      </c>
      <c r="Q1288" s="10">
        <v>3</v>
      </c>
      <c r="R1288" s="10">
        <v>1</v>
      </c>
    </row>
    <row r="1289" spans="1:18" ht="29.5" customHeight="1" x14ac:dyDescent="0.15">
      <c r="A1289" s="11" t="s">
        <v>6846</v>
      </c>
      <c r="B1289" s="1" t="s">
        <v>6847</v>
      </c>
      <c r="C1289" s="11" t="s">
        <v>6848</v>
      </c>
      <c r="D1289" s="11" t="s">
        <v>6848</v>
      </c>
      <c r="E1289" s="11" t="s">
        <v>6849</v>
      </c>
      <c r="F1289" s="11" t="s">
        <v>6850</v>
      </c>
      <c r="G1289" s="11" t="s">
        <v>6851</v>
      </c>
      <c r="H1289" s="11" t="s">
        <v>6828</v>
      </c>
      <c r="I1289" s="11" t="str">
        <f>HYPERLINK("http://suolificiomannini.it/","suolificiomannini.it")</f>
        <v>suolificiomannini.it</v>
      </c>
      <c r="J1289" s="12">
        <v>5298.9170000000004</v>
      </c>
      <c r="K1289" s="12">
        <v>5298.9170000000004</v>
      </c>
      <c r="L1289" s="13">
        <v>4786.6540000000005</v>
      </c>
      <c r="M1289" s="12">
        <v>48.703000000000003</v>
      </c>
      <c r="N1289" s="12">
        <v>48.703000000000003</v>
      </c>
      <c r="O1289" s="12">
        <v>78.623999999999995</v>
      </c>
      <c r="P1289" s="12">
        <v>24</v>
      </c>
      <c r="Q1289" s="12">
        <v>24</v>
      </c>
      <c r="R1289" s="12">
        <v>25</v>
      </c>
    </row>
    <row r="1290" spans="1:18" ht="17" customHeight="1" x14ac:dyDescent="0.15">
      <c r="A1290" s="8" t="s">
        <v>6852</v>
      </c>
      <c r="B1290" s="9" t="s">
        <v>6853</v>
      </c>
      <c r="C1290" s="8" t="s">
        <v>6854</v>
      </c>
      <c r="D1290" s="8" t="s">
        <v>6854</v>
      </c>
      <c r="E1290" s="8" t="s">
        <v>6855</v>
      </c>
      <c r="F1290" s="8" t="s">
        <v>6826</v>
      </c>
      <c r="G1290" s="8" t="s">
        <v>6856</v>
      </c>
      <c r="H1290" s="8" t="s">
        <v>6845</v>
      </c>
      <c r="I1290" s="8" t="str">
        <f>HYPERLINK("http://phisiquedurole.com/","phisiquedurole.com")</f>
        <v>phisiquedurole.com</v>
      </c>
      <c r="J1290" s="10">
        <v>5454.7139999999999</v>
      </c>
      <c r="K1290" s="10">
        <v>5454.7139999999999</v>
      </c>
      <c r="L1290" s="10">
        <v>4785.3270000000002</v>
      </c>
      <c r="M1290" s="10">
        <v>146.084</v>
      </c>
      <c r="N1290" s="10">
        <v>146.084</v>
      </c>
      <c r="O1290" s="10">
        <v>180.17699999999999</v>
      </c>
      <c r="P1290" s="10">
        <v>8</v>
      </c>
      <c r="Q1290" s="10">
        <v>8</v>
      </c>
      <c r="R1290" s="10">
        <v>6</v>
      </c>
    </row>
    <row r="1291" spans="1:18" ht="17" customHeight="1" x14ac:dyDescent="0.15">
      <c r="A1291" s="11" t="s">
        <v>6857</v>
      </c>
      <c r="B1291" s="1" t="s">
        <v>6858</v>
      </c>
      <c r="C1291" s="11" t="s">
        <v>6859</v>
      </c>
      <c r="D1291" s="11" t="s">
        <v>6859</v>
      </c>
      <c r="E1291" s="11" t="s">
        <v>6860</v>
      </c>
      <c r="F1291" s="11" t="s">
        <v>6833</v>
      </c>
      <c r="G1291" s="11" t="s">
        <v>6861</v>
      </c>
      <c r="H1291" s="11" t="s">
        <v>6862</v>
      </c>
      <c r="I1291" s="11" t="str">
        <f>HYPERLINK("http://www.nanan.it/","www.nanan.it")</f>
        <v>www.nanan.it</v>
      </c>
      <c r="J1291" s="12">
        <v>5342.393</v>
      </c>
      <c r="K1291" s="12">
        <v>5342.393</v>
      </c>
      <c r="L1291" s="13">
        <v>4783.9769999999999</v>
      </c>
      <c r="M1291" s="12">
        <v>-727.21500000000003</v>
      </c>
      <c r="N1291" s="12">
        <v>-727.21500000000003</v>
      </c>
      <c r="O1291" s="12">
        <v>-1034.1379999999999</v>
      </c>
      <c r="P1291" s="12">
        <v>19</v>
      </c>
      <c r="Q1291" s="12">
        <v>19</v>
      </c>
      <c r="R1291" s="12">
        <v>13</v>
      </c>
    </row>
    <row r="1292" spans="1:18" ht="17" customHeight="1" x14ac:dyDescent="0.15">
      <c r="A1292" s="8" t="s">
        <v>6863</v>
      </c>
      <c r="B1292" s="9" t="s">
        <v>6864</v>
      </c>
      <c r="C1292" s="8" t="s">
        <v>6865</v>
      </c>
      <c r="D1292" s="8" t="s">
        <v>6865</v>
      </c>
      <c r="E1292" s="8" t="s">
        <v>6866</v>
      </c>
      <c r="F1292" s="8" t="s">
        <v>6867</v>
      </c>
      <c r="G1292" s="8" t="s">
        <v>6868</v>
      </c>
      <c r="H1292" s="8" t="s">
        <v>6869</v>
      </c>
      <c r="I1292" s="8" t="str">
        <f>HYPERLINK("http://hismos.com/","hismos.com")</f>
        <v>hismos.com</v>
      </c>
      <c r="J1292" s="10">
        <v>3762.56</v>
      </c>
      <c r="K1292" s="10">
        <v>3762.56</v>
      </c>
      <c r="L1292" s="10">
        <v>4775.1930000000002</v>
      </c>
      <c r="M1292" s="10">
        <v>58.237000000000002</v>
      </c>
      <c r="N1292" s="10">
        <v>58.237000000000002</v>
      </c>
      <c r="O1292" s="10">
        <v>171.101</v>
      </c>
      <c r="P1292" s="15" t="s">
        <v>6816</v>
      </c>
      <c r="Q1292" s="15" t="s">
        <v>6816</v>
      </c>
      <c r="R1292" s="10">
        <v>14</v>
      </c>
    </row>
    <row r="1293" spans="1:18" ht="17" customHeight="1" x14ac:dyDescent="0.15">
      <c r="A1293" s="11" t="s">
        <v>6870</v>
      </c>
      <c r="B1293" s="1" t="s">
        <v>6871</v>
      </c>
      <c r="C1293" s="11" t="s">
        <v>6872</v>
      </c>
      <c r="D1293" s="11" t="s">
        <v>6872</v>
      </c>
      <c r="E1293" s="11" t="s">
        <v>6873</v>
      </c>
      <c r="F1293" s="11" t="s">
        <v>6874</v>
      </c>
      <c r="G1293" s="11" t="s">
        <v>6856</v>
      </c>
      <c r="H1293" s="11" t="s">
        <v>6845</v>
      </c>
      <c r="I1293" s="11" t="str">
        <f>HYPERLINK("http://www.nababila.it/","www.nababila.it")</f>
        <v>www.nababila.it</v>
      </c>
      <c r="J1293" s="12">
        <v>4089.05</v>
      </c>
      <c r="K1293" s="12">
        <v>4089.05</v>
      </c>
      <c r="L1293" s="13">
        <v>4760.723</v>
      </c>
      <c r="M1293" s="12">
        <v>15.609</v>
      </c>
      <c r="N1293" s="12">
        <v>15.609</v>
      </c>
      <c r="O1293" s="12">
        <v>52.113999999999997</v>
      </c>
      <c r="P1293" s="14" t="s">
        <v>6816</v>
      </c>
      <c r="Q1293" s="14" t="s">
        <v>6816</v>
      </c>
      <c r="R1293" s="12">
        <v>15</v>
      </c>
    </row>
    <row r="1294" spans="1:18" ht="29.5" customHeight="1" x14ac:dyDescent="0.15">
      <c r="A1294" s="8" t="s">
        <v>6875</v>
      </c>
      <c r="B1294" s="9" t="s">
        <v>6876</v>
      </c>
      <c r="C1294" s="8" t="s">
        <v>6877</v>
      </c>
      <c r="D1294" s="8" t="s">
        <v>6877</v>
      </c>
      <c r="E1294" s="8" t="s">
        <v>6878</v>
      </c>
      <c r="F1294" s="8" t="s">
        <v>6799</v>
      </c>
      <c r="G1294" s="8" t="s">
        <v>6879</v>
      </c>
      <c r="H1294" s="8" t="s">
        <v>6801</v>
      </c>
      <c r="I1294" s="8" t="str">
        <f>HYPERLINK("http://www.gronell.it/","www.gronell.it")</f>
        <v>www.gronell.it</v>
      </c>
      <c r="J1294" s="10">
        <v>4019.3879999999999</v>
      </c>
      <c r="K1294" s="10">
        <v>4019.3879999999999</v>
      </c>
      <c r="L1294" s="10">
        <v>4751.4539999999997</v>
      </c>
      <c r="M1294" s="10">
        <v>25.300999999999998</v>
      </c>
      <c r="N1294" s="10">
        <v>25.300999999999998</v>
      </c>
      <c r="O1294" s="10">
        <v>6.0830000000000002</v>
      </c>
      <c r="P1294" s="10">
        <v>23</v>
      </c>
      <c r="Q1294" s="10">
        <v>23</v>
      </c>
      <c r="R1294" s="10">
        <v>22</v>
      </c>
    </row>
    <row r="1295" spans="1:18" ht="17" customHeight="1" x14ac:dyDescent="0.15">
      <c r="A1295" s="11" t="s">
        <v>6880</v>
      </c>
      <c r="B1295" s="1" t="s">
        <v>6881</v>
      </c>
      <c r="C1295" s="11" t="s">
        <v>6882</v>
      </c>
      <c r="D1295" s="11" t="s">
        <v>6882</v>
      </c>
      <c r="E1295" s="11" t="s">
        <v>6883</v>
      </c>
      <c r="F1295" s="11" t="s">
        <v>6826</v>
      </c>
      <c r="G1295" s="11" t="s">
        <v>6884</v>
      </c>
      <c r="H1295" s="11" t="s">
        <v>6815</v>
      </c>
      <c r="I1295" s="11" t="str">
        <f>HYPERLINK("http://www.koralline.it/","www.koralline.it")</f>
        <v>www.koralline.it</v>
      </c>
      <c r="J1295" s="12">
        <v>4663.5990000000002</v>
      </c>
      <c r="K1295" s="12">
        <v>4663.5990000000002</v>
      </c>
      <c r="L1295" s="13">
        <v>4749.3559999999998</v>
      </c>
      <c r="M1295" s="12">
        <v>11.845000000000001</v>
      </c>
      <c r="N1295" s="12">
        <v>11.845000000000001</v>
      </c>
      <c r="O1295" s="12">
        <v>148.42400000000001</v>
      </c>
      <c r="P1295" s="12">
        <v>12</v>
      </c>
      <c r="Q1295" s="12">
        <v>12</v>
      </c>
      <c r="R1295" s="12">
        <v>12</v>
      </c>
    </row>
    <row r="1296" spans="1:18" ht="17" customHeight="1" x14ac:dyDescent="0.15">
      <c r="A1296" s="8" t="s">
        <v>6885</v>
      </c>
      <c r="B1296" s="9" t="s">
        <v>6886</v>
      </c>
      <c r="C1296" s="8" t="s">
        <v>6887</v>
      </c>
      <c r="D1296" s="8" t="s">
        <v>6887</v>
      </c>
      <c r="E1296" s="8" t="s">
        <v>6888</v>
      </c>
      <c r="F1296" s="8" t="s">
        <v>6799</v>
      </c>
      <c r="G1296" s="8" t="s">
        <v>6868</v>
      </c>
      <c r="H1296" s="8" t="s">
        <v>6869</v>
      </c>
      <c r="I1296" s="8" t="str">
        <f>HYPERLINK("http://giannidelprete.it/","giannidelprete.it")</f>
        <v>giannidelprete.it</v>
      </c>
      <c r="J1296" s="10">
        <v>4487.3419999999996</v>
      </c>
      <c r="K1296" s="10">
        <v>4487.3419999999996</v>
      </c>
      <c r="L1296" s="10">
        <v>4748.2049999999999</v>
      </c>
      <c r="M1296" s="10">
        <v>56.012</v>
      </c>
      <c r="N1296" s="10">
        <v>56.012</v>
      </c>
      <c r="O1296" s="10">
        <v>126.58</v>
      </c>
      <c r="P1296" s="10">
        <v>33</v>
      </c>
      <c r="Q1296" s="10">
        <v>33</v>
      </c>
      <c r="R1296" s="10">
        <v>35</v>
      </c>
    </row>
    <row r="1297" spans="1:18" ht="17" customHeight="1" x14ac:dyDescent="0.15">
      <c r="A1297" s="11" t="s">
        <v>6889</v>
      </c>
      <c r="B1297" s="1" t="s">
        <v>6890</v>
      </c>
      <c r="C1297" s="11" t="s">
        <v>6891</v>
      </c>
      <c r="D1297" s="11" t="s">
        <v>6891</v>
      </c>
      <c r="E1297" s="11" t="s">
        <v>6892</v>
      </c>
      <c r="F1297" s="11" t="s">
        <v>6893</v>
      </c>
      <c r="G1297" s="11" t="s">
        <v>6868</v>
      </c>
      <c r="H1297" s="11" t="s">
        <v>6869</v>
      </c>
      <c r="I1297" s="11" t="str">
        <f>HYPERLINK("http://www.fatextessuti.it/","www.fatextessuti.it")</f>
        <v>www.fatextessuti.it</v>
      </c>
      <c r="J1297" s="12">
        <v>4408.3509999999997</v>
      </c>
      <c r="K1297" s="12">
        <v>4408.3509999999997</v>
      </c>
      <c r="L1297" s="13">
        <v>4746.0659999999998</v>
      </c>
      <c r="M1297" s="12">
        <v>19.55</v>
      </c>
      <c r="N1297" s="12">
        <v>19.55</v>
      </c>
      <c r="O1297" s="12">
        <v>152.036</v>
      </c>
      <c r="P1297" s="14" t="s">
        <v>6816</v>
      </c>
      <c r="Q1297" s="14" t="s">
        <v>6816</v>
      </c>
      <c r="R1297" s="12">
        <v>11</v>
      </c>
    </row>
    <row r="1298" spans="1:18" ht="17" customHeight="1" x14ac:dyDescent="0.15">
      <c r="A1298" s="8" t="s">
        <v>6894</v>
      </c>
      <c r="B1298" s="9" t="s">
        <v>6895</v>
      </c>
      <c r="C1298" s="8" t="s">
        <v>6896</v>
      </c>
      <c r="D1298" s="8" t="s">
        <v>6896</v>
      </c>
      <c r="E1298" s="8" t="s">
        <v>6897</v>
      </c>
      <c r="F1298" s="8" t="s">
        <v>6799</v>
      </c>
      <c r="G1298" s="8" t="s">
        <v>6844</v>
      </c>
      <c r="H1298" s="8" t="s">
        <v>6845</v>
      </c>
      <c r="I1298" s="8" t="str">
        <f>HYPERLINK("http://www.cbr-tacstile.com/","www.cbr-tacstile.com")</f>
        <v>www.cbr-tacstile.com</v>
      </c>
      <c r="J1298" s="10">
        <v>3948.6379999999999</v>
      </c>
      <c r="K1298" s="10">
        <v>3948.6379999999999</v>
      </c>
      <c r="L1298" s="10">
        <v>4733.29</v>
      </c>
      <c r="M1298" s="10">
        <v>131.10499999999999</v>
      </c>
      <c r="N1298" s="10">
        <v>131.10499999999999</v>
      </c>
      <c r="O1298" s="10">
        <v>-148.09800000000001</v>
      </c>
      <c r="P1298" s="10">
        <v>25</v>
      </c>
      <c r="Q1298" s="10">
        <v>25</v>
      </c>
      <c r="R1298" s="10">
        <v>27</v>
      </c>
    </row>
    <row r="1299" spans="1:18" ht="17" customHeight="1" x14ac:dyDescent="0.15">
      <c r="A1299" s="11" t="s">
        <v>6898</v>
      </c>
      <c r="B1299" s="1" t="s">
        <v>6899</v>
      </c>
      <c r="C1299" s="11" t="s">
        <v>6900</v>
      </c>
      <c r="D1299" s="11" t="s">
        <v>6900</v>
      </c>
      <c r="E1299" s="11" t="s">
        <v>6901</v>
      </c>
      <c r="F1299" s="11" t="s">
        <v>6826</v>
      </c>
      <c r="G1299" s="11" t="s">
        <v>6800</v>
      </c>
      <c r="H1299" s="11" t="s">
        <v>6801</v>
      </c>
      <c r="I1299" s="11" t="str">
        <f>HYPERLINK("http://www.virma.it/","www.virma.it")</f>
        <v>www.virma.it</v>
      </c>
      <c r="J1299" s="12">
        <v>6267.5540000000001</v>
      </c>
      <c r="K1299" s="12">
        <v>6267.5540000000001</v>
      </c>
      <c r="L1299" s="13">
        <v>4726.1260000000002</v>
      </c>
      <c r="M1299" s="12">
        <v>108.502</v>
      </c>
      <c r="N1299" s="12">
        <v>108.502</v>
      </c>
      <c r="O1299" s="12">
        <v>70.873000000000005</v>
      </c>
      <c r="P1299" s="14" t="s">
        <v>6816</v>
      </c>
      <c r="Q1299" s="14" t="s">
        <v>6816</v>
      </c>
      <c r="R1299" s="12">
        <v>17</v>
      </c>
    </row>
    <row r="1300" spans="1:18" ht="17" customHeight="1" x14ac:dyDescent="0.15">
      <c r="A1300" s="8" t="s">
        <v>6902</v>
      </c>
      <c r="B1300" s="9" t="s">
        <v>6903</v>
      </c>
      <c r="C1300" s="8" t="s">
        <v>6904</v>
      </c>
      <c r="D1300" s="8" t="s">
        <v>6904</v>
      </c>
      <c r="E1300" s="8" t="s">
        <v>6905</v>
      </c>
      <c r="F1300" s="8" t="s">
        <v>6874</v>
      </c>
      <c r="G1300" s="8" t="s">
        <v>6906</v>
      </c>
      <c r="H1300" s="8" t="s">
        <v>6815</v>
      </c>
      <c r="I1300" s="8" t="str">
        <f>HYPERLINK("http://privatifirenze.com/","privatifirenze.com")</f>
        <v>privatifirenze.com</v>
      </c>
      <c r="J1300" s="10">
        <v>4978.6670000000004</v>
      </c>
      <c r="K1300" s="10">
        <v>4978.6670000000004</v>
      </c>
      <c r="L1300" s="10">
        <v>4721.8890000000001</v>
      </c>
      <c r="M1300" s="10">
        <v>59.417000000000002</v>
      </c>
      <c r="N1300" s="10">
        <v>59.417000000000002</v>
      </c>
      <c r="O1300" s="10">
        <v>-27.92</v>
      </c>
      <c r="P1300" s="10">
        <v>9</v>
      </c>
      <c r="Q1300" s="10">
        <v>9</v>
      </c>
      <c r="R1300" s="10">
        <v>9</v>
      </c>
    </row>
    <row r="1301" spans="1:18" ht="17" customHeight="1" x14ac:dyDescent="0.15">
      <c r="A1301" s="11" t="s">
        <v>6907</v>
      </c>
      <c r="B1301" s="1" t="s">
        <v>6908</v>
      </c>
      <c r="C1301" s="11" t="s">
        <v>6909</v>
      </c>
      <c r="D1301" s="11" t="s">
        <v>6909</v>
      </c>
      <c r="E1301" s="11" t="s">
        <v>6910</v>
      </c>
      <c r="F1301" s="11" t="s">
        <v>6813</v>
      </c>
      <c r="G1301" s="11" t="s">
        <v>6834</v>
      </c>
      <c r="H1301" s="11" t="s">
        <v>6801</v>
      </c>
      <c r="I1301" s="11" t="str">
        <f>HYPERLINK("http://conciariamondovi.com/","conciariamondovi.com")</f>
        <v>conciariamondovi.com</v>
      </c>
      <c r="J1301" s="12">
        <v>5147.8900000000003</v>
      </c>
      <c r="K1301" s="12">
        <v>5147.8900000000003</v>
      </c>
      <c r="L1301" s="13">
        <v>4710.5810000000001</v>
      </c>
      <c r="M1301" s="12">
        <v>862.23699999999997</v>
      </c>
      <c r="N1301" s="12">
        <v>862.23699999999997</v>
      </c>
      <c r="O1301" s="12">
        <v>622.06299999999999</v>
      </c>
      <c r="P1301" s="12">
        <v>10</v>
      </c>
      <c r="Q1301" s="12">
        <v>10</v>
      </c>
      <c r="R1301" s="12">
        <v>8</v>
      </c>
    </row>
    <row r="1302" spans="1:18" ht="17" customHeight="1" x14ac:dyDescent="0.15">
      <c r="A1302" s="8" t="s">
        <v>6911</v>
      </c>
      <c r="B1302" s="9" t="s">
        <v>6912</v>
      </c>
      <c r="C1302" s="8" t="s">
        <v>6913</v>
      </c>
      <c r="D1302" s="8" t="s">
        <v>6913</v>
      </c>
      <c r="E1302" s="8" t="s">
        <v>6914</v>
      </c>
      <c r="F1302" s="8" t="s">
        <v>6915</v>
      </c>
      <c r="G1302" s="8" t="s">
        <v>6879</v>
      </c>
      <c r="H1302" s="8" t="s">
        <v>6801</v>
      </c>
      <c r="I1302" s="8" t="str">
        <f>HYPERLINK("http://www.medikaitalia.it/","www.medikaitalia.it")</f>
        <v>www.medikaitalia.it</v>
      </c>
      <c r="J1302" s="10">
        <v>4985.9160000000002</v>
      </c>
      <c r="K1302" s="10">
        <v>4985.9160000000002</v>
      </c>
      <c r="L1302" s="10">
        <v>4708.4480000000003</v>
      </c>
      <c r="M1302" s="10">
        <v>-149.18299999999999</v>
      </c>
      <c r="N1302" s="10">
        <v>-149.18299999999999</v>
      </c>
      <c r="O1302" s="10">
        <v>-83.26</v>
      </c>
      <c r="P1302" s="10">
        <v>12</v>
      </c>
      <c r="Q1302" s="10">
        <v>12</v>
      </c>
      <c r="R1302" s="10">
        <v>12</v>
      </c>
    </row>
    <row r="1303" spans="1:18" ht="17" customHeight="1" x14ac:dyDescent="0.15">
      <c r="A1303" s="11" t="s">
        <v>6916</v>
      </c>
      <c r="B1303" s="1" t="s">
        <v>6917</v>
      </c>
      <c r="C1303" s="11" t="s">
        <v>6918</v>
      </c>
      <c r="D1303" s="11" t="s">
        <v>6918</v>
      </c>
      <c r="E1303" s="11" t="s">
        <v>6919</v>
      </c>
      <c r="F1303" s="11" t="s">
        <v>6833</v>
      </c>
      <c r="G1303" s="11" t="s">
        <v>6834</v>
      </c>
      <c r="H1303" s="11" t="s">
        <v>6801</v>
      </c>
      <c r="I1303" s="11" t="str">
        <f>HYPERLINK("http://www.clover.it/","www.clover.it")</f>
        <v>www.clover.it</v>
      </c>
      <c r="J1303" s="12">
        <v>4497.9430000000002</v>
      </c>
      <c r="K1303" s="12">
        <v>4497.9430000000002</v>
      </c>
      <c r="L1303" s="13">
        <v>4708.0739999999996</v>
      </c>
      <c r="M1303" s="12">
        <v>330.19099999999997</v>
      </c>
      <c r="N1303" s="12">
        <v>330.19099999999997</v>
      </c>
      <c r="O1303" s="12">
        <v>356.64499999999998</v>
      </c>
      <c r="P1303" s="12">
        <v>11</v>
      </c>
      <c r="Q1303" s="12">
        <v>11</v>
      </c>
      <c r="R1303" s="12">
        <v>11</v>
      </c>
    </row>
    <row r="1304" spans="1:18" ht="17" customHeight="1" x14ac:dyDescent="0.15">
      <c r="A1304" s="8" t="s">
        <v>6920</v>
      </c>
      <c r="B1304" s="9" t="s">
        <v>6921</v>
      </c>
      <c r="C1304" s="8" t="s">
        <v>6922</v>
      </c>
      <c r="D1304" s="8" t="s">
        <v>6922</v>
      </c>
      <c r="E1304" s="8" t="s">
        <v>6923</v>
      </c>
      <c r="F1304" s="8" t="s">
        <v>6924</v>
      </c>
      <c r="G1304" s="8" t="s">
        <v>6925</v>
      </c>
      <c r="H1304" s="8" t="s">
        <v>6815</v>
      </c>
      <c r="I1304" s="8" t="str">
        <f>HYPERLINK("http://www.pelletteriayobel.it/","www.pelletteriayobel.it")</f>
        <v>www.pelletteriayobel.it</v>
      </c>
      <c r="J1304" s="10">
        <v>3909.942</v>
      </c>
      <c r="K1304" s="10">
        <v>3909.942</v>
      </c>
      <c r="L1304" s="10">
        <v>4703.7860000000001</v>
      </c>
      <c r="M1304" s="10">
        <v>-152.49199999999999</v>
      </c>
      <c r="N1304" s="10">
        <v>-152.49199999999999</v>
      </c>
      <c r="O1304" s="10">
        <v>86.528999999999996</v>
      </c>
      <c r="P1304" s="10">
        <v>43</v>
      </c>
      <c r="Q1304" s="10">
        <v>43</v>
      </c>
      <c r="R1304" s="10">
        <v>42</v>
      </c>
    </row>
    <row r="1305" spans="1:18" ht="17" customHeight="1" x14ac:dyDescent="0.15">
      <c r="A1305" s="11" t="s">
        <v>6926</v>
      </c>
      <c r="B1305" s="1" t="s">
        <v>6927</v>
      </c>
      <c r="C1305" s="11" t="s">
        <v>6928</v>
      </c>
      <c r="D1305" s="11" t="s">
        <v>6928</v>
      </c>
      <c r="E1305" s="11" t="s">
        <v>6929</v>
      </c>
      <c r="F1305" s="11" t="s">
        <v>6874</v>
      </c>
      <c r="G1305" s="11" t="s">
        <v>6930</v>
      </c>
      <c r="H1305" s="11" t="s">
        <v>6931</v>
      </c>
      <c r="I1305" s="11" t="str">
        <f>HYPERLINK("http://www.maglificiomais.it/","www.maglificiomais.it")</f>
        <v>www.maglificiomais.it</v>
      </c>
      <c r="J1305" s="12">
        <v>4097.1270000000004</v>
      </c>
      <c r="K1305" s="12">
        <v>4097.1270000000004</v>
      </c>
      <c r="L1305" s="13">
        <v>4703.0879999999997</v>
      </c>
      <c r="M1305" s="12">
        <v>335.36599999999999</v>
      </c>
      <c r="N1305" s="12">
        <v>335.36599999999999</v>
      </c>
      <c r="O1305" s="12">
        <v>247.03299999999999</v>
      </c>
      <c r="P1305" s="12">
        <v>20</v>
      </c>
      <c r="Q1305" s="12">
        <v>20</v>
      </c>
      <c r="R1305" s="12">
        <v>16</v>
      </c>
    </row>
    <row r="1306" spans="1:18" ht="17" customHeight="1" x14ac:dyDescent="0.15">
      <c r="A1306" s="8" t="s">
        <v>6932</v>
      </c>
      <c r="B1306" s="9" t="s">
        <v>6933</v>
      </c>
      <c r="C1306" s="8" t="s">
        <v>6934</v>
      </c>
      <c r="D1306" s="8" t="s">
        <v>6934</v>
      </c>
      <c r="E1306" s="8" t="s">
        <v>6935</v>
      </c>
      <c r="F1306" s="8" t="s">
        <v>6813</v>
      </c>
      <c r="G1306" s="8" t="s">
        <v>6834</v>
      </c>
      <c r="H1306" s="8" t="s">
        <v>6801</v>
      </c>
      <c r="I1306" s="8" t="str">
        <f>HYPERLINK("http://www.farbopelli.it/","www.farbopelli.it")</f>
        <v>www.farbopelli.it</v>
      </c>
      <c r="J1306" s="10">
        <v>4701.6310000000003</v>
      </c>
      <c r="K1306" s="15" t="s">
        <v>6816</v>
      </c>
      <c r="L1306" s="10">
        <v>4701.6310000000003</v>
      </c>
      <c r="M1306" s="10">
        <v>-342.97399999999999</v>
      </c>
      <c r="N1306" s="15" t="s">
        <v>6816</v>
      </c>
      <c r="O1306" s="10">
        <v>-342.97399999999999</v>
      </c>
      <c r="P1306" s="10">
        <v>9</v>
      </c>
      <c r="Q1306" s="15" t="s">
        <v>6816</v>
      </c>
      <c r="R1306" s="10">
        <v>9</v>
      </c>
    </row>
    <row r="1307" spans="1:18" ht="17" customHeight="1" x14ac:dyDescent="0.15">
      <c r="A1307" s="11" t="s">
        <v>6936</v>
      </c>
      <c r="B1307" s="1" t="s">
        <v>6937</v>
      </c>
      <c r="C1307" s="11" t="s">
        <v>6938</v>
      </c>
      <c r="D1307" s="11" t="s">
        <v>6938</v>
      </c>
      <c r="E1307" s="11" t="s">
        <v>6939</v>
      </c>
      <c r="F1307" s="11" t="s">
        <v>6799</v>
      </c>
      <c r="G1307" s="11" t="s">
        <v>6814</v>
      </c>
      <c r="H1307" s="11" t="s">
        <v>6815</v>
      </c>
      <c r="I1307" s="11" t="str">
        <f>HYPERLINK("http://www.loisishoes.it/","www.loisishoes.it")</f>
        <v>www.loisishoes.it</v>
      </c>
      <c r="J1307" s="12">
        <v>6292.3670000000002</v>
      </c>
      <c r="K1307" s="12">
        <v>6292.3670000000002</v>
      </c>
      <c r="L1307" s="13">
        <v>4699.3890000000001</v>
      </c>
      <c r="M1307" s="12">
        <v>650.28599999999994</v>
      </c>
      <c r="N1307" s="12">
        <v>650.28599999999994</v>
      </c>
      <c r="O1307" s="12">
        <v>156.26599999999999</v>
      </c>
      <c r="P1307" s="14" t="s">
        <v>6816</v>
      </c>
      <c r="Q1307" s="14" t="s">
        <v>6816</v>
      </c>
      <c r="R1307" s="12">
        <v>19</v>
      </c>
    </row>
    <row r="1308" spans="1:18" ht="17" customHeight="1" x14ac:dyDescent="0.15">
      <c r="A1308" s="8" t="s">
        <v>6940</v>
      </c>
      <c r="B1308" s="9" t="s">
        <v>6941</v>
      </c>
      <c r="C1308" s="8" t="s">
        <v>6942</v>
      </c>
      <c r="D1308" s="8" t="s">
        <v>6942</v>
      </c>
      <c r="E1308" s="8" t="s">
        <v>6943</v>
      </c>
      <c r="F1308" s="8" t="s">
        <v>6826</v>
      </c>
      <c r="G1308" s="8" t="s">
        <v>6868</v>
      </c>
      <c r="H1308" s="8" t="s">
        <v>6869</v>
      </c>
      <c r="I1308" s="8" t="str">
        <f>HYPERLINK("http://www.shineindustria.it/","www.shineindustria.it")</f>
        <v>www.shineindustria.it</v>
      </c>
      <c r="J1308" s="10">
        <v>5791.116</v>
      </c>
      <c r="K1308" s="10">
        <v>5791.116</v>
      </c>
      <c r="L1308" s="10">
        <v>4695.4530000000004</v>
      </c>
      <c r="M1308" s="10">
        <v>274.87099999999998</v>
      </c>
      <c r="N1308" s="10">
        <v>274.87099999999998</v>
      </c>
      <c r="O1308" s="10">
        <v>217.64400000000001</v>
      </c>
      <c r="P1308" s="15" t="s">
        <v>6816</v>
      </c>
      <c r="Q1308" s="15" t="s">
        <v>6816</v>
      </c>
      <c r="R1308" s="10">
        <v>26</v>
      </c>
    </row>
    <row r="1309" spans="1:18" ht="17" customHeight="1" x14ac:dyDescent="0.15">
      <c r="A1309" s="11" t="s">
        <v>6944</v>
      </c>
      <c r="B1309" s="1" t="s">
        <v>6945</v>
      </c>
      <c r="C1309" s="11" t="s">
        <v>6946</v>
      </c>
      <c r="D1309" s="11" t="s">
        <v>6946</v>
      </c>
      <c r="E1309" s="11" t="s">
        <v>6947</v>
      </c>
      <c r="F1309" s="11" t="s">
        <v>6833</v>
      </c>
      <c r="G1309" s="11" t="s">
        <v>6948</v>
      </c>
      <c r="H1309" s="11" t="s">
        <v>6845</v>
      </c>
      <c r="I1309" s="11" t="str">
        <f>HYPERLINK("http://www.vestrum-italy.com/","www.vestrum-italy.com")</f>
        <v>www.vestrum-italy.com</v>
      </c>
      <c r="J1309" s="12">
        <v>3748.8580000000002</v>
      </c>
      <c r="K1309" s="12">
        <v>4371.3530000000001</v>
      </c>
      <c r="L1309" s="13">
        <v>4692.9009999999998</v>
      </c>
      <c r="M1309" s="12">
        <v>3.0680000000000001</v>
      </c>
      <c r="N1309" s="12">
        <v>-1031.6610000000001</v>
      </c>
      <c r="O1309" s="12">
        <v>-576.69600000000003</v>
      </c>
      <c r="P1309" s="12">
        <v>13</v>
      </c>
      <c r="Q1309" s="12">
        <v>14</v>
      </c>
      <c r="R1309" s="12">
        <v>14</v>
      </c>
    </row>
    <row r="1310" spans="1:18" ht="17" customHeight="1" x14ac:dyDescent="0.15">
      <c r="A1310" s="8" t="s">
        <v>6949</v>
      </c>
      <c r="B1310" s="9" t="s">
        <v>6950</v>
      </c>
      <c r="C1310" s="8" t="s">
        <v>6951</v>
      </c>
      <c r="D1310" s="8" t="s">
        <v>6951</v>
      </c>
      <c r="E1310" s="8" t="s">
        <v>6952</v>
      </c>
      <c r="F1310" s="8" t="s">
        <v>6813</v>
      </c>
      <c r="G1310" s="8" t="s">
        <v>6834</v>
      </c>
      <c r="H1310" s="8" t="s">
        <v>6801</v>
      </c>
      <c r="I1310" s="8" t="str">
        <f>HYPERLINK("http://www.tecnopelli.com/","http://www.tecnopelli.com")</f>
        <v>http://www.tecnopelli.com</v>
      </c>
      <c r="J1310" s="10">
        <v>4961.09</v>
      </c>
      <c r="K1310" s="10">
        <v>4961.09</v>
      </c>
      <c r="L1310" s="10">
        <v>4691.6530000000002</v>
      </c>
      <c r="M1310" s="10">
        <v>235.27500000000001</v>
      </c>
      <c r="N1310" s="10">
        <v>235.27500000000001</v>
      </c>
      <c r="O1310" s="10">
        <v>41.802</v>
      </c>
      <c r="P1310" s="10">
        <v>27</v>
      </c>
      <c r="Q1310" s="10">
        <v>27</v>
      </c>
      <c r="R1310" s="10">
        <v>23</v>
      </c>
    </row>
    <row r="1311" spans="1:18" ht="29.5" customHeight="1" x14ac:dyDescent="0.15">
      <c r="A1311" s="11" t="s">
        <v>6953</v>
      </c>
      <c r="B1311" s="1" t="s">
        <v>6954</v>
      </c>
      <c r="C1311" s="11" t="s">
        <v>6955</v>
      </c>
      <c r="D1311" s="11" t="s">
        <v>6955</v>
      </c>
      <c r="E1311" s="11" t="s">
        <v>6956</v>
      </c>
      <c r="F1311" s="11" t="s">
        <v>6957</v>
      </c>
      <c r="G1311" s="11" t="s">
        <v>6800</v>
      </c>
      <c r="H1311" s="11" t="s">
        <v>6801</v>
      </c>
      <c r="I1311" s="11" t="str">
        <f>HYPERLINK("http://maglificiogiordanos.com/","maglificiogiordanos.com")</f>
        <v>maglificiogiordanos.com</v>
      </c>
      <c r="J1311" s="12">
        <v>5332.8159999999998</v>
      </c>
      <c r="K1311" s="12">
        <v>5332.8159999999998</v>
      </c>
      <c r="L1311" s="13">
        <v>4691.6390000000001</v>
      </c>
      <c r="M1311" s="12">
        <v>947.66399999999999</v>
      </c>
      <c r="N1311" s="12">
        <v>947.66399999999999</v>
      </c>
      <c r="O1311" s="12">
        <v>720.31500000000005</v>
      </c>
      <c r="P1311" s="12">
        <v>59</v>
      </c>
      <c r="Q1311" s="12">
        <v>59</v>
      </c>
      <c r="R1311" s="12">
        <v>63</v>
      </c>
    </row>
    <row r="1312" spans="1:18" ht="17" customHeight="1" x14ac:dyDescent="0.15">
      <c r="A1312" s="8" t="s">
        <v>6958</v>
      </c>
      <c r="B1312" s="9" t="s">
        <v>6959</v>
      </c>
      <c r="C1312" s="8" t="s">
        <v>6960</v>
      </c>
      <c r="D1312" s="8" t="s">
        <v>6960</v>
      </c>
      <c r="E1312" s="8" t="s">
        <v>6961</v>
      </c>
      <c r="F1312" s="8" t="s">
        <v>6833</v>
      </c>
      <c r="G1312" s="8" t="s">
        <v>6930</v>
      </c>
      <c r="H1312" s="8" t="s">
        <v>6931</v>
      </c>
      <c r="I1312" s="8" t="str">
        <f>HYPERLINK("http://www.matitaemouse.com/valleolona/","www.matitaemouse.com/valleolona/")</f>
        <v>www.matitaemouse.com/valleolona/</v>
      </c>
      <c r="J1312" s="10">
        <v>6670.7129999999997</v>
      </c>
      <c r="K1312" s="10">
        <v>6670.7129999999997</v>
      </c>
      <c r="L1312" s="10">
        <v>4691.4089999999997</v>
      </c>
      <c r="M1312" s="10">
        <v>968.81899999999996</v>
      </c>
      <c r="N1312" s="10">
        <v>968.81899999999996</v>
      </c>
      <c r="O1312" s="10">
        <v>242.309</v>
      </c>
      <c r="P1312" s="10">
        <v>8</v>
      </c>
      <c r="Q1312" s="10">
        <v>8</v>
      </c>
      <c r="R1312" s="10">
        <v>7</v>
      </c>
    </row>
    <row r="1313" spans="1:18" ht="29.5" customHeight="1" x14ac:dyDescent="0.15">
      <c r="A1313" s="11" t="s">
        <v>6962</v>
      </c>
      <c r="B1313" s="1" t="s">
        <v>6963</v>
      </c>
      <c r="C1313" s="11" t="s">
        <v>6964</v>
      </c>
      <c r="D1313" s="11" t="s">
        <v>6964</v>
      </c>
      <c r="E1313" s="11" t="s">
        <v>6965</v>
      </c>
      <c r="F1313" s="11" t="s">
        <v>6966</v>
      </c>
      <c r="G1313" s="11" t="s">
        <v>6967</v>
      </c>
      <c r="H1313" s="11" t="s">
        <v>6968</v>
      </c>
      <c r="I1313" s="11" t="str">
        <f>HYPERLINK("http://www.panizzoloantonio.com/","http://www.panizzoloantonio.com")</f>
        <v>http://www.panizzoloantonio.com</v>
      </c>
      <c r="J1313" s="12">
        <v>3601.8319999999999</v>
      </c>
      <c r="K1313" s="12">
        <v>3601.8319999999999</v>
      </c>
      <c r="L1313" s="13">
        <v>4688.1620000000003</v>
      </c>
      <c r="M1313" s="12">
        <v>71.853999999999999</v>
      </c>
      <c r="N1313" s="12">
        <v>71.853999999999999</v>
      </c>
      <c r="O1313" s="12">
        <v>117.98</v>
      </c>
      <c r="P1313" s="14" t="s">
        <v>6969</v>
      </c>
      <c r="Q1313" s="14" t="s">
        <v>6969</v>
      </c>
      <c r="R1313" s="12">
        <v>22</v>
      </c>
    </row>
    <row r="1314" spans="1:18" ht="17" customHeight="1" x14ac:dyDescent="0.15">
      <c r="A1314" s="8" t="s">
        <v>6970</v>
      </c>
      <c r="B1314" s="9" t="s">
        <v>6971</v>
      </c>
      <c r="C1314" s="8" t="s">
        <v>6972</v>
      </c>
      <c r="D1314" s="8" t="s">
        <v>6973</v>
      </c>
      <c r="E1314" s="8" t="s">
        <v>6974</v>
      </c>
      <c r="F1314" s="8" t="s">
        <v>6966</v>
      </c>
      <c r="G1314" s="8" t="s">
        <v>6975</v>
      </c>
      <c r="H1314" s="8" t="s">
        <v>6976</v>
      </c>
      <c r="I1314" s="8" t="str">
        <f>HYPERLINK("http://www.pantofoladoro.com/","www.pantofoladoro.com")</f>
        <v>www.pantofoladoro.com</v>
      </c>
      <c r="J1314" s="10">
        <v>5762.6189999999997</v>
      </c>
      <c r="K1314" s="10">
        <v>5762.6189999999997</v>
      </c>
      <c r="L1314" s="10">
        <v>4684.3990000000003</v>
      </c>
      <c r="M1314" s="10">
        <v>16.657</v>
      </c>
      <c r="N1314" s="10">
        <v>16.657</v>
      </c>
      <c r="O1314" s="10">
        <v>59.009</v>
      </c>
      <c r="P1314" s="10">
        <v>10</v>
      </c>
      <c r="Q1314" s="10">
        <v>10</v>
      </c>
      <c r="R1314" s="10">
        <v>11</v>
      </c>
    </row>
    <row r="1315" spans="1:18" ht="17" customHeight="1" x14ac:dyDescent="0.15">
      <c r="A1315" s="11" t="s">
        <v>6977</v>
      </c>
      <c r="B1315" s="1" t="s">
        <v>6978</v>
      </c>
      <c r="C1315" s="11" t="s">
        <v>6979</v>
      </c>
      <c r="D1315" s="11" t="s">
        <v>6979</v>
      </c>
      <c r="E1315" s="11" t="s">
        <v>6980</v>
      </c>
      <c r="F1315" s="11" t="s">
        <v>6981</v>
      </c>
      <c r="G1315" s="11" t="s">
        <v>6982</v>
      </c>
      <c r="H1315" s="11" t="s">
        <v>6968</v>
      </c>
      <c r="I1315" s="11" t="str">
        <f>HYPERLINK("http://pliniovisona.com/","pliniovisona.com")</f>
        <v>pliniovisona.com</v>
      </c>
      <c r="J1315" s="12">
        <v>5362.1419999999998</v>
      </c>
      <c r="K1315" s="12">
        <v>5362.1419999999998</v>
      </c>
      <c r="L1315" s="13">
        <v>4674.8590000000004</v>
      </c>
      <c r="M1315" s="12">
        <v>648.04700000000003</v>
      </c>
      <c r="N1315" s="12">
        <v>648.04700000000003</v>
      </c>
      <c r="O1315" s="12">
        <v>302.17099999999999</v>
      </c>
      <c r="P1315" s="12">
        <v>13</v>
      </c>
      <c r="Q1315" s="12">
        <v>13</v>
      </c>
      <c r="R1315" s="12">
        <v>11</v>
      </c>
    </row>
    <row r="1316" spans="1:18" ht="17" customHeight="1" x14ac:dyDescent="0.15">
      <c r="A1316" s="8" t="s">
        <v>6983</v>
      </c>
      <c r="B1316" s="9" t="s">
        <v>6984</v>
      </c>
      <c r="C1316" s="8" t="s">
        <v>6985</v>
      </c>
      <c r="D1316" s="8" t="s">
        <v>6985</v>
      </c>
      <c r="E1316" s="8" t="s">
        <v>6986</v>
      </c>
      <c r="F1316" s="8" t="s">
        <v>6981</v>
      </c>
      <c r="G1316" s="8" t="s">
        <v>6987</v>
      </c>
      <c r="H1316" s="8" t="s">
        <v>6988</v>
      </c>
      <c r="I1316" s="8" t="str">
        <f>HYPERLINK("http://www.bludue.com/","www.bludue.com")</f>
        <v>www.bludue.com</v>
      </c>
      <c r="J1316" s="10">
        <v>5141.24</v>
      </c>
      <c r="K1316" s="10">
        <v>5141.24</v>
      </c>
      <c r="L1316" s="10">
        <v>4661.0879999999997</v>
      </c>
      <c r="M1316" s="10">
        <v>91.149000000000001</v>
      </c>
      <c r="N1316" s="10">
        <v>91.149000000000001</v>
      </c>
      <c r="O1316" s="10">
        <v>76.808999999999997</v>
      </c>
      <c r="P1316" s="10">
        <v>8</v>
      </c>
      <c r="Q1316" s="10">
        <v>8</v>
      </c>
      <c r="R1316" s="10">
        <v>5</v>
      </c>
    </row>
    <row r="1317" spans="1:18" ht="17" customHeight="1" x14ac:dyDescent="0.15">
      <c r="A1317" s="11" t="s">
        <v>6989</v>
      </c>
      <c r="B1317" s="1" t="s">
        <v>6990</v>
      </c>
      <c r="C1317" s="11" t="s">
        <v>6991</v>
      </c>
      <c r="D1317" s="11" t="s">
        <v>6991</v>
      </c>
      <c r="E1317" s="11" t="s">
        <v>6992</v>
      </c>
      <c r="F1317" s="11" t="s">
        <v>6993</v>
      </c>
      <c r="G1317" s="11" t="s">
        <v>6982</v>
      </c>
      <c r="H1317" s="11" t="s">
        <v>6968</v>
      </c>
      <c r="I1317" s="11" t="str">
        <f>HYPERLINK("http://www.maglificioselene.it/","www.maglificioselene.it")</f>
        <v>www.maglificioselene.it</v>
      </c>
      <c r="J1317" s="12">
        <v>3681.8510000000001</v>
      </c>
      <c r="K1317" s="12">
        <v>3681.8510000000001</v>
      </c>
      <c r="L1317" s="13">
        <v>4649.5290000000005</v>
      </c>
      <c r="M1317" s="12">
        <v>389.673</v>
      </c>
      <c r="N1317" s="12">
        <v>389.673</v>
      </c>
      <c r="O1317" s="12">
        <v>396.14699999999999</v>
      </c>
      <c r="P1317" s="12">
        <v>20</v>
      </c>
      <c r="Q1317" s="12">
        <v>20</v>
      </c>
      <c r="R1317" s="12">
        <v>19</v>
      </c>
    </row>
    <row r="1318" spans="1:18" ht="17" customHeight="1" x14ac:dyDescent="0.15">
      <c r="A1318" s="8" t="s">
        <v>6994</v>
      </c>
      <c r="B1318" s="9" t="s">
        <v>6995</v>
      </c>
      <c r="C1318" s="8" t="s">
        <v>6996</v>
      </c>
      <c r="D1318" s="8" t="s">
        <v>6996</v>
      </c>
      <c r="E1318" s="8" t="s">
        <v>6997</v>
      </c>
      <c r="F1318" s="8" t="s">
        <v>6966</v>
      </c>
      <c r="G1318" s="8" t="s">
        <v>6982</v>
      </c>
      <c r="H1318" s="8" t="s">
        <v>6968</v>
      </c>
      <c r="I1318" s="8" t="str">
        <f>HYPERLINK("http://www.bioline-saty.it/","www.bioline-saty.it")</f>
        <v>www.bioline-saty.it</v>
      </c>
      <c r="J1318" s="10">
        <v>5232.4269999999997</v>
      </c>
      <c r="K1318" s="10">
        <v>5232.4269999999997</v>
      </c>
      <c r="L1318" s="10">
        <v>4645.0860000000002</v>
      </c>
      <c r="M1318" s="10">
        <v>236.92599999999999</v>
      </c>
      <c r="N1318" s="10">
        <v>236.92599999999999</v>
      </c>
      <c r="O1318" s="10">
        <v>110.47</v>
      </c>
      <c r="P1318" s="10">
        <v>34</v>
      </c>
      <c r="Q1318" s="10">
        <v>34</v>
      </c>
      <c r="R1318" s="10">
        <v>43</v>
      </c>
    </row>
    <row r="1319" spans="1:18" ht="29.5" customHeight="1" x14ac:dyDescent="0.15">
      <c r="A1319" s="11" t="s">
        <v>6998</v>
      </c>
      <c r="B1319" s="1" t="s">
        <v>6999</v>
      </c>
      <c r="C1319" s="11" t="s">
        <v>7000</v>
      </c>
      <c r="D1319" s="11" t="s">
        <v>7000</v>
      </c>
      <c r="E1319" s="11" t="s">
        <v>7001</v>
      </c>
      <c r="F1319" s="11" t="s">
        <v>6966</v>
      </c>
      <c r="G1319" s="11" t="s">
        <v>7002</v>
      </c>
      <c r="H1319" s="11" t="s">
        <v>6976</v>
      </c>
      <c r="I1319" s="11" t="str">
        <f>HYPERLINK("http://www.calzaturificioormeda.com/","http://www.calzaturificioormeda.com")</f>
        <v>http://www.calzaturificioormeda.com</v>
      </c>
      <c r="J1319" s="12">
        <v>1401.7940000000001</v>
      </c>
      <c r="K1319" s="12">
        <v>1401.7940000000001</v>
      </c>
      <c r="L1319" s="13">
        <v>4645.1149999999998</v>
      </c>
      <c r="M1319" s="12">
        <v>-79.260000000000005</v>
      </c>
      <c r="N1319" s="12">
        <v>-79.260000000000005</v>
      </c>
      <c r="O1319" s="12">
        <v>-70.39</v>
      </c>
      <c r="P1319" s="14" t="s">
        <v>6969</v>
      </c>
      <c r="Q1319" s="14" t="s">
        <v>6969</v>
      </c>
      <c r="R1319" s="12">
        <v>15</v>
      </c>
    </row>
    <row r="1320" spans="1:18" ht="17" customHeight="1" x14ac:dyDescent="0.15">
      <c r="A1320" s="8" t="s">
        <v>7003</v>
      </c>
      <c r="B1320" s="9" t="s">
        <v>7004</v>
      </c>
      <c r="C1320" s="8" t="s">
        <v>7005</v>
      </c>
      <c r="D1320" s="8" t="s">
        <v>7005</v>
      </c>
      <c r="E1320" s="8" t="s">
        <v>7006</v>
      </c>
      <c r="F1320" s="8" t="s">
        <v>6966</v>
      </c>
      <c r="G1320" s="8" t="s">
        <v>7007</v>
      </c>
      <c r="H1320" s="8" t="s">
        <v>6976</v>
      </c>
      <c r="I1320" s="8" t="str">
        <f>HYPERLINK("http://heroscalzature.it/","heroscalzature.it")</f>
        <v>heroscalzature.it</v>
      </c>
      <c r="J1320" s="10">
        <v>5017.5860000000002</v>
      </c>
      <c r="K1320" s="10">
        <v>5017.5860000000002</v>
      </c>
      <c r="L1320" s="10">
        <v>4640.174</v>
      </c>
      <c r="M1320" s="10">
        <v>738.85500000000002</v>
      </c>
      <c r="N1320" s="10">
        <v>738.85500000000002</v>
      </c>
      <c r="O1320" s="10">
        <v>433.00599999999997</v>
      </c>
      <c r="P1320" s="10">
        <v>31</v>
      </c>
      <c r="Q1320" s="10">
        <v>31</v>
      </c>
      <c r="R1320" s="10">
        <v>28</v>
      </c>
    </row>
    <row r="1321" spans="1:18" ht="17" customHeight="1" x14ac:dyDescent="0.15">
      <c r="A1321" s="11" t="s">
        <v>7008</v>
      </c>
      <c r="B1321" s="1" t="s">
        <v>7009</v>
      </c>
      <c r="C1321" s="11" t="s">
        <v>7010</v>
      </c>
      <c r="D1321" s="11" t="s">
        <v>7010</v>
      </c>
      <c r="E1321" s="11" t="s">
        <v>7011</v>
      </c>
      <c r="F1321" s="11" t="s">
        <v>6966</v>
      </c>
      <c r="G1321" s="11" t="s">
        <v>6975</v>
      </c>
      <c r="H1321" s="11" t="s">
        <v>6976</v>
      </c>
      <c r="I1321" s="11" t="str">
        <f>HYPERLINK("http://meline.it/","meline.it")</f>
        <v>meline.it</v>
      </c>
      <c r="J1321" s="12">
        <v>4301.8900000000003</v>
      </c>
      <c r="K1321" s="12">
        <v>4301.8900000000003</v>
      </c>
      <c r="L1321" s="13">
        <v>4639.1049999999996</v>
      </c>
      <c r="M1321" s="12">
        <v>12.064</v>
      </c>
      <c r="N1321" s="12">
        <v>12.064</v>
      </c>
      <c r="O1321" s="12">
        <v>43.600999999999999</v>
      </c>
      <c r="P1321" s="14" t="s">
        <v>6969</v>
      </c>
      <c r="Q1321" s="14" t="s">
        <v>6969</v>
      </c>
      <c r="R1321" s="12">
        <v>10</v>
      </c>
    </row>
    <row r="1322" spans="1:18" ht="17" customHeight="1" x14ac:dyDescent="0.15">
      <c r="A1322" s="8" t="s">
        <v>7012</v>
      </c>
      <c r="B1322" s="9" t="s">
        <v>7013</v>
      </c>
      <c r="C1322" s="8" t="s">
        <v>7014</v>
      </c>
      <c r="D1322" s="8" t="s">
        <v>7014</v>
      </c>
      <c r="E1322" s="8" t="s">
        <v>7015</v>
      </c>
      <c r="F1322" s="8" t="s">
        <v>7016</v>
      </c>
      <c r="G1322" s="8" t="s">
        <v>7017</v>
      </c>
      <c r="H1322" s="8" t="s">
        <v>7018</v>
      </c>
      <c r="I1322" s="8" t="str">
        <f>HYPERLINK("http://www.confezioniessebi.it/","www.confezioniessebi.it")</f>
        <v>www.confezioniessebi.it</v>
      </c>
      <c r="J1322" s="10">
        <v>4820.7219999999998</v>
      </c>
      <c r="K1322" s="10">
        <v>4820.7219999999998</v>
      </c>
      <c r="L1322" s="10">
        <v>4630.6509999999998</v>
      </c>
      <c r="M1322" s="10">
        <v>1074.4839999999999</v>
      </c>
      <c r="N1322" s="10">
        <v>1074.4839999999999</v>
      </c>
      <c r="O1322" s="10">
        <v>849.36800000000005</v>
      </c>
      <c r="P1322" s="10">
        <v>31</v>
      </c>
      <c r="Q1322" s="10">
        <v>31</v>
      </c>
      <c r="R1322" s="10">
        <v>31</v>
      </c>
    </row>
    <row r="1323" spans="1:18" ht="29.5" customHeight="1" x14ac:dyDescent="0.15">
      <c r="A1323" s="11" t="s">
        <v>7019</v>
      </c>
      <c r="B1323" s="1" t="s">
        <v>7020</v>
      </c>
      <c r="C1323" s="11" t="s">
        <v>7021</v>
      </c>
      <c r="D1323" s="11" t="s">
        <v>7021</v>
      </c>
      <c r="E1323" s="11" t="s">
        <v>7022</v>
      </c>
      <c r="F1323" s="11" t="s">
        <v>6966</v>
      </c>
      <c r="G1323" s="11" t="s">
        <v>7023</v>
      </c>
      <c r="H1323" s="11" t="s">
        <v>7024</v>
      </c>
      <c r="I1323" s="11" t="str">
        <f>HYPERLINK("http://www.lucianobarachini.com/","www.lucianobarachini.com")</f>
        <v>www.lucianobarachini.com</v>
      </c>
      <c r="J1323" s="12">
        <v>4671.0249999999996</v>
      </c>
      <c r="K1323" s="12">
        <v>4671.0249999999996</v>
      </c>
      <c r="L1323" s="13">
        <v>4630.0929999999998</v>
      </c>
      <c r="M1323" s="12">
        <v>149.87</v>
      </c>
      <c r="N1323" s="12">
        <v>149.87</v>
      </c>
      <c r="O1323" s="12">
        <v>119.703</v>
      </c>
      <c r="P1323" s="12">
        <v>4</v>
      </c>
      <c r="Q1323" s="12">
        <v>4</v>
      </c>
      <c r="R1323" s="12">
        <v>4</v>
      </c>
    </row>
    <row r="1324" spans="1:18" ht="17" customHeight="1" x14ac:dyDescent="0.15">
      <c r="A1324" s="8" t="s">
        <v>7025</v>
      </c>
      <c r="B1324" s="9" t="s">
        <v>7026</v>
      </c>
      <c r="C1324" s="8" t="s">
        <v>7027</v>
      </c>
      <c r="D1324" s="8" t="s">
        <v>7027</v>
      </c>
      <c r="E1324" s="8" t="s">
        <v>7028</v>
      </c>
      <c r="F1324" s="8" t="s">
        <v>7029</v>
      </c>
      <c r="G1324" s="8" t="s">
        <v>7030</v>
      </c>
      <c r="H1324" s="8" t="s">
        <v>7031</v>
      </c>
      <c r="I1324" s="8" t="str">
        <f>HYPERLINK("http://www.elle5srl.it/","www.elle5srl.it")</f>
        <v>www.elle5srl.it</v>
      </c>
      <c r="J1324" s="10">
        <v>4707.6310000000003</v>
      </c>
      <c r="K1324" s="10">
        <v>4707.6310000000003</v>
      </c>
      <c r="L1324" s="10">
        <v>4629.6779999999999</v>
      </c>
      <c r="M1324" s="10">
        <v>364.97899999999998</v>
      </c>
      <c r="N1324" s="10">
        <v>364.97899999999998</v>
      </c>
      <c r="O1324" s="10">
        <v>514.27700000000004</v>
      </c>
      <c r="P1324" s="10">
        <v>22</v>
      </c>
      <c r="Q1324" s="10">
        <v>22</v>
      </c>
      <c r="R1324" s="10">
        <v>22</v>
      </c>
    </row>
    <row r="1325" spans="1:18" ht="17" customHeight="1" x14ac:dyDescent="0.15">
      <c r="A1325" s="11" t="s">
        <v>7032</v>
      </c>
      <c r="B1325" s="1" t="s">
        <v>7033</v>
      </c>
      <c r="C1325" s="11" t="s">
        <v>7034</v>
      </c>
      <c r="D1325" s="11" t="s">
        <v>7034</v>
      </c>
      <c r="E1325" s="11" t="s">
        <v>7035</v>
      </c>
      <c r="F1325" s="11" t="s">
        <v>7036</v>
      </c>
      <c r="G1325" s="11" t="s">
        <v>7037</v>
      </c>
      <c r="H1325" s="11" t="s">
        <v>7031</v>
      </c>
      <c r="I1325" s="11" t="str">
        <f>HYPERLINK("http://www.improject.it/","www.improject.it")</f>
        <v>www.improject.it</v>
      </c>
      <c r="J1325" s="12">
        <v>3911.9679999999998</v>
      </c>
      <c r="K1325" s="12">
        <v>3911.9679999999998</v>
      </c>
      <c r="L1325" s="13">
        <v>4622.1670000000004</v>
      </c>
      <c r="M1325" s="12">
        <v>0.88800000000000001</v>
      </c>
      <c r="N1325" s="12">
        <v>0.88800000000000001</v>
      </c>
      <c r="O1325" s="12">
        <v>0.72399999999999998</v>
      </c>
      <c r="P1325" s="14" t="s">
        <v>6969</v>
      </c>
      <c r="Q1325" s="14" t="s">
        <v>6969</v>
      </c>
      <c r="R1325" s="12">
        <v>11</v>
      </c>
    </row>
    <row r="1326" spans="1:18" ht="55.75" customHeight="1" x14ac:dyDescent="0.15">
      <c r="A1326" s="8" t="s">
        <v>7038</v>
      </c>
      <c r="B1326" s="9" t="s">
        <v>7039</v>
      </c>
      <c r="C1326" s="8" t="s">
        <v>7040</v>
      </c>
      <c r="D1326" s="8" t="s">
        <v>7040</v>
      </c>
      <c r="E1326" s="8" t="s">
        <v>7041</v>
      </c>
      <c r="F1326" s="8" t="s">
        <v>6966</v>
      </c>
      <c r="G1326" s="8" t="s">
        <v>7002</v>
      </c>
      <c r="H1326" s="8" t="s">
        <v>6976</v>
      </c>
      <c r="I1326" s="8" t="str">
        <f>HYPERLINK("http://www.elios.it/","www.elios.it")</f>
        <v>www.elios.it</v>
      </c>
      <c r="J1326" s="10">
        <v>4516.857</v>
      </c>
      <c r="K1326" s="10">
        <v>4516.857</v>
      </c>
      <c r="L1326" s="10">
        <v>4617.5870000000004</v>
      </c>
      <c r="M1326" s="10">
        <v>-289.55700000000002</v>
      </c>
      <c r="N1326" s="10">
        <v>-289.55700000000002</v>
      </c>
      <c r="O1326" s="10">
        <v>87.753</v>
      </c>
      <c r="P1326" s="10">
        <v>34</v>
      </c>
      <c r="Q1326" s="10">
        <v>34</v>
      </c>
      <c r="R1326" s="10">
        <v>36</v>
      </c>
    </row>
    <row r="1327" spans="1:18" ht="17" customHeight="1" x14ac:dyDescent="0.15">
      <c r="A1327" s="11" t="s">
        <v>7042</v>
      </c>
      <c r="B1327" s="1" t="s">
        <v>7043</v>
      </c>
      <c r="C1327" s="11" t="s">
        <v>7044</v>
      </c>
      <c r="D1327" s="11" t="s">
        <v>7044</v>
      </c>
      <c r="E1327" s="11" t="s">
        <v>7045</v>
      </c>
      <c r="F1327" s="11" t="s">
        <v>6981</v>
      </c>
      <c r="G1327" s="11" t="s">
        <v>7046</v>
      </c>
      <c r="H1327" s="11" t="s">
        <v>7024</v>
      </c>
      <c r="I1327" s="11" t="str">
        <f>HYPERLINK("http://www.cfepsrl.com/","http://www.cfepsrl.com")</f>
        <v>http://www.cfepsrl.com</v>
      </c>
      <c r="J1327" s="12">
        <v>1459.394</v>
      </c>
      <c r="K1327" s="12">
        <v>1459.394</v>
      </c>
      <c r="L1327" s="13">
        <v>4609.5600000000004</v>
      </c>
      <c r="M1327" s="12">
        <v>-1534.26</v>
      </c>
      <c r="N1327" s="12">
        <v>-1534.26</v>
      </c>
      <c r="O1327" s="12">
        <v>-1938.4949999999999</v>
      </c>
      <c r="P1327" s="14" t="s">
        <v>6969</v>
      </c>
      <c r="Q1327" s="14" t="s">
        <v>6969</v>
      </c>
      <c r="R1327" s="12">
        <v>33</v>
      </c>
    </row>
    <row r="1328" spans="1:18" ht="17" customHeight="1" x14ac:dyDescent="0.15">
      <c r="A1328" s="8" t="s">
        <v>7047</v>
      </c>
      <c r="B1328" s="9" t="s">
        <v>7048</v>
      </c>
      <c r="C1328" s="8" t="s">
        <v>7049</v>
      </c>
      <c r="D1328" s="8" t="s">
        <v>7049</v>
      </c>
      <c r="E1328" s="8" t="s">
        <v>7050</v>
      </c>
      <c r="F1328" s="8" t="s">
        <v>7051</v>
      </c>
      <c r="G1328" s="8" t="s">
        <v>7052</v>
      </c>
      <c r="H1328" s="8" t="s">
        <v>7031</v>
      </c>
      <c r="I1328" s="8" t="str">
        <f>HYPERLINK("http://plan-c.com/","plan-c.com")</f>
        <v>plan-c.com</v>
      </c>
      <c r="J1328" s="10">
        <v>6091.9030000000002</v>
      </c>
      <c r="K1328" s="10">
        <v>6091.9030000000002</v>
      </c>
      <c r="L1328" s="10">
        <v>4609.415</v>
      </c>
      <c r="M1328" s="10">
        <v>-1901.6420000000001</v>
      </c>
      <c r="N1328" s="10">
        <v>-1901.6420000000001</v>
      </c>
      <c r="O1328" s="10">
        <v>-1540.43</v>
      </c>
      <c r="P1328" s="10">
        <v>25</v>
      </c>
      <c r="Q1328" s="10">
        <v>25</v>
      </c>
      <c r="R1328" s="10">
        <v>21</v>
      </c>
    </row>
    <row r="1329" spans="1:18" ht="17" customHeight="1" x14ac:dyDescent="0.15">
      <c r="A1329" s="11" t="s">
        <v>7053</v>
      </c>
      <c r="B1329" s="1" t="s">
        <v>7054</v>
      </c>
      <c r="C1329" s="11" t="s">
        <v>7055</v>
      </c>
      <c r="D1329" s="11" t="s">
        <v>7056</v>
      </c>
      <c r="E1329" s="11" t="s">
        <v>7057</v>
      </c>
      <c r="F1329" s="11" t="s">
        <v>7051</v>
      </c>
      <c r="G1329" s="11" t="s">
        <v>7058</v>
      </c>
      <c r="H1329" s="11" t="s">
        <v>7031</v>
      </c>
      <c r="I1329" s="11" t="str">
        <f>HYPERLINK("http://www.modellisticaabbigliamento.com/","www.modellisticaabbigliamento.com")</f>
        <v>www.modellisticaabbigliamento.com</v>
      </c>
      <c r="J1329" s="12">
        <v>6278.0429999999997</v>
      </c>
      <c r="K1329" s="12">
        <v>6278.0429999999997</v>
      </c>
      <c r="L1329" s="13">
        <v>4597.7719999999999</v>
      </c>
      <c r="M1329" s="12">
        <v>308.27</v>
      </c>
      <c r="N1329" s="12">
        <v>308.27</v>
      </c>
      <c r="O1329" s="12">
        <v>447.97300000000001</v>
      </c>
      <c r="P1329" s="12">
        <v>25</v>
      </c>
      <c r="Q1329" s="12">
        <v>25</v>
      </c>
      <c r="R1329" s="12">
        <v>24</v>
      </c>
    </row>
    <row r="1330" spans="1:18" ht="17" customHeight="1" x14ac:dyDescent="0.15">
      <c r="A1330" s="8" t="s">
        <v>7059</v>
      </c>
      <c r="B1330" s="9" t="s">
        <v>7060</v>
      </c>
      <c r="C1330" s="8" t="s">
        <v>7061</v>
      </c>
      <c r="D1330" s="8" t="s">
        <v>7061</v>
      </c>
      <c r="E1330" s="8" t="s">
        <v>7062</v>
      </c>
      <c r="F1330" s="8" t="s">
        <v>6981</v>
      </c>
      <c r="G1330" s="8" t="s">
        <v>7063</v>
      </c>
      <c r="H1330" s="8" t="s">
        <v>7064</v>
      </c>
      <c r="I1330" s="8" t="str">
        <f>HYPERLINK("http://www.colonnellimanifatture.com/","www.colonnellimanifatture.com")</f>
        <v>www.colonnellimanifatture.com</v>
      </c>
      <c r="J1330" s="10">
        <v>1187.4059999999999</v>
      </c>
      <c r="K1330" s="10">
        <v>1187.4059999999999</v>
      </c>
      <c r="L1330" s="10">
        <v>4594.4620000000004</v>
      </c>
      <c r="M1330" s="10">
        <v>-436.78899999999999</v>
      </c>
      <c r="N1330" s="10">
        <v>-436.78899999999999</v>
      </c>
      <c r="O1330" s="10">
        <v>30.661000000000001</v>
      </c>
      <c r="P1330" s="10">
        <v>1</v>
      </c>
      <c r="Q1330" s="10">
        <v>1</v>
      </c>
      <c r="R1330" s="10">
        <v>23</v>
      </c>
    </row>
    <row r="1331" spans="1:18" ht="17" customHeight="1" x14ac:dyDescent="0.15">
      <c r="A1331" s="11" t="s">
        <v>7065</v>
      </c>
      <c r="B1331" s="1" t="s">
        <v>7066</v>
      </c>
      <c r="C1331" s="11" t="s">
        <v>7067</v>
      </c>
      <c r="D1331" s="11" t="s">
        <v>7067</v>
      </c>
      <c r="E1331" s="11" t="s">
        <v>7068</v>
      </c>
      <c r="F1331" s="11" t="s">
        <v>6966</v>
      </c>
      <c r="G1331" s="11" t="s">
        <v>7058</v>
      </c>
      <c r="H1331" s="11" t="s">
        <v>7031</v>
      </c>
      <c r="I1331" s="11" t="str">
        <f>HYPERLINK("http://www.sauroshoes.it/","www.sauroshoes.it")</f>
        <v>www.sauroshoes.it</v>
      </c>
      <c r="J1331" s="12">
        <v>3985.663</v>
      </c>
      <c r="K1331" s="12">
        <v>3985.663</v>
      </c>
      <c r="L1331" s="13">
        <v>4592.92</v>
      </c>
      <c r="M1331" s="12">
        <v>60.142000000000003</v>
      </c>
      <c r="N1331" s="12">
        <v>60.142000000000003</v>
      </c>
      <c r="O1331" s="12">
        <v>150.31700000000001</v>
      </c>
      <c r="P1331" s="12">
        <v>12</v>
      </c>
      <c r="Q1331" s="12">
        <v>12</v>
      </c>
      <c r="R1331" s="12">
        <v>11</v>
      </c>
    </row>
    <row r="1332" spans="1:18" ht="17" customHeight="1" x14ac:dyDescent="0.15">
      <c r="A1332" s="8" t="s">
        <v>7069</v>
      </c>
      <c r="B1332" s="9" t="s">
        <v>7070</v>
      </c>
      <c r="C1332" s="8" t="s">
        <v>7071</v>
      </c>
      <c r="D1332" s="8" t="s">
        <v>7071</v>
      </c>
      <c r="E1332" s="8" t="s">
        <v>7072</v>
      </c>
      <c r="F1332" s="8" t="s">
        <v>7073</v>
      </c>
      <c r="G1332" s="8" t="s">
        <v>7002</v>
      </c>
      <c r="H1332" s="8" t="s">
        <v>6976</v>
      </c>
      <c r="I1332" s="8" t="str">
        <f>HYPERLINK("http://www.laserartstyle.it/","www.laserartstyle.it")</f>
        <v>www.laserartstyle.it</v>
      </c>
      <c r="J1332" s="10">
        <v>6881.0609999999997</v>
      </c>
      <c r="K1332" s="10">
        <v>6881.0609999999997</v>
      </c>
      <c r="L1332" s="10">
        <v>4591.7579999999998</v>
      </c>
      <c r="M1332" s="10">
        <v>3206.201</v>
      </c>
      <c r="N1332" s="10">
        <v>3206.201</v>
      </c>
      <c r="O1332" s="10">
        <v>1639.8</v>
      </c>
      <c r="P1332" s="10">
        <v>20</v>
      </c>
      <c r="Q1332" s="10">
        <v>20</v>
      </c>
      <c r="R1332" s="10">
        <v>20</v>
      </c>
    </row>
    <row r="1333" spans="1:18" ht="17" customHeight="1" x14ac:dyDescent="0.15">
      <c r="A1333" s="11" t="s">
        <v>7074</v>
      </c>
      <c r="B1333" s="1" t="s">
        <v>7075</v>
      </c>
      <c r="C1333" s="11" t="s">
        <v>7076</v>
      </c>
      <c r="D1333" s="11" t="s">
        <v>7076</v>
      </c>
      <c r="E1333" s="11" t="s">
        <v>7077</v>
      </c>
      <c r="F1333" s="11" t="s">
        <v>6966</v>
      </c>
      <c r="G1333" s="11" t="s">
        <v>7002</v>
      </c>
      <c r="H1333" s="11" t="s">
        <v>6976</v>
      </c>
      <c r="I1333" s="11" t="str">
        <f>HYPERLINK("http://www.calzatureperbambini.com/","www.calzatureperbambini.com")</f>
        <v>www.calzatureperbambini.com</v>
      </c>
      <c r="J1333" s="12">
        <v>4232.6499999999996</v>
      </c>
      <c r="K1333" s="12">
        <v>4232.6499999999996</v>
      </c>
      <c r="L1333" s="13">
        <v>4587.8040000000001</v>
      </c>
      <c r="M1333" s="12">
        <v>8.4499999999999993</v>
      </c>
      <c r="N1333" s="12">
        <v>8.4499999999999993</v>
      </c>
      <c r="O1333" s="12">
        <v>33.835999999999999</v>
      </c>
      <c r="P1333" s="12">
        <v>33</v>
      </c>
      <c r="Q1333" s="12">
        <v>33</v>
      </c>
      <c r="R1333" s="12">
        <v>34</v>
      </c>
    </row>
    <row r="1334" spans="1:18" ht="17" customHeight="1" x14ac:dyDescent="0.15">
      <c r="A1334" s="8" t="s">
        <v>7078</v>
      </c>
      <c r="B1334" s="9" t="s">
        <v>7079</v>
      </c>
      <c r="C1334" s="8" t="s">
        <v>7080</v>
      </c>
      <c r="D1334" s="8" t="s">
        <v>7080</v>
      </c>
      <c r="E1334" s="8" t="s">
        <v>7081</v>
      </c>
      <c r="F1334" s="8" t="s">
        <v>6981</v>
      </c>
      <c r="G1334" s="8" t="s">
        <v>7082</v>
      </c>
      <c r="H1334" s="8" t="s">
        <v>7064</v>
      </c>
      <c r="I1334" s="8" t="str">
        <f>HYPERLINK("http://benedettabruzziches.com/","benedettabruzziches.com")</f>
        <v>benedettabruzziches.com</v>
      </c>
      <c r="J1334" s="10">
        <v>5872.1490000000003</v>
      </c>
      <c r="K1334" s="10">
        <v>5872.1490000000003</v>
      </c>
      <c r="L1334" s="10">
        <v>4576.933</v>
      </c>
      <c r="M1334" s="10">
        <v>1058.8340000000001</v>
      </c>
      <c r="N1334" s="10">
        <v>1058.8340000000001</v>
      </c>
      <c r="O1334" s="10">
        <v>552.87800000000004</v>
      </c>
      <c r="P1334" s="15" t="s">
        <v>6969</v>
      </c>
      <c r="Q1334" s="15" t="s">
        <v>6969</v>
      </c>
      <c r="R1334" s="10">
        <v>8</v>
      </c>
    </row>
    <row r="1335" spans="1:18" ht="17" customHeight="1" x14ac:dyDescent="0.15">
      <c r="A1335" s="11" t="s">
        <v>7083</v>
      </c>
      <c r="B1335" s="1" t="s">
        <v>7084</v>
      </c>
      <c r="C1335" s="11" t="s">
        <v>7085</v>
      </c>
      <c r="D1335" s="11" t="s">
        <v>7085</v>
      </c>
      <c r="E1335" s="11" t="s">
        <v>7086</v>
      </c>
      <c r="F1335" s="11" t="s">
        <v>6966</v>
      </c>
      <c r="G1335" s="11" t="s">
        <v>7087</v>
      </c>
      <c r="H1335" s="11" t="s">
        <v>7064</v>
      </c>
      <c r="I1335" s="11" t="str">
        <f>HYPERLINK("http://www.primocecilia.com/","www.primocecilia.com")</f>
        <v>www.primocecilia.com</v>
      </c>
      <c r="J1335" s="12">
        <v>5036.7700000000004</v>
      </c>
      <c r="K1335" s="12">
        <v>5036.7700000000004</v>
      </c>
      <c r="L1335" s="13">
        <v>4573.3760000000002</v>
      </c>
      <c r="M1335" s="12">
        <v>73.001000000000005</v>
      </c>
      <c r="N1335" s="12">
        <v>73.001000000000005</v>
      </c>
      <c r="O1335" s="12">
        <v>38.527000000000001</v>
      </c>
      <c r="P1335" s="12">
        <v>35</v>
      </c>
      <c r="Q1335" s="12">
        <v>35</v>
      </c>
      <c r="R1335" s="12">
        <v>35</v>
      </c>
    </row>
    <row r="1336" spans="1:18" ht="17" customHeight="1" x14ac:dyDescent="0.15">
      <c r="A1336" s="8" t="s">
        <v>7088</v>
      </c>
      <c r="B1336" s="9" t="s">
        <v>7089</v>
      </c>
      <c r="C1336" s="8" t="s">
        <v>7090</v>
      </c>
      <c r="D1336" s="8" t="s">
        <v>7090</v>
      </c>
      <c r="E1336" s="8" t="s">
        <v>7091</v>
      </c>
      <c r="F1336" s="8" t="s">
        <v>6966</v>
      </c>
      <c r="G1336" s="8" t="s">
        <v>7023</v>
      </c>
      <c r="H1336" s="8" t="s">
        <v>7024</v>
      </c>
      <c r="I1336" s="8" t="str">
        <f>HYPERLINK("http://www.thesandalsfactory.com/","www.thesandalsfactory.com")</f>
        <v>www.thesandalsfactory.com</v>
      </c>
      <c r="J1336" s="10">
        <v>2842.7240000000002</v>
      </c>
      <c r="K1336" s="10">
        <v>3502.8449999999998</v>
      </c>
      <c r="L1336" s="10">
        <v>4567.3220000000001</v>
      </c>
      <c r="M1336" s="10">
        <v>35.378</v>
      </c>
      <c r="N1336" s="10">
        <v>61.628999999999998</v>
      </c>
      <c r="O1336" s="10">
        <v>218.62</v>
      </c>
      <c r="P1336" s="10">
        <v>21</v>
      </c>
      <c r="Q1336" s="10">
        <v>21</v>
      </c>
      <c r="R1336" s="10">
        <v>22</v>
      </c>
    </row>
    <row r="1337" spans="1:18" ht="17" customHeight="1" x14ac:dyDescent="0.15">
      <c r="A1337" s="11" t="s">
        <v>7092</v>
      </c>
      <c r="B1337" s="1" t="s">
        <v>7093</v>
      </c>
      <c r="C1337" s="11" t="s">
        <v>7094</v>
      </c>
      <c r="D1337" s="11" t="s">
        <v>7095</v>
      </c>
      <c r="E1337" s="11" t="s">
        <v>7096</v>
      </c>
      <c r="F1337" s="11" t="s">
        <v>7097</v>
      </c>
      <c r="G1337" s="11" t="s">
        <v>7058</v>
      </c>
      <c r="H1337" s="11" t="s">
        <v>7031</v>
      </c>
      <c r="I1337" s="11" t="str">
        <f>HYPERLINK("http://www.silcomoda.com/","http://www.silcomoda.com")</f>
        <v>http://www.silcomoda.com</v>
      </c>
      <c r="J1337" s="12">
        <v>4257.9409999999998</v>
      </c>
      <c r="K1337" s="12">
        <v>4257.9409999999998</v>
      </c>
      <c r="L1337" s="13">
        <v>4563.4179999999997</v>
      </c>
      <c r="M1337" s="12">
        <v>11.448</v>
      </c>
      <c r="N1337" s="12">
        <v>11.448</v>
      </c>
      <c r="O1337" s="12">
        <v>148.11000000000001</v>
      </c>
      <c r="P1337" s="12">
        <v>15</v>
      </c>
      <c r="Q1337" s="12">
        <v>15</v>
      </c>
      <c r="R1337" s="12">
        <v>15</v>
      </c>
    </row>
    <row r="1338" spans="1:18" ht="17" customHeight="1" x14ac:dyDescent="0.15">
      <c r="A1338" s="8" t="s">
        <v>7098</v>
      </c>
      <c r="B1338" s="9" t="s">
        <v>7099</v>
      </c>
      <c r="C1338" s="8" t="s">
        <v>7100</v>
      </c>
      <c r="D1338" s="8" t="s">
        <v>7100</v>
      </c>
      <c r="E1338" s="8" t="s">
        <v>7101</v>
      </c>
      <c r="F1338" s="8" t="s">
        <v>7102</v>
      </c>
      <c r="G1338" s="8" t="s">
        <v>7046</v>
      </c>
      <c r="H1338" s="8" t="s">
        <v>7024</v>
      </c>
      <c r="I1338" s="8" t="str">
        <f>HYPERLINK("http://www.albatros-accessories.it/","www.albatros-accessories.it")</f>
        <v>www.albatros-accessories.it</v>
      </c>
      <c r="J1338" s="10">
        <v>4068.3980000000001</v>
      </c>
      <c r="K1338" s="10">
        <v>4068.3980000000001</v>
      </c>
      <c r="L1338" s="10">
        <v>4557.7629999999999</v>
      </c>
      <c r="M1338" s="10">
        <v>1044.693</v>
      </c>
      <c r="N1338" s="10">
        <v>1044.693</v>
      </c>
      <c r="O1338" s="10">
        <v>1125.93</v>
      </c>
      <c r="P1338" s="10">
        <v>34</v>
      </c>
      <c r="Q1338" s="10">
        <v>34</v>
      </c>
      <c r="R1338" s="10">
        <v>20</v>
      </c>
    </row>
    <row r="1339" spans="1:18" ht="17" customHeight="1" x14ac:dyDescent="0.15">
      <c r="A1339" s="11" t="s">
        <v>7103</v>
      </c>
      <c r="B1339" s="1" t="s">
        <v>7104</v>
      </c>
      <c r="C1339" s="11" t="s">
        <v>7105</v>
      </c>
      <c r="D1339" s="11" t="s">
        <v>7105</v>
      </c>
      <c r="E1339" s="11" t="s">
        <v>7106</v>
      </c>
      <c r="F1339" s="11" t="s">
        <v>7097</v>
      </c>
      <c r="G1339" s="11" t="s">
        <v>7046</v>
      </c>
      <c r="H1339" s="11" t="s">
        <v>7024</v>
      </c>
      <c r="I1339" s="11" t="str">
        <f>HYPERLINK("http://forever-fashion.it/","forever-fashion.it")</f>
        <v>forever-fashion.it</v>
      </c>
      <c r="J1339" s="12">
        <v>5867.0839999999998</v>
      </c>
      <c r="K1339" s="12">
        <v>5867.0839999999998</v>
      </c>
      <c r="L1339" s="13">
        <v>4555.6030000000001</v>
      </c>
      <c r="M1339" s="12">
        <v>33.688000000000002</v>
      </c>
      <c r="N1339" s="12">
        <v>33.688000000000002</v>
      </c>
      <c r="O1339" s="12">
        <v>179.70099999999999</v>
      </c>
      <c r="P1339" s="14" t="s">
        <v>6969</v>
      </c>
      <c r="Q1339" s="14" t="s">
        <v>6969</v>
      </c>
      <c r="R1339" s="12">
        <v>31</v>
      </c>
    </row>
    <row r="1340" spans="1:18" ht="17" customHeight="1" x14ac:dyDescent="0.15">
      <c r="A1340" s="8" t="s">
        <v>7107</v>
      </c>
      <c r="B1340" s="9" t="s">
        <v>7108</v>
      </c>
      <c r="C1340" s="8" t="s">
        <v>7109</v>
      </c>
      <c r="D1340" s="8" t="s">
        <v>7109</v>
      </c>
      <c r="E1340" s="8" t="s">
        <v>7110</v>
      </c>
      <c r="F1340" s="8" t="s">
        <v>6966</v>
      </c>
      <c r="G1340" s="8" t="s">
        <v>7007</v>
      </c>
      <c r="H1340" s="8" t="s">
        <v>6976</v>
      </c>
      <c r="I1340" s="8" t="str">
        <f>HYPERLINK("http://www.calzaturificiofancy.it/","www.calzaturificiofancy.it")</f>
        <v>www.calzaturificiofancy.it</v>
      </c>
      <c r="J1340" s="10">
        <v>3195.8240000000001</v>
      </c>
      <c r="K1340" s="10">
        <v>3195.8240000000001</v>
      </c>
      <c r="L1340" s="10">
        <v>4549.6689999999999</v>
      </c>
      <c r="M1340" s="10">
        <v>137.32499999999999</v>
      </c>
      <c r="N1340" s="10">
        <v>137.32499999999999</v>
      </c>
      <c r="O1340" s="10">
        <v>156.84700000000001</v>
      </c>
      <c r="P1340" s="10">
        <v>31</v>
      </c>
      <c r="Q1340" s="10">
        <v>31</v>
      </c>
      <c r="R1340" s="10">
        <v>30</v>
      </c>
    </row>
    <row r="1341" spans="1:18" ht="29.5" customHeight="1" x14ac:dyDescent="0.15">
      <c r="A1341" s="11" t="s">
        <v>7111</v>
      </c>
      <c r="B1341" s="1" t="s">
        <v>7112</v>
      </c>
      <c r="C1341" s="11" t="s">
        <v>7113</v>
      </c>
      <c r="D1341" s="11" t="s">
        <v>7113</v>
      </c>
      <c r="E1341" s="11" t="s">
        <v>7114</v>
      </c>
      <c r="F1341" s="11" t="s">
        <v>7115</v>
      </c>
      <c r="G1341" s="11" t="s">
        <v>7023</v>
      </c>
      <c r="H1341" s="11" t="s">
        <v>7024</v>
      </c>
      <c r="I1341" s="11" t="str">
        <f>HYPERLINK("http://www.nuovaalbora.it/","www.nuovaalbora.it")</f>
        <v>www.nuovaalbora.it</v>
      </c>
      <c r="J1341" s="12">
        <v>2832.665</v>
      </c>
      <c r="K1341" s="12">
        <v>2832.665</v>
      </c>
      <c r="L1341" s="13">
        <v>4548.3149999999996</v>
      </c>
      <c r="M1341" s="12">
        <v>49.518000000000001</v>
      </c>
      <c r="N1341" s="12">
        <v>49.518000000000001</v>
      </c>
      <c r="O1341" s="12">
        <v>43.694000000000003</v>
      </c>
      <c r="P1341" s="12">
        <v>6</v>
      </c>
      <c r="Q1341" s="12">
        <v>6</v>
      </c>
      <c r="R1341" s="12">
        <v>7</v>
      </c>
    </row>
    <row r="1342" spans="1:18" ht="17" customHeight="1" x14ac:dyDescent="0.15">
      <c r="A1342" s="8" t="s">
        <v>7116</v>
      </c>
      <c r="B1342" s="9" t="s">
        <v>7117</v>
      </c>
      <c r="C1342" s="8" t="s">
        <v>7118</v>
      </c>
      <c r="D1342" s="8" t="s">
        <v>7118</v>
      </c>
      <c r="E1342" s="8" t="s">
        <v>7119</v>
      </c>
      <c r="F1342" s="8" t="s">
        <v>7115</v>
      </c>
      <c r="G1342" s="8" t="s">
        <v>6982</v>
      </c>
      <c r="H1342" s="8" t="s">
        <v>6968</v>
      </c>
      <c r="I1342" s="8" t="str">
        <f>HYPERLINK("http://www.creativeleathers.com/","www.creativeleathers.com")</f>
        <v>www.creativeleathers.com</v>
      </c>
      <c r="J1342" s="10">
        <v>3828.5889999999999</v>
      </c>
      <c r="K1342" s="10">
        <v>3828.5889999999999</v>
      </c>
      <c r="L1342" s="10">
        <v>4530.701</v>
      </c>
      <c r="M1342" s="10">
        <v>60.084000000000003</v>
      </c>
      <c r="N1342" s="10">
        <v>60.084000000000003</v>
      </c>
      <c r="O1342" s="10">
        <v>4.9009999999999998</v>
      </c>
      <c r="P1342" s="10">
        <v>10</v>
      </c>
      <c r="Q1342" s="10">
        <v>10</v>
      </c>
      <c r="R1342" s="10">
        <v>11</v>
      </c>
    </row>
    <row r="1343" spans="1:18" ht="29.5" customHeight="1" x14ac:dyDescent="0.15">
      <c r="A1343" s="11" t="s">
        <v>7120</v>
      </c>
      <c r="B1343" s="1" t="s">
        <v>7121</v>
      </c>
      <c r="C1343" s="11" t="s">
        <v>7122</v>
      </c>
      <c r="D1343" s="11" t="s">
        <v>7122</v>
      </c>
      <c r="E1343" s="11" t="s">
        <v>7123</v>
      </c>
      <c r="F1343" s="11" t="s">
        <v>7115</v>
      </c>
      <c r="G1343" s="11" t="s">
        <v>7023</v>
      </c>
      <c r="H1343" s="11" t="s">
        <v>7024</v>
      </c>
      <c r="I1343" s="11" t="str">
        <f>HYPERLINK("http://www.laperlaazzurra.com/","www.laperlaazzurra.com")</f>
        <v>www.laperlaazzurra.com</v>
      </c>
      <c r="J1343" s="12">
        <v>3822.02</v>
      </c>
      <c r="K1343" s="12">
        <v>3822.02</v>
      </c>
      <c r="L1343" s="13">
        <v>4527.1459999999997</v>
      </c>
      <c r="M1343" s="12">
        <v>62.433999999999997</v>
      </c>
      <c r="N1343" s="12">
        <v>62.433999999999997</v>
      </c>
      <c r="O1343" s="12">
        <v>122.559</v>
      </c>
      <c r="P1343" s="12">
        <v>9</v>
      </c>
      <c r="Q1343" s="12">
        <v>9</v>
      </c>
      <c r="R1343" s="12">
        <v>11</v>
      </c>
    </row>
    <row r="1344" spans="1:18" ht="17" customHeight="1" x14ac:dyDescent="0.15">
      <c r="A1344" s="8" t="s">
        <v>7124</v>
      </c>
      <c r="B1344" s="9" t="s">
        <v>7125</v>
      </c>
      <c r="C1344" s="8" t="s">
        <v>7126</v>
      </c>
      <c r="D1344" s="8" t="s">
        <v>7126</v>
      </c>
      <c r="E1344" s="8" t="s">
        <v>7127</v>
      </c>
      <c r="F1344" s="8" t="s">
        <v>7115</v>
      </c>
      <c r="G1344" s="8" t="s">
        <v>7023</v>
      </c>
      <c r="H1344" s="8" t="s">
        <v>7024</v>
      </c>
      <c r="I1344" s="8" t="str">
        <f>HYPERLINK("http://www.lostivale.it/","www.lostivale.it")</f>
        <v>www.lostivale.it</v>
      </c>
      <c r="J1344" s="10">
        <v>3412.652</v>
      </c>
      <c r="K1344" s="10">
        <v>3412.652</v>
      </c>
      <c r="L1344" s="10">
        <v>4519.0649999999996</v>
      </c>
      <c r="M1344" s="10">
        <v>142.351</v>
      </c>
      <c r="N1344" s="10">
        <v>142.351</v>
      </c>
      <c r="O1344" s="10">
        <v>192.85300000000001</v>
      </c>
      <c r="P1344" s="10">
        <v>9</v>
      </c>
      <c r="Q1344" s="10">
        <v>9</v>
      </c>
      <c r="R1344" s="10">
        <v>9</v>
      </c>
    </row>
    <row r="1345" spans="1:18" ht="17" customHeight="1" x14ac:dyDescent="0.15">
      <c r="A1345" s="11" t="s">
        <v>7128</v>
      </c>
      <c r="B1345" s="1" t="s">
        <v>7129</v>
      </c>
      <c r="C1345" s="11" t="s">
        <v>7130</v>
      </c>
      <c r="D1345" s="11" t="s">
        <v>7130</v>
      </c>
      <c r="E1345" s="11" t="s">
        <v>7131</v>
      </c>
      <c r="F1345" s="11" t="s">
        <v>7132</v>
      </c>
      <c r="G1345" s="11" t="s">
        <v>7133</v>
      </c>
      <c r="H1345" s="11" t="s">
        <v>7134</v>
      </c>
      <c r="I1345" s="11" t="str">
        <f>HYPERLINK("http://www.giudi.com/","www.giudi.com")</f>
        <v>www.giudi.com</v>
      </c>
      <c r="J1345" s="12">
        <v>3975.7339999999999</v>
      </c>
      <c r="K1345" s="12">
        <v>3975.7339999999999</v>
      </c>
      <c r="L1345" s="13">
        <v>4511.7910000000002</v>
      </c>
      <c r="M1345" s="12">
        <v>121.47499999999999</v>
      </c>
      <c r="N1345" s="12">
        <v>121.47499999999999</v>
      </c>
      <c r="O1345" s="12">
        <v>201.71100000000001</v>
      </c>
      <c r="P1345" s="12">
        <v>16</v>
      </c>
      <c r="Q1345" s="12">
        <v>16</v>
      </c>
      <c r="R1345" s="12">
        <v>15</v>
      </c>
    </row>
    <row r="1346" spans="1:18" ht="43" customHeight="1" x14ac:dyDescent="0.15">
      <c r="A1346" s="8" t="s">
        <v>7135</v>
      </c>
      <c r="B1346" s="9" t="s">
        <v>7136</v>
      </c>
      <c r="C1346" s="8" t="s">
        <v>7137</v>
      </c>
      <c r="D1346" s="8" t="s">
        <v>7137</v>
      </c>
      <c r="E1346" s="8" t="s">
        <v>7138</v>
      </c>
      <c r="F1346" s="8" t="s">
        <v>7139</v>
      </c>
      <c r="G1346" s="8" t="s">
        <v>7140</v>
      </c>
      <c r="H1346" s="8" t="s">
        <v>7141</v>
      </c>
      <c r="I1346" s="8" t="str">
        <f>HYPERLINK("http://havanaeco.it/","havanaeco.it")</f>
        <v>havanaeco.it</v>
      </c>
      <c r="J1346" s="10">
        <v>6038.7460000000001</v>
      </c>
      <c r="K1346" s="10">
        <v>6038.7460000000001</v>
      </c>
      <c r="L1346" s="10">
        <v>4510.625</v>
      </c>
      <c r="M1346" s="10">
        <v>299.18099999999998</v>
      </c>
      <c r="N1346" s="10">
        <v>299.18099999999998</v>
      </c>
      <c r="O1346" s="10">
        <v>208.762</v>
      </c>
      <c r="P1346" s="10">
        <v>17</v>
      </c>
      <c r="Q1346" s="10">
        <v>17</v>
      </c>
      <c r="R1346" s="10">
        <v>14</v>
      </c>
    </row>
    <row r="1347" spans="1:18" ht="17" customHeight="1" x14ac:dyDescent="0.15">
      <c r="A1347" s="11" t="s">
        <v>7142</v>
      </c>
      <c r="B1347" s="1" t="s">
        <v>7143</v>
      </c>
      <c r="C1347" s="11" t="s">
        <v>7144</v>
      </c>
      <c r="D1347" s="11" t="s">
        <v>7144</v>
      </c>
      <c r="E1347" s="11" t="s">
        <v>7145</v>
      </c>
      <c r="F1347" s="11" t="s">
        <v>7146</v>
      </c>
      <c r="G1347" s="11" t="s">
        <v>7147</v>
      </c>
      <c r="H1347" s="11" t="s">
        <v>7148</v>
      </c>
      <c r="I1347" s="11" t="str">
        <f>HYPERLINK("http://www.calzificiotelemaco.it/","www.calzificiotelemaco.it")</f>
        <v>www.calzificiotelemaco.it</v>
      </c>
      <c r="J1347" s="12">
        <v>3958.2220000000002</v>
      </c>
      <c r="K1347" s="12">
        <v>3958.2220000000002</v>
      </c>
      <c r="L1347" s="13">
        <v>4502.6469999999999</v>
      </c>
      <c r="M1347" s="12">
        <v>305.74</v>
      </c>
      <c r="N1347" s="12">
        <v>305.74</v>
      </c>
      <c r="O1347" s="12">
        <v>221.405</v>
      </c>
      <c r="P1347" s="12">
        <v>21</v>
      </c>
      <c r="Q1347" s="12">
        <v>21</v>
      </c>
      <c r="R1347" s="12">
        <v>26</v>
      </c>
    </row>
    <row r="1348" spans="1:18" ht="17" customHeight="1" x14ac:dyDescent="0.15">
      <c r="A1348" s="8" t="s">
        <v>7149</v>
      </c>
      <c r="B1348" s="9" t="s">
        <v>7150</v>
      </c>
      <c r="C1348" s="8" t="s">
        <v>7151</v>
      </c>
      <c r="D1348" s="8" t="s">
        <v>7151</v>
      </c>
      <c r="E1348" s="8" t="s">
        <v>7152</v>
      </c>
      <c r="F1348" s="8" t="s">
        <v>7153</v>
      </c>
      <c r="G1348" s="8" t="s">
        <v>7154</v>
      </c>
      <c r="H1348" s="8" t="s">
        <v>7134</v>
      </c>
      <c r="I1348" s="8" t="str">
        <f>HYPERLINK("http://www.joghost.com/","www.joghost.com")</f>
        <v>www.joghost.com</v>
      </c>
      <c r="J1348" s="10">
        <v>5682.3540000000003</v>
      </c>
      <c r="K1348" s="10">
        <v>5682.3540000000003</v>
      </c>
      <c r="L1348" s="10">
        <v>4501.4679999999998</v>
      </c>
      <c r="M1348" s="10">
        <v>452.28399999999999</v>
      </c>
      <c r="N1348" s="10">
        <v>452.28399999999999</v>
      </c>
      <c r="O1348" s="10">
        <v>283.48399999999998</v>
      </c>
      <c r="P1348" s="10">
        <v>18</v>
      </c>
      <c r="Q1348" s="10">
        <v>18</v>
      </c>
      <c r="R1348" s="10">
        <v>18</v>
      </c>
    </row>
    <row r="1349" spans="1:18" ht="17" customHeight="1" x14ac:dyDescent="0.15">
      <c r="A1349" s="11" t="s">
        <v>7155</v>
      </c>
      <c r="B1349" s="1" t="s">
        <v>7156</v>
      </c>
      <c r="C1349" s="11" t="s">
        <v>7157</v>
      </c>
      <c r="D1349" s="11" t="s">
        <v>7157</v>
      </c>
      <c r="E1349" s="11" t="s">
        <v>7158</v>
      </c>
      <c r="F1349" s="11" t="s">
        <v>7139</v>
      </c>
      <c r="G1349" s="11" t="s">
        <v>7159</v>
      </c>
      <c r="H1349" s="11" t="s">
        <v>7160</v>
      </c>
      <c r="I1349" s="11" t="str">
        <f>HYPERLINK("http://www.flygirl.it/","www.flygirl.it")</f>
        <v>www.flygirl.it</v>
      </c>
      <c r="J1349" s="12">
        <v>4528.2269999999999</v>
      </c>
      <c r="K1349" s="12">
        <v>4528.2269999999999</v>
      </c>
      <c r="L1349" s="13">
        <v>4500.192</v>
      </c>
      <c r="M1349" s="12">
        <v>24.937000000000001</v>
      </c>
      <c r="N1349" s="12">
        <v>24.937000000000001</v>
      </c>
      <c r="O1349" s="12">
        <v>14.839</v>
      </c>
      <c r="P1349" s="12">
        <v>21</v>
      </c>
      <c r="Q1349" s="12">
        <v>21</v>
      </c>
      <c r="R1349" s="12">
        <v>21</v>
      </c>
    </row>
    <row r="1350" spans="1:18" ht="17" customHeight="1" x14ac:dyDescent="0.15">
      <c r="A1350" s="8" t="s">
        <v>7161</v>
      </c>
      <c r="B1350" s="9" t="s">
        <v>7162</v>
      </c>
      <c r="C1350" s="8" t="s">
        <v>7163</v>
      </c>
      <c r="D1350" s="8" t="s">
        <v>7163</v>
      </c>
      <c r="E1350" s="8" t="s">
        <v>7164</v>
      </c>
      <c r="F1350" s="8" t="s">
        <v>7153</v>
      </c>
      <c r="G1350" s="8" t="s">
        <v>7165</v>
      </c>
      <c r="H1350" s="8" t="s">
        <v>7166</v>
      </c>
      <c r="I1350" s="8" t="str">
        <f>HYPERLINK("http://harrisshoes.it/","harrisshoes.it")</f>
        <v>harrisshoes.it</v>
      </c>
      <c r="J1350" s="10">
        <v>4684.8109999999997</v>
      </c>
      <c r="K1350" s="10">
        <v>4684.8109999999997</v>
      </c>
      <c r="L1350" s="10">
        <v>4489.067</v>
      </c>
      <c r="M1350" s="10">
        <v>29.106000000000002</v>
      </c>
      <c r="N1350" s="10">
        <v>29.106000000000002</v>
      </c>
      <c r="O1350" s="10">
        <v>242.363</v>
      </c>
      <c r="P1350" s="10">
        <v>27</v>
      </c>
      <c r="Q1350" s="10">
        <v>27</v>
      </c>
      <c r="R1350" s="10">
        <v>27</v>
      </c>
    </row>
    <row r="1351" spans="1:18" ht="17" customHeight="1" x14ac:dyDescent="0.15">
      <c r="A1351" s="11" t="s">
        <v>7167</v>
      </c>
      <c r="B1351" s="1" t="s">
        <v>7168</v>
      </c>
      <c r="C1351" s="11" t="s">
        <v>7169</v>
      </c>
      <c r="D1351" s="11" t="s">
        <v>7169</v>
      </c>
      <c r="E1351" s="11" t="s">
        <v>7170</v>
      </c>
      <c r="F1351" s="11" t="s">
        <v>7171</v>
      </c>
      <c r="G1351" s="11" t="s">
        <v>7172</v>
      </c>
      <c r="H1351" s="11" t="s">
        <v>7166</v>
      </c>
      <c r="I1351" s="11" t="str">
        <f>HYPERLINK("http://newfada.it/","newfada.it")</f>
        <v>newfada.it</v>
      </c>
      <c r="J1351" s="12">
        <v>4094.9789999999998</v>
      </c>
      <c r="K1351" s="12">
        <v>4094.9789999999998</v>
      </c>
      <c r="L1351" s="13">
        <v>4488.7470000000003</v>
      </c>
      <c r="M1351" s="12">
        <v>66.296000000000006</v>
      </c>
      <c r="N1351" s="12">
        <v>66.296000000000006</v>
      </c>
      <c r="O1351" s="12">
        <v>24.161000000000001</v>
      </c>
      <c r="P1351" s="14" t="s">
        <v>7173</v>
      </c>
      <c r="Q1351" s="14" t="s">
        <v>7173</v>
      </c>
      <c r="R1351" s="12">
        <v>8</v>
      </c>
    </row>
    <row r="1352" spans="1:18" ht="17" customHeight="1" x14ac:dyDescent="0.15">
      <c r="A1352" s="8" t="s">
        <v>7174</v>
      </c>
      <c r="B1352" s="9" t="s">
        <v>7175</v>
      </c>
      <c r="C1352" s="8" t="s">
        <v>7176</v>
      </c>
      <c r="D1352" s="8" t="s">
        <v>7176</v>
      </c>
      <c r="E1352" s="8" t="s">
        <v>7177</v>
      </c>
      <c r="F1352" s="8" t="s">
        <v>7178</v>
      </c>
      <c r="G1352" s="8" t="s">
        <v>7159</v>
      </c>
      <c r="H1352" s="8" t="s">
        <v>7160</v>
      </c>
      <c r="I1352" s="8" t="str">
        <f>HYPERLINK("http://www.tokunoshima.it/","www.tokunoshima.it")</f>
        <v>www.tokunoshima.it</v>
      </c>
      <c r="J1352" s="10">
        <v>3014.5619999999999</v>
      </c>
      <c r="K1352" s="10">
        <v>3014.5619999999999</v>
      </c>
      <c r="L1352" s="10">
        <v>4488.7129999999997</v>
      </c>
      <c r="M1352" s="10">
        <v>3.1680000000000001</v>
      </c>
      <c r="N1352" s="10">
        <v>3.1680000000000001</v>
      </c>
      <c r="O1352" s="10">
        <v>101.387</v>
      </c>
      <c r="P1352" s="10">
        <v>4</v>
      </c>
      <c r="Q1352" s="10">
        <v>4</v>
      </c>
      <c r="R1352" s="10">
        <v>5</v>
      </c>
    </row>
    <row r="1353" spans="1:18" ht="17" customHeight="1" x14ac:dyDescent="0.15">
      <c r="A1353" s="11" t="s">
        <v>7179</v>
      </c>
      <c r="B1353" s="1" t="s">
        <v>7180</v>
      </c>
      <c r="C1353" s="11" t="s">
        <v>7181</v>
      </c>
      <c r="D1353" s="11" t="s">
        <v>7181</v>
      </c>
      <c r="E1353" s="11" t="s">
        <v>7182</v>
      </c>
      <c r="F1353" s="11" t="s">
        <v>7183</v>
      </c>
      <c r="G1353" s="11" t="s">
        <v>7184</v>
      </c>
      <c r="H1353" s="11" t="s">
        <v>7166</v>
      </c>
      <c r="I1353" s="11" t="str">
        <f>HYPERLINK("http://www.conceriawalpier.it/","www.conceriawalpier.it")</f>
        <v>www.conceriawalpier.it</v>
      </c>
      <c r="J1353" s="12">
        <v>4320.4679999999998</v>
      </c>
      <c r="K1353" s="12">
        <v>4320.4679999999998</v>
      </c>
      <c r="L1353" s="13">
        <v>4484.2780000000002</v>
      </c>
      <c r="M1353" s="12">
        <v>299.64800000000002</v>
      </c>
      <c r="N1353" s="12">
        <v>299.64800000000002</v>
      </c>
      <c r="O1353" s="12">
        <v>43.652999999999999</v>
      </c>
      <c r="P1353" s="12">
        <v>5</v>
      </c>
      <c r="Q1353" s="12">
        <v>5</v>
      </c>
      <c r="R1353" s="12">
        <v>5</v>
      </c>
    </row>
    <row r="1354" spans="1:18" ht="17" customHeight="1" x14ac:dyDescent="0.15">
      <c r="A1354" s="8" t="s">
        <v>7185</v>
      </c>
      <c r="B1354" s="9" t="s">
        <v>7186</v>
      </c>
      <c r="C1354" s="8" t="s">
        <v>7187</v>
      </c>
      <c r="D1354" s="8" t="s">
        <v>7188</v>
      </c>
      <c r="E1354" s="8" t="s">
        <v>7189</v>
      </c>
      <c r="F1354" s="8" t="s">
        <v>7183</v>
      </c>
      <c r="G1354" s="8" t="s">
        <v>7190</v>
      </c>
      <c r="H1354" s="8" t="s">
        <v>7191</v>
      </c>
      <c r="I1354" s="8" t="str">
        <f>HYPERLINK("http://www.mottapelli.191.it/","www.mottapelli.191.it")</f>
        <v>www.mottapelli.191.it</v>
      </c>
      <c r="J1354" s="10">
        <v>4124.1210000000001</v>
      </c>
      <c r="K1354" s="10">
        <v>4124.1210000000001</v>
      </c>
      <c r="L1354" s="10">
        <v>4483.9880000000003</v>
      </c>
      <c r="M1354" s="10">
        <v>165.63200000000001</v>
      </c>
      <c r="N1354" s="10">
        <v>165.63200000000001</v>
      </c>
      <c r="O1354" s="10">
        <v>282.37099999999998</v>
      </c>
      <c r="P1354" s="10">
        <v>21</v>
      </c>
      <c r="Q1354" s="10">
        <v>21</v>
      </c>
      <c r="R1354" s="10">
        <v>18</v>
      </c>
    </row>
    <row r="1355" spans="1:18" ht="17" customHeight="1" x14ac:dyDescent="0.15">
      <c r="A1355" s="11" t="s">
        <v>7192</v>
      </c>
      <c r="B1355" s="1" t="s">
        <v>7193</v>
      </c>
      <c r="C1355" s="11" t="s">
        <v>7194</v>
      </c>
      <c r="D1355" s="11" t="s">
        <v>7194</v>
      </c>
      <c r="E1355" s="11" t="s">
        <v>7195</v>
      </c>
      <c r="F1355" s="11" t="s">
        <v>7183</v>
      </c>
      <c r="G1355" s="11" t="s">
        <v>7196</v>
      </c>
      <c r="H1355" s="11" t="s">
        <v>7148</v>
      </c>
      <c r="I1355" s="11" t="str">
        <f>HYPERLINK("http://www.leatherteamsrl.it/","www.leatherteamsrl.it")</f>
        <v>www.leatherteamsrl.it</v>
      </c>
      <c r="J1355" s="12">
        <v>3777.3690000000001</v>
      </c>
      <c r="K1355" s="12">
        <v>3777.3690000000001</v>
      </c>
      <c r="L1355" s="13">
        <v>4479.5720000000001</v>
      </c>
      <c r="M1355" s="12">
        <v>-19.878</v>
      </c>
      <c r="N1355" s="12">
        <v>-19.878</v>
      </c>
      <c r="O1355" s="12">
        <v>-35.831000000000003</v>
      </c>
      <c r="P1355" s="14" t="s">
        <v>7173</v>
      </c>
      <c r="Q1355" s="14" t="s">
        <v>7173</v>
      </c>
      <c r="R1355" s="12">
        <v>22</v>
      </c>
    </row>
    <row r="1356" spans="1:18" ht="29.5" customHeight="1" x14ac:dyDescent="0.15">
      <c r="A1356" s="8" t="s">
        <v>7197</v>
      </c>
      <c r="B1356" s="9" t="s">
        <v>7198</v>
      </c>
      <c r="C1356" s="8" t="s">
        <v>7199</v>
      </c>
      <c r="D1356" s="8" t="s">
        <v>7199</v>
      </c>
      <c r="E1356" s="8" t="s">
        <v>7200</v>
      </c>
      <c r="F1356" s="8" t="s">
        <v>7201</v>
      </c>
      <c r="G1356" s="8" t="s">
        <v>7184</v>
      </c>
      <c r="H1356" s="8" t="s">
        <v>7166</v>
      </c>
      <c r="I1356" s="8" t="str">
        <f>HYPERLINK("http://www.tacchificioilgabbiano.it/","www.tacchificioilgabbiano.it")</f>
        <v>www.tacchificioilgabbiano.it</v>
      </c>
      <c r="J1356" s="10">
        <v>4190.4120000000003</v>
      </c>
      <c r="K1356" s="10">
        <v>4190.4120000000003</v>
      </c>
      <c r="L1356" s="10">
        <v>4479.3109999999997</v>
      </c>
      <c r="M1356" s="10">
        <v>98.052999999999997</v>
      </c>
      <c r="N1356" s="10">
        <v>98.052999999999997</v>
      </c>
      <c r="O1356" s="10">
        <v>20.256</v>
      </c>
      <c r="P1356" s="10">
        <v>18</v>
      </c>
      <c r="Q1356" s="10">
        <v>18</v>
      </c>
      <c r="R1356" s="10">
        <v>19</v>
      </c>
    </row>
    <row r="1357" spans="1:18" ht="17" customHeight="1" x14ac:dyDescent="0.15">
      <c r="A1357" s="11" t="s">
        <v>7202</v>
      </c>
      <c r="B1357" s="1" t="s">
        <v>7203</v>
      </c>
      <c r="C1357" s="11" t="s">
        <v>7204</v>
      </c>
      <c r="D1357" s="11" t="s">
        <v>7204</v>
      </c>
      <c r="E1357" s="11" t="s">
        <v>7205</v>
      </c>
      <c r="F1357" s="11" t="s">
        <v>7183</v>
      </c>
      <c r="G1357" s="11" t="s">
        <v>7184</v>
      </c>
      <c r="H1357" s="11" t="s">
        <v>7166</v>
      </c>
      <c r="I1357" s="11" t="str">
        <f>HYPERLINK("http://www.meridianaindustriaconciaria.com/","www.meridianaindustriaconciaria.com")</f>
        <v>www.meridianaindustriaconciaria.com</v>
      </c>
      <c r="J1357" s="12">
        <v>2794.9470000000001</v>
      </c>
      <c r="K1357" s="12">
        <v>2794.9470000000001</v>
      </c>
      <c r="L1357" s="13">
        <v>4471.0209999999997</v>
      </c>
      <c r="M1357" s="12">
        <v>-2361.8969999999999</v>
      </c>
      <c r="N1357" s="12">
        <v>-2361.8969999999999</v>
      </c>
      <c r="O1357" s="12">
        <v>22.196999999999999</v>
      </c>
      <c r="P1357" s="12">
        <v>20</v>
      </c>
      <c r="Q1357" s="12">
        <v>20</v>
      </c>
      <c r="R1357" s="12">
        <v>21</v>
      </c>
    </row>
    <row r="1358" spans="1:18" ht="17" customHeight="1" x14ac:dyDescent="0.15">
      <c r="A1358" s="8" t="s">
        <v>7206</v>
      </c>
      <c r="B1358" s="9" t="s">
        <v>7207</v>
      </c>
      <c r="C1358" s="8" t="s">
        <v>7208</v>
      </c>
      <c r="D1358" s="8" t="s">
        <v>7208</v>
      </c>
      <c r="E1358" s="8" t="s">
        <v>7209</v>
      </c>
      <c r="F1358" s="8" t="s">
        <v>7132</v>
      </c>
      <c r="G1358" s="8" t="s">
        <v>7165</v>
      </c>
      <c r="H1358" s="8" t="s">
        <v>7166</v>
      </c>
      <c r="I1358" s="8" t="str">
        <f>HYPERLINK("http://www.produzionecinture.com/","www.produzionecinture.com")</f>
        <v>www.produzionecinture.com</v>
      </c>
      <c r="J1358" s="10">
        <v>3767.2469999999998</v>
      </c>
      <c r="K1358" s="10">
        <v>3767.2469999999998</v>
      </c>
      <c r="L1358" s="10">
        <v>4469.3860000000004</v>
      </c>
      <c r="M1358" s="10">
        <v>38.295999999999999</v>
      </c>
      <c r="N1358" s="10">
        <v>38.295999999999999</v>
      </c>
      <c r="O1358" s="10">
        <v>440.12299999999999</v>
      </c>
      <c r="P1358" s="15" t="s">
        <v>7173</v>
      </c>
      <c r="Q1358" s="15" t="s">
        <v>7173</v>
      </c>
      <c r="R1358" s="10">
        <v>38</v>
      </c>
    </row>
    <row r="1359" spans="1:18" ht="17" customHeight="1" x14ac:dyDescent="0.15">
      <c r="A1359" s="11" t="s">
        <v>7210</v>
      </c>
      <c r="B1359" s="1" t="s">
        <v>7211</v>
      </c>
      <c r="C1359" s="11" t="s">
        <v>7212</v>
      </c>
      <c r="D1359" s="11" t="s">
        <v>7212</v>
      </c>
      <c r="E1359" s="11" t="s">
        <v>7213</v>
      </c>
      <c r="F1359" s="11" t="s">
        <v>7153</v>
      </c>
      <c r="G1359" s="11" t="s">
        <v>7154</v>
      </c>
      <c r="H1359" s="11" t="s">
        <v>7134</v>
      </c>
      <c r="I1359" s="11" t="str">
        <f>HYPERLINK("http://dinobigioni.com/","dinobigioni.com")</f>
        <v>dinobigioni.com</v>
      </c>
      <c r="J1359" s="12">
        <v>1807.886</v>
      </c>
      <c r="K1359" s="12">
        <v>1807.886</v>
      </c>
      <c r="L1359" s="13">
        <v>4460.7420000000002</v>
      </c>
      <c r="M1359" s="12">
        <v>7.81</v>
      </c>
      <c r="N1359" s="12">
        <v>7.81</v>
      </c>
      <c r="O1359" s="12">
        <v>50.325000000000003</v>
      </c>
      <c r="P1359" s="14" t="s">
        <v>7173</v>
      </c>
      <c r="Q1359" s="14" t="s">
        <v>7173</v>
      </c>
      <c r="R1359" s="12">
        <v>20</v>
      </c>
    </row>
    <row r="1360" spans="1:18" ht="17" customHeight="1" x14ac:dyDescent="0.15">
      <c r="A1360" s="8" t="s">
        <v>7214</v>
      </c>
      <c r="B1360" s="9" t="s">
        <v>7215</v>
      </c>
      <c r="C1360" s="8" t="s">
        <v>7216</v>
      </c>
      <c r="D1360" s="8" t="s">
        <v>7216</v>
      </c>
      <c r="E1360" s="8" t="s">
        <v>7217</v>
      </c>
      <c r="F1360" s="8" t="s">
        <v>7146</v>
      </c>
      <c r="G1360" s="8" t="s">
        <v>7218</v>
      </c>
      <c r="H1360" s="8" t="s">
        <v>7191</v>
      </c>
      <c r="I1360" s="8" t="str">
        <f>HYPERLINK("http://www.storyloris.it/","www.storyloris.it")</f>
        <v>www.storyloris.it</v>
      </c>
      <c r="J1360" s="10">
        <v>3546.4490000000001</v>
      </c>
      <c r="K1360" s="10">
        <v>3546.4490000000001</v>
      </c>
      <c r="L1360" s="10">
        <v>4459.1469999999999</v>
      </c>
      <c r="M1360" s="10">
        <v>30.076000000000001</v>
      </c>
      <c r="N1360" s="10">
        <v>30.076000000000001</v>
      </c>
      <c r="O1360" s="10">
        <v>98.643000000000001</v>
      </c>
      <c r="P1360" s="10">
        <v>41</v>
      </c>
      <c r="Q1360" s="10">
        <v>41</v>
      </c>
      <c r="R1360" s="10">
        <v>46</v>
      </c>
    </row>
    <row r="1361" spans="1:18" ht="55.75" customHeight="1" x14ac:dyDescent="0.15">
      <c r="A1361" s="11" t="s">
        <v>7219</v>
      </c>
      <c r="B1361" s="1" t="s">
        <v>7220</v>
      </c>
      <c r="C1361" s="11" t="s">
        <v>7221</v>
      </c>
      <c r="D1361" s="11" t="s">
        <v>7221</v>
      </c>
      <c r="E1361" s="11" t="s">
        <v>7222</v>
      </c>
      <c r="F1361" s="11" t="s">
        <v>7153</v>
      </c>
      <c r="G1361" s="11" t="s">
        <v>7133</v>
      </c>
      <c r="H1361" s="11" t="s">
        <v>7134</v>
      </c>
      <c r="I1361" s="11" t="str">
        <f>HYPERLINK("http://www.parisienneshoes.com/","www.parisienneshoes.com")</f>
        <v>www.parisienneshoes.com</v>
      </c>
      <c r="J1361" s="12">
        <v>6907.9549999999999</v>
      </c>
      <c r="K1361" s="12">
        <v>6907.9549999999999</v>
      </c>
      <c r="L1361" s="13">
        <v>4449.3980000000001</v>
      </c>
      <c r="M1361" s="12">
        <v>282.56099999999998</v>
      </c>
      <c r="N1361" s="12">
        <v>282.56099999999998</v>
      </c>
      <c r="O1361" s="12">
        <v>218.81299999999999</v>
      </c>
      <c r="P1361" s="12">
        <v>21</v>
      </c>
      <c r="Q1361" s="12">
        <v>21</v>
      </c>
      <c r="R1361" s="12">
        <v>23</v>
      </c>
    </row>
    <row r="1362" spans="1:18" ht="17" customHeight="1" x14ac:dyDescent="0.15">
      <c r="A1362" s="8" t="s">
        <v>7223</v>
      </c>
      <c r="B1362" s="9" t="s">
        <v>7224</v>
      </c>
      <c r="C1362" s="8" t="s">
        <v>7225</v>
      </c>
      <c r="D1362" s="8" t="s">
        <v>7225</v>
      </c>
      <c r="E1362" s="8" t="s">
        <v>7226</v>
      </c>
      <c r="F1362" s="8" t="s">
        <v>7201</v>
      </c>
      <c r="G1362" s="8" t="s">
        <v>7196</v>
      </c>
      <c r="H1362" s="8" t="s">
        <v>7148</v>
      </c>
      <c r="I1362" s="8" t="str">
        <f>HYPERLINK("http://www.biasiotto.it/","www.biasiotto.it")</f>
        <v>www.biasiotto.it</v>
      </c>
      <c r="J1362" s="10">
        <v>3885.3220000000001</v>
      </c>
      <c r="K1362" s="10">
        <v>3885.3220000000001</v>
      </c>
      <c r="L1362" s="10">
        <v>4447.6750000000002</v>
      </c>
      <c r="M1362" s="10">
        <v>2.573</v>
      </c>
      <c r="N1362" s="10">
        <v>2.573</v>
      </c>
      <c r="O1362" s="10">
        <v>42.4</v>
      </c>
      <c r="P1362" s="10">
        <v>20</v>
      </c>
      <c r="Q1362" s="10">
        <v>20</v>
      </c>
      <c r="R1362" s="10">
        <v>22</v>
      </c>
    </row>
    <row r="1363" spans="1:18" ht="29.5" customHeight="1" x14ac:dyDescent="0.15">
      <c r="A1363" s="11" t="s">
        <v>7227</v>
      </c>
      <c r="B1363" s="1" t="s">
        <v>7228</v>
      </c>
      <c r="C1363" s="11" t="s">
        <v>7229</v>
      </c>
      <c r="D1363" s="11" t="s">
        <v>7229</v>
      </c>
      <c r="E1363" s="11" t="s">
        <v>7230</v>
      </c>
      <c r="F1363" s="11" t="s">
        <v>7153</v>
      </c>
      <c r="G1363" s="11" t="s">
        <v>7231</v>
      </c>
      <c r="H1363" s="11" t="s">
        <v>7141</v>
      </c>
      <c r="I1363" s="11" t="str">
        <f>HYPERLINK("http://www.altramarea.it/","www.altramarea.it")</f>
        <v>www.altramarea.it</v>
      </c>
      <c r="J1363" s="12">
        <v>3395.482</v>
      </c>
      <c r="K1363" s="12">
        <v>3395.482</v>
      </c>
      <c r="L1363" s="13">
        <v>4445.7020000000002</v>
      </c>
      <c r="M1363" s="12">
        <v>58.595999999999997</v>
      </c>
      <c r="N1363" s="12">
        <v>58.595999999999997</v>
      </c>
      <c r="O1363" s="12">
        <v>90.686999999999998</v>
      </c>
      <c r="P1363" s="14" t="s">
        <v>7173</v>
      </c>
      <c r="Q1363" s="14" t="s">
        <v>7173</v>
      </c>
      <c r="R1363" s="12">
        <v>18</v>
      </c>
    </row>
    <row r="1364" spans="1:18" ht="29.5" customHeight="1" x14ac:dyDescent="0.15">
      <c r="A1364" s="8" t="s">
        <v>7232</v>
      </c>
      <c r="B1364" s="9" t="s">
        <v>7233</v>
      </c>
      <c r="C1364" s="8" t="s">
        <v>7234</v>
      </c>
      <c r="D1364" s="8" t="s">
        <v>7234</v>
      </c>
      <c r="E1364" s="8" t="s">
        <v>7235</v>
      </c>
      <c r="F1364" s="8" t="s">
        <v>7178</v>
      </c>
      <c r="G1364" s="8" t="s">
        <v>7236</v>
      </c>
      <c r="H1364" s="8" t="s">
        <v>7191</v>
      </c>
      <c r="I1364" s="8" t="str">
        <f>HYPERLINK("http://www.capobianco.org/","www.capobianco.org")</f>
        <v>www.capobianco.org</v>
      </c>
      <c r="J1364" s="10">
        <v>5462.99</v>
      </c>
      <c r="K1364" s="10">
        <v>5462.99</v>
      </c>
      <c r="L1364" s="10">
        <v>4442.2030000000004</v>
      </c>
      <c r="M1364" s="10">
        <v>407.97800000000001</v>
      </c>
      <c r="N1364" s="10">
        <v>407.97800000000001</v>
      </c>
      <c r="O1364" s="10">
        <v>273.89299999999997</v>
      </c>
      <c r="P1364" s="10">
        <v>14</v>
      </c>
      <c r="Q1364" s="10">
        <v>14</v>
      </c>
      <c r="R1364" s="10">
        <v>18</v>
      </c>
    </row>
    <row r="1365" spans="1:18" ht="17" customHeight="1" x14ac:dyDescent="0.15">
      <c r="A1365" s="11" t="s">
        <v>7237</v>
      </c>
      <c r="B1365" s="1" t="s">
        <v>7238</v>
      </c>
      <c r="C1365" s="11" t="s">
        <v>7239</v>
      </c>
      <c r="D1365" s="11" t="s">
        <v>7239</v>
      </c>
      <c r="E1365" s="11" t="s">
        <v>7240</v>
      </c>
      <c r="F1365" s="11" t="s">
        <v>7153</v>
      </c>
      <c r="G1365" s="11" t="s">
        <v>7159</v>
      </c>
      <c r="H1365" s="11" t="s">
        <v>7160</v>
      </c>
      <c r="I1365" s="11" t="str">
        <f>HYPERLINK("http://robertorubino.it/","robertorubino.it")</f>
        <v>robertorubino.it</v>
      </c>
      <c r="J1365" s="12">
        <v>3888.058</v>
      </c>
      <c r="K1365" s="12">
        <v>3888.058</v>
      </c>
      <c r="L1365" s="13">
        <v>4440.6809999999996</v>
      </c>
      <c r="M1365" s="12">
        <v>80.518000000000001</v>
      </c>
      <c r="N1365" s="12">
        <v>80.518000000000001</v>
      </c>
      <c r="O1365" s="12">
        <v>121.331</v>
      </c>
      <c r="P1365" s="12">
        <v>30</v>
      </c>
      <c r="Q1365" s="12">
        <v>30</v>
      </c>
      <c r="R1365" s="12">
        <v>34</v>
      </c>
    </row>
    <row r="1366" spans="1:18" ht="17" customHeight="1" x14ac:dyDescent="0.15">
      <c r="A1366" s="8" t="s">
        <v>7241</v>
      </c>
      <c r="B1366" s="9" t="s">
        <v>7242</v>
      </c>
      <c r="C1366" s="8" t="s">
        <v>7243</v>
      </c>
      <c r="D1366" s="8" t="s">
        <v>7243</v>
      </c>
      <c r="E1366" s="8" t="s">
        <v>7244</v>
      </c>
      <c r="F1366" s="8" t="s">
        <v>7245</v>
      </c>
      <c r="G1366" s="8" t="s">
        <v>7172</v>
      </c>
      <c r="H1366" s="8" t="s">
        <v>7166</v>
      </c>
      <c r="I1366" s="8" t="str">
        <f>HYPERLINK("http://www.la-maglia-srl.com/","www.la-maglia-srl.com")</f>
        <v>www.la-maglia-srl.com</v>
      </c>
      <c r="J1366" s="10">
        <v>4585.5450000000001</v>
      </c>
      <c r="K1366" s="10">
        <v>4585.5450000000001</v>
      </c>
      <c r="L1366" s="10">
        <v>4434.5320000000002</v>
      </c>
      <c r="M1366" s="10">
        <v>71.364999999999995</v>
      </c>
      <c r="N1366" s="10">
        <v>71.364999999999995</v>
      </c>
      <c r="O1366" s="10">
        <v>95.290999999999997</v>
      </c>
      <c r="P1366" s="10">
        <v>7</v>
      </c>
      <c r="Q1366" s="10">
        <v>7</v>
      </c>
      <c r="R1366" s="10">
        <v>7</v>
      </c>
    </row>
    <row r="1367" spans="1:18" ht="29.5" customHeight="1" x14ac:dyDescent="0.15">
      <c r="A1367" s="11" t="s">
        <v>7246</v>
      </c>
      <c r="B1367" s="1" t="s">
        <v>7247</v>
      </c>
      <c r="C1367" s="11" t="s">
        <v>7248</v>
      </c>
      <c r="D1367" s="11" t="s">
        <v>7248</v>
      </c>
      <c r="E1367" s="11" t="s">
        <v>7249</v>
      </c>
      <c r="F1367" s="11" t="s">
        <v>7201</v>
      </c>
      <c r="G1367" s="11" t="s">
        <v>7250</v>
      </c>
      <c r="H1367" s="11" t="s">
        <v>7166</v>
      </c>
      <c r="I1367" s="11" t="str">
        <f>HYPERLINK("http://www.calzaturificiobiquattro.it/","www.calzaturificiobiquattro.it")</f>
        <v>www.calzaturificiobiquattro.it</v>
      </c>
      <c r="J1367" s="12">
        <v>5797.8109999999997</v>
      </c>
      <c r="K1367" s="12">
        <v>5797.8109999999997</v>
      </c>
      <c r="L1367" s="13">
        <v>4432.2049999999999</v>
      </c>
      <c r="M1367" s="12">
        <v>7.5750000000000002</v>
      </c>
      <c r="N1367" s="12">
        <v>7.5750000000000002</v>
      </c>
      <c r="O1367" s="12">
        <v>9.8970000000000002</v>
      </c>
      <c r="P1367" s="12">
        <v>12</v>
      </c>
      <c r="Q1367" s="12">
        <v>12</v>
      </c>
      <c r="R1367" s="12">
        <v>13</v>
      </c>
    </row>
    <row r="1368" spans="1:18" ht="29.5" customHeight="1" x14ac:dyDescent="0.15">
      <c r="A1368" s="8" t="s">
        <v>7251</v>
      </c>
      <c r="B1368" s="9" t="s">
        <v>7252</v>
      </c>
      <c r="C1368" s="8" t="s">
        <v>7253</v>
      </c>
      <c r="D1368" s="8" t="s">
        <v>7254</v>
      </c>
      <c r="E1368" s="8" t="s">
        <v>7255</v>
      </c>
      <c r="F1368" s="8" t="s">
        <v>7153</v>
      </c>
      <c r="G1368" s="8" t="s">
        <v>7231</v>
      </c>
      <c r="H1368" s="8" t="s">
        <v>7141</v>
      </c>
      <c r="I1368" s="8" t="str">
        <f>HYPERLINK("http://www.easywalk.it/","www.easywalk.it")</f>
        <v>www.easywalk.it</v>
      </c>
      <c r="J1368" s="10">
        <v>4241.616</v>
      </c>
      <c r="K1368" s="10">
        <v>4241.616</v>
      </c>
      <c r="L1368" s="10">
        <v>4418.4530000000004</v>
      </c>
      <c r="M1368" s="10">
        <v>1.52</v>
      </c>
      <c r="N1368" s="10">
        <v>1.52</v>
      </c>
      <c r="O1368" s="10">
        <v>38.930999999999997</v>
      </c>
      <c r="P1368" s="10">
        <v>16</v>
      </c>
      <c r="Q1368" s="10">
        <v>16</v>
      </c>
      <c r="R1368" s="10">
        <v>21</v>
      </c>
    </row>
    <row r="1369" spans="1:18" ht="29.5" customHeight="1" x14ac:dyDescent="0.15">
      <c r="A1369" s="11" t="s">
        <v>7256</v>
      </c>
      <c r="B1369" s="1" t="s">
        <v>7257</v>
      </c>
      <c r="C1369" s="11" t="s">
        <v>7258</v>
      </c>
      <c r="D1369" s="11" t="s">
        <v>7258</v>
      </c>
      <c r="E1369" s="11" t="s">
        <v>7259</v>
      </c>
      <c r="F1369" s="11" t="s">
        <v>7201</v>
      </c>
      <c r="G1369" s="11" t="s">
        <v>7260</v>
      </c>
      <c r="H1369" s="11" t="s">
        <v>7191</v>
      </c>
      <c r="I1369" s="11" t="str">
        <f>HYPERLINK("http://www.metalo.it/","http://www.metalo.it")</f>
        <v>http://www.metalo.it</v>
      </c>
      <c r="J1369" s="12">
        <v>4178.4179999999997</v>
      </c>
      <c r="K1369" s="12">
        <v>4178.4179999999997</v>
      </c>
      <c r="L1369" s="13">
        <v>4416.5370000000003</v>
      </c>
      <c r="M1369" s="12">
        <v>119.911</v>
      </c>
      <c r="N1369" s="12">
        <v>119.911</v>
      </c>
      <c r="O1369" s="12">
        <v>464.27100000000002</v>
      </c>
      <c r="P1369" s="12">
        <v>30</v>
      </c>
      <c r="Q1369" s="12">
        <v>30</v>
      </c>
      <c r="R1369" s="12">
        <v>26</v>
      </c>
    </row>
    <row r="1370" spans="1:18" ht="17" customHeight="1" x14ac:dyDescent="0.15">
      <c r="A1370" s="8" t="s">
        <v>7261</v>
      </c>
      <c r="B1370" s="9" t="s">
        <v>7262</v>
      </c>
      <c r="C1370" s="8" t="s">
        <v>7263</v>
      </c>
      <c r="D1370" s="8" t="s">
        <v>7263</v>
      </c>
      <c r="E1370" s="8" t="s">
        <v>7264</v>
      </c>
      <c r="F1370" s="8" t="s">
        <v>7153</v>
      </c>
      <c r="G1370" s="8" t="s">
        <v>7147</v>
      </c>
      <c r="H1370" s="8" t="s">
        <v>7148</v>
      </c>
      <c r="I1370" s="8" t="str">
        <f>HYPERLINK("http://www.loren.it/","www.loren.it")</f>
        <v>www.loren.it</v>
      </c>
      <c r="J1370" s="10">
        <v>5200.6869999999999</v>
      </c>
      <c r="K1370" s="10">
        <v>5200.6869999999999</v>
      </c>
      <c r="L1370" s="10">
        <v>4410.8729999999996</v>
      </c>
      <c r="M1370" s="10">
        <v>345.483</v>
      </c>
      <c r="N1370" s="10">
        <v>345.483</v>
      </c>
      <c r="O1370" s="10">
        <v>164.107</v>
      </c>
      <c r="P1370" s="10">
        <v>16</v>
      </c>
      <c r="Q1370" s="10">
        <v>16</v>
      </c>
      <c r="R1370" s="10">
        <v>17</v>
      </c>
    </row>
    <row r="1371" spans="1:18" ht="17" customHeight="1" x14ac:dyDescent="0.15">
      <c r="A1371" s="11" t="s">
        <v>7265</v>
      </c>
      <c r="B1371" s="1" t="s">
        <v>7266</v>
      </c>
      <c r="C1371" s="11" t="s">
        <v>7267</v>
      </c>
      <c r="D1371" s="11" t="s">
        <v>7267</v>
      </c>
      <c r="E1371" s="11" t="s">
        <v>7268</v>
      </c>
      <c r="F1371" s="11" t="s">
        <v>7178</v>
      </c>
      <c r="G1371" s="11" t="s">
        <v>7172</v>
      </c>
      <c r="H1371" s="11" t="s">
        <v>7166</v>
      </c>
      <c r="I1371" s="11" t="str">
        <f>HYPERLINK("http://giabs.it/","giabs.it")</f>
        <v>giabs.it</v>
      </c>
      <c r="J1371" s="12">
        <v>6528.2439999999997</v>
      </c>
      <c r="K1371" s="12">
        <v>6528.2439999999997</v>
      </c>
      <c r="L1371" s="13">
        <v>4410.2150000000001</v>
      </c>
      <c r="M1371" s="12">
        <v>69.301000000000002</v>
      </c>
      <c r="N1371" s="12">
        <v>69.301000000000002</v>
      </c>
      <c r="O1371" s="12">
        <v>102.056</v>
      </c>
      <c r="P1371" s="14" t="s">
        <v>7173</v>
      </c>
      <c r="Q1371" s="14" t="s">
        <v>7173</v>
      </c>
      <c r="R1371" s="12">
        <v>13</v>
      </c>
    </row>
    <row r="1372" spans="1:18" ht="17" customHeight="1" x14ac:dyDescent="0.15">
      <c r="A1372" s="8" t="s">
        <v>7269</v>
      </c>
      <c r="B1372" s="9" t="s">
        <v>7270</v>
      </c>
      <c r="C1372" s="8" t="s">
        <v>7271</v>
      </c>
      <c r="D1372" s="8" t="s">
        <v>7271</v>
      </c>
      <c r="E1372" s="8" t="s">
        <v>7272</v>
      </c>
      <c r="F1372" s="8" t="s">
        <v>7139</v>
      </c>
      <c r="G1372" s="8" t="s">
        <v>7273</v>
      </c>
      <c r="H1372" s="8" t="s">
        <v>7274</v>
      </c>
      <c r="I1372" s="8" t="str">
        <f>HYPERLINK("http://www.trascon.it/","www.trascon.it")</f>
        <v>www.trascon.it</v>
      </c>
      <c r="J1372" s="10">
        <v>4825.0330000000004</v>
      </c>
      <c r="K1372" s="10">
        <v>4825.0330000000004</v>
      </c>
      <c r="L1372" s="10">
        <v>4405.9260000000004</v>
      </c>
      <c r="M1372" s="10">
        <v>652.79600000000005</v>
      </c>
      <c r="N1372" s="10">
        <v>652.79600000000005</v>
      </c>
      <c r="O1372" s="10">
        <v>175.899</v>
      </c>
      <c r="P1372" s="10">
        <v>64</v>
      </c>
      <c r="Q1372" s="10">
        <v>64</v>
      </c>
      <c r="R1372" s="10">
        <v>60</v>
      </c>
    </row>
    <row r="1373" spans="1:18" ht="17" customHeight="1" x14ac:dyDescent="0.15">
      <c r="A1373" s="11" t="s">
        <v>7275</v>
      </c>
      <c r="B1373" s="1" t="s">
        <v>7276</v>
      </c>
      <c r="C1373" s="11" t="s">
        <v>7277</v>
      </c>
      <c r="D1373" s="11" t="s">
        <v>7277</v>
      </c>
      <c r="E1373" s="11" t="s">
        <v>7278</v>
      </c>
      <c r="F1373" s="11" t="s">
        <v>7279</v>
      </c>
      <c r="G1373" s="11" t="s">
        <v>7280</v>
      </c>
      <c r="H1373" s="11" t="s">
        <v>7274</v>
      </c>
      <c r="I1373" s="11" t="str">
        <f>HYPERLINK("http://www.lanificiosubalpino.com/","www.lanificiosubalpino.com")</f>
        <v>www.lanificiosubalpino.com</v>
      </c>
      <c r="J1373" s="12">
        <v>5016.4979999999996</v>
      </c>
      <c r="K1373" s="12">
        <v>5016.4979999999996</v>
      </c>
      <c r="L1373" s="13">
        <v>4400.2129999999997</v>
      </c>
      <c r="M1373" s="12">
        <v>92.960999999999999</v>
      </c>
      <c r="N1373" s="12">
        <v>92.960999999999999</v>
      </c>
      <c r="O1373" s="12">
        <v>20.126999999999999</v>
      </c>
      <c r="P1373" s="12">
        <v>14</v>
      </c>
      <c r="Q1373" s="12">
        <v>14</v>
      </c>
      <c r="R1373" s="12">
        <v>15</v>
      </c>
    </row>
    <row r="1374" spans="1:18" ht="29.5" customHeight="1" x14ac:dyDescent="0.15">
      <c r="A1374" s="8" t="s">
        <v>7281</v>
      </c>
      <c r="B1374" s="9" t="s">
        <v>7282</v>
      </c>
      <c r="C1374" s="8" t="s">
        <v>7283</v>
      </c>
      <c r="D1374" s="8" t="s">
        <v>7283</v>
      </c>
      <c r="E1374" s="8" t="s">
        <v>7284</v>
      </c>
      <c r="F1374" s="8" t="s">
        <v>7183</v>
      </c>
      <c r="G1374" s="8" t="s">
        <v>7196</v>
      </c>
      <c r="H1374" s="8" t="s">
        <v>7148</v>
      </c>
      <c r="I1374" s="8" t="str">
        <f>HYPERLINK("http://www.babileather.it/","www.babileather.it")</f>
        <v>www.babileather.it</v>
      </c>
      <c r="J1374" s="10">
        <v>4083.6480000000001</v>
      </c>
      <c r="K1374" s="10">
        <v>4083.6480000000001</v>
      </c>
      <c r="L1374" s="10">
        <v>4396.6220000000003</v>
      </c>
      <c r="M1374" s="10">
        <v>23.914000000000001</v>
      </c>
      <c r="N1374" s="10">
        <v>23.914000000000001</v>
      </c>
      <c r="O1374" s="10">
        <v>51.889000000000003</v>
      </c>
      <c r="P1374" s="10">
        <v>8</v>
      </c>
      <c r="Q1374" s="10">
        <v>8</v>
      </c>
      <c r="R1374" s="10">
        <v>14</v>
      </c>
    </row>
    <row r="1375" spans="1:18" ht="17" customHeight="1" x14ac:dyDescent="0.15">
      <c r="A1375" s="11" t="s">
        <v>7285</v>
      </c>
      <c r="B1375" s="1" t="s">
        <v>7286</v>
      </c>
      <c r="C1375" s="11" t="s">
        <v>7287</v>
      </c>
      <c r="D1375" s="11" t="s">
        <v>7287</v>
      </c>
      <c r="E1375" s="11" t="s">
        <v>7288</v>
      </c>
      <c r="F1375" s="11" t="s">
        <v>7289</v>
      </c>
      <c r="G1375" s="11" t="s">
        <v>7290</v>
      </c>
      <c r="H1375" s="11" t="s">
        <v>7291</v>
      </c>
      <c r="I1375" s="11" t="str">
        <f>HYPERLINK("http://www.march.it/","www.march.it")</f>
        <v>www.march.it</v>
      </c>
      <c r="J1375" s="12">
        <v>3491.6280000000002</v>
      </c>
      <c r="K1375" s="12">
        <v>3491.6280000000002</v>
      </c>
      <c r="L1375" s="13">
        <v>4395.6149999999998</v>
      </c>
      <c r="M1375" s="12">
        <v>219.048</v>
      </c>
      <c r="N1375" s="12">
        <v>219.048</v>
      </c>
      <c r="O1375" s="12">
        <v>586.17499999999995</v>
      </c>
      <c r="P1375" s="12">
        <v>31</v>
      </c>
      <c r="Q1375" s="12">
        <v>31</v>
      </c>
      <c r="R1375" s="12">
        <v>29</v>
      </c>
    </row>
    <row r="1376" spans="1:18" ht="17" customHeight="1" x14ac:dyDescent="0.15">
      <c r="A1376" s="8" t="s">
        <v>7292</v>
      </c>
      <c r="B1376" s="9" t="s">
        <v>7293</v>
      </c>
      <c r="C1376" s="8" t="s">
        <v>7294</v>
      </c>
      <c r="D1376" s="8" t="s">
        <v>7294</v>
      </c>
      <c r="E1376" s="8" t="s">
        <v>7295</v>
      </c>
      <c r="F1376" s="8" t="s">
        <v>7139</v>
      </c>
      <c r="G1376" s="8" t="s">
        <v>7296</v>
      </c>
      <c r="H1376" s="8" t="s">
        <v>7297</v>
      </c>
      <c r="I1376" s="8" t="str">
        <f>HYPERLINK("http://www.sathia.com/","www.sathia.com")</f>
        <v>www.sathia.com</v>
      </c>
      <c r="J1376" s="10">
        <v>4956.8760000000002</v>
      </c>
      <c r="K1376" s="10">
        <v>4956.8760000000002</v>
      </c>
      <c r="L1376" s="10">
        <v>4394.6030000000001</v>
      </c>
      <c r="M1376" s="10">
        <v>-163.506</v>
      </c>
      <c r="N1376" s="10">
        <v>-163.506</v>
      </c>
      <c r="O1376" s="10">
        <v>2.637</v>
      </c>
      <c r="P1376" s="10">
        <v>13</v>
      </c>
      <c r="Q1376" s="10">
        <v>13</v>
      </c>
      <c r="R1376" s="10">
        <v>15</v>
      </c>
    </row>
    <row r="1377" spans="1:18" ht="29.5" customHeight="1" x14ac:dyDescent="0.15">
      <c r="A1377" s="11" t="s">
        <v>7298</v>
      </c>
      <c r="B1377" s="1" t="s">
        <v>7299</v>
      </c>
      <c r="C1377" s="11" t="s">
        <v>7300</v>
      </c>
      <c r="D1377" s="11" t="s">
        <v>7300</v>
      </c>
      <c r="E1377" s="11" t="s">
        <v>7301</v>
      </c>
      <c r="F1377" s="11" t="s">
        <v>7302</v>
      </c>
      <c r="G1377" s="11" t="s">
        <v>7303</v>
      </c>
      <c r="H1377" s="11" t="s">
        <v>7304</v>
      </c>
      <c r="I1377" s="11" t="str">
        <f>HYPERLINK("http://www.tlisrl.it/","www.tlisrl.it")</f>
        <v>www.tlisrl.it</v>
      </c>
      <c r="J1377" s="12">
        <v>5868.5450000000001</v>
      </c>
      <c r="K1377" s="12">
        <v>5868.5450000000001</v>
      </c>
      <c r="L1377" s="13">
        <v>4370.4359999999997</v>
      </c>
      <c r="M1377" s="12">
        <v>390.71199999999999</v>
      </c>
      <c r="N1377" s="12">
        <v>390.71199999999999</v>
      </c>
      <c r="O1377" s="12">
        <v>19.545000000000002</v>
      </c>
      <c r="P1377" s="12">
        <v>33</v>
      </c>
      <c r="Q1377" s="12">
        <v>33</v>
      </c>
      <c r="R1377" s="12">
        <v>35</v>
      </c>
    </row>
    <row r="1378" spans="1:18" ht="17" customHeight="1" x14ac:dyDescent="0.15">
      <c r="A1378" s="8" t="s">
        <v>7305</v>
      </c>
      <c r="B1378" s="9" t="s">
        <v>7306</v>
      </c>
      <c r="C1378" s="8" t="s">
        <v>7307</v>
      </c>
      <c r="D1378" s="8" t="s">
        <v>7307</v>
      </c>
      <c r="E1378" s="8" t="s">
        <v>7308</v>
      </c>
      <c r="F1378" s="8" t="s">
        <v>7302</v>
      </c>
      <c r="G1378" s="8" t="s">
        <v>7309</v>
      </c>
      <c r="H1378" s="8" t="s">
        <v>7310</v>
      </c>
      <c r="I1378" s="8" t="str">
        <f>HYPERLINK("http://www.creativitysrl.it/","www.creativitysrl.it")</f>
        <v>www.creativitysrl.it</v>
      </c>
      <c r="J1378" s="10">
        <v>1554.365</v>
      </c>
      <c r="K1378" s="10">
        <v>1554.365</v>
      </c>
      <c r="L1378" s="10">
        <v>4370.0200000000004</v>
      </c>
      <c r="M1378" s="10">
        <v>-586.49400000000003</v>
      </c>
      <c r="N1378" s="10">
        <v>-586.49400000000003</v>
      </c>
      <c r="O1378" s="10">
        <v>31.239000000000001</v>
      </c>
      <c r="P1378" s="10">
        <v>65</v>
      </c>
      <c r="Q1378" s="10">
        <v>65</v>
      </c>
      <c r="R1378" s="10">
        <v>97</v>
      </c>
    </row>
    <row r="1379" spans="1:18" ht="17" customHeight="1" x14ac:dyDescent="0.15">
      <c r="A1379" s="11" t="s">
        <v>7311</v>
      </c>
      <c r="B1379" s="1" t="s">
        <v>7312</v>
      </c>
      <c r="C1379" s="11" t="s">
        <v>7313</v>
      </c>
      <c r="D1379" s="11" t="s">
        <v>7313</v>
      </c>
      <c r="E1379" s="11" t="s">
        <v>7314</v>
      </c>
      <c r="F1379" s="11" t="s">
        <v>7315</v>
      </c>
      <c r="G1379" s="11" t="s">
        <v>7316</v>
      </c>
      <c r="H1379" s="11" t="s">
        <v>7317</v>
      </c>
      <c r="I1379" s="11" t="str">
        <f>HYPERLINK("http://www.j-6.it/","www.j-6.it")</f>
        <v>www.j-6.it</v>
      </c>
      <c r="J1379" s="12">
        <v>3823.8440000000001</v>
      </c>
      <c r="K1379" s="12">
        <v>3823.8440000000001</v>
      </c>
      <c r="L1379" s="13">
        <v>4367.6189999999997</v>
      </c>
      <c r="M1379" s="12">
        <v>103.40300000000001</v>
      </c>
      <c r="N1379" s="12">
        <v>103.40300000000001</v>
      </c>
      <c r="O1379" s="12">
        <v>137.40600000000001</v>
      </c>
      <c r="P1379" s="12">
        <v>32</v>
      </c>
      <c r="Q1379" s="12">
        <v>32</v>
      </c>
      <c r="R1379" s="12">
        <v>34</v>
      </c>
    </row>
    <row r="1380" spans="1:18" ht="17" customHeight="1" x14ac:dyDescent="0.15">
      <c r="A1380" s="8" t="s">
        <v>7318</v>
      </c>
      <c r="B1380" s="9" t="s">
        <v>7319</v>
      </c>
      <c r="C1380" s="8" t="s">
        <v>7320</v>
      </c>
      <c r="D1380" s="8" t="s">
        <v>7320</v>
      </c>
      <c r="E1380" s="8" t="s">
        <v>7321</v>
      </c>
      <c r="F1380" s="8" t="s">
        <v>7322</v>
      </c>
      <c r="G1380" s="8" t="s">
        <v>7323</v>
      </c>
      <c r="H1380" s="8" t="s">
        <v>7310</v>
      </c>
      <c r="I1380" s="8" t="str">
        <f>HYPERLINK("http://www.brmgroup.it/","www.brmgroup.it")</f>
        <v>www.brmgroup.it</v>
      </c>
      <c r="J1380" s="10">
        <v>3235.7550000000001</v>
      </c>
      <c r="K1380" s="10">
        <v>3235.7550000000001</v>
      </c>
      <c r="L1380" s="10">
        <v>4365.7129999999997</v>
      </c>
      <c r="M1380" s="10">
        <v>595.49599999999998</v>
      </c>
      <c r="N1380" s="10">
        <v>595.49599999999998</v>
      </c>
      <c r="O1380" s="10">
        <v>734.68299999999999</v>
      </c>
      <c r="P1380" s="15" t="s">
        <v>7324</v>
      </c>
      <c r="Q1380" s="15" t="s">
        <v>7324</v>
      </c>
      <c r="R1380" s="10">
        <v>14</v>
      </c>
    </row>
    <row r="1381" spans="1:18" ht="17" customHeight="1" x14ac:dyDescent="0.15">
      <c r="A1381" s="11" t="s">
        <v>7325</v>
      </c>
      <c r="B1381" s="1" t="s">
        <v>7326</v>
      </c>
      <c r="C1381" s="11" t="s">
        <v>7327</v>
      </c>
      <c r="D1381" s="11" t="s">
        <v>7327</v>
      </c>
      <c r="E1381" s="11" t="s">
        <v>7328</v>
      </c>
      <c r="F1381" s="11" t="s">
        <v>7329</v>
      </c>
      <c r="G1381" s="11" t="s">
        <v>7330</v>
      </c>
      <c r="H1381" s="11" t="s">
        <v>7331</v>
      </c>
      <c r="I1381" s="11" t="str">
        <f>HYPERLINK("http://italian-sweater-woman.com/","italian-sweater-woman.com")</f>
        <v>italian-sweater-woman.com</v>
      </c>
      <c r="J1381" s="12">
        <v>2901.8919999999998</v>
      </c>
      <c r="K1381" s="12">
        <v>2901.8919999999998</v>
      </c>
      <c r="L1381" s="13">
        <v>4365.7340000000004</v>
      </c>
      <c r="M1381" s="12">
        <v>18.646999999999998</v>
      </c>
      <c r="N1381" s="12">
        <v>18.646999999999998</v>
      </c>
      <c r="O1381" s="12">
        <v>60.387999999999998</v>
      </c>
      <c r="P1381" s="12">
        <v>11</v>
      </c>
      <c r="Q1381" s="12">
        <v>11</v>
      </c>
      <c r="R1381" s="12">
        <v>12</v>
      </c>
    </row>
    <row r="1382" spans="1:18" ht="17" customHeight="1" x14ac:dyDescent="0.15">
      <c r="A1382" s="8" t="s">
        <v>7332</v>
      </c>
      <c r="B1382" s="9" t="s">
        <v>7333</v>
      </c>
      <c r="C1382" s="8" t="s">
        <v>7334</v>
      </c>
      <c r="D1382" s="8" t="s">
        <v>7334</v>
      </c>
      <c r="E1382" s="8" t="s">
        <v>7335</v>
      </c>
      <c r="F1382" s="8" t="s">
        <v>7336</v>
      </c>
      <c r="G1382" s="8" t="s">
        <v>7337</v>
      </c>
      <c r="H1382" s="8" t="s">
        <v>7338</v>
      </c>
      <c r="I1382" s="8" t="str">
        <f>HYPERLINK("http://www.blupell.it/","www.blupell.it")</f>
        <v>www.blupell.it</v>
      </c>
      <c r="J1382" s="10">
        <v>4103.7629999999999</v>
      </c>
      <c r="K1382" s="10">
        <v>4103.7629999999999</v>
      </c>
      <c r="L1382" s="10">
        <v>4359.2079999999996</v>
      </c>
      <c r="M1382" s="10">
        <v>39.174999999999997</v>
      </c>
      <c r="N1382" s="10">
        <v>39.174999999999997</v>
      </c>
      <c r="O1382" s="10">
        <v>49.612000000000002</v>
      </c>
      <c r="P1382" s="15" t="s">
        <v>7324</v>
      </c>
      <c r="Q1382" s="15" t="s">
        <v>7324</v>
      </c>
      <c r="R1382" s="10">
        <v>10</v>
      </c>
    </row>
    <row r="1383" spans="1:18" ht="17" customHeight="1" x14ac:dyDescent="0.15">
      <c r="A1383" s="11" t="s">
        <v>7339</v>
      </c>
      <c r="B1383" s="1" t="s">
        <v>7340</v>
      </c>
      <c r="C1383" s="11" t="s">
        <v>7341</v>
      </c>
      <c r="D1383" s="11" t="s">
        <v>7342</v>
      </c>
      <c r="E1383" s="11" t="s">
        <v>7343</v>
      </c>
      <c r="F1383" s="11" t="s">
        <v>7329</v>
      </c>
      <c r="G1383" s="11" t="s">
        <v>7344</v>
      </c>
      <c r="H1383" s="11" t="s">
        <v>7310</v>
      </c>
      <c r="I1383" s="11" t="str">
        <f>HYPERLINK("http://fibretex.eu/","fibretex.eu")</f>
        <v>fibretex.eu</v>
      </c>
      <c r="J1383" s="12">
        <v>4123.0010000000002</v>
      </c>
      <c r="K1383" s="12">
        <v>4123.0010000000002</v>
      </c>
      <c r="L1383" s="13">
        <v>4358.7169999999996</v>
      </c>
      <c r="M1383" s="12">
        <v>4.9400000000000004</v>
      </c>
      <c r="N1383" s="12">
        <v>4.9400000000000004</v>
      </c>
      <c r="O1383" s="12">
        <v>51.502000000000002</v>
      </c>
      <c r="P1383" s="14" t="s">
        <v>7324</v>
      </c>
      <c r="Q1383" s="14" t="s">
        <v>7324</v>
      </c>
      <c r="R1383" s="12">
        <v>14</v>
      </c>
    </row>
    <row r="1384" spans="1:18" ht="17" customHeight="1" x14ac:dyDescent="0.15">
      <c r="A1384" s="8" t="s">
        <v>7345</v>
      </c>
      <c r="B1384" s="9" t="s">
        <v>7346</v>
      </c>
      <c r="C1384" s="8" t="s">
        <v>7347</v>
      </c>
      <c r="D1384" s="8" t="s">
        <v>7347</v>
      </c>
      <c r="E1384" s="8" t="s">
        <v>7348</v>
      </c>
      <c r="F1384" s="8" t="s">
        <v>7349</v>
      </c>
      <c r="G1384" s="8" t="s">
        <v>7309</v>
      </c>
      <c r="H1384" s="8" t="s">
        <v>7310</v>
      </c>
      <c r="I1384" s="8" t="str">
        <f>HYPERLINK("http://fratelliborgioli.com/","fratelliborgioli.com")</f>
        <v>fratelliborgioli.com</v>
      </c>
      <c r="J1384" s="10">
        <v>6220.3519999999999</v>
      </c>
      <c r="K1384" s="10">
        <v>6220.3519999999999</v>
      </c>
      <c r="L1384" s="10">
        <v>4357.8950000000004</v>
      </c>
      <c r="M1384" s="10">
        <v>-8.9909999999999997</v>
      </c>
      <c r="N1384" s="10">
        <v>-8.9909999999999997</v>
      </c>
      <c r="O1384" s="10">
        <v>-3.9729999999999999</v>
      </c>
      <c r="P1384" s="10">
        <v>45</v>
      </c>
      <c r="Q1384" s="10">
        <v>45</v>
      </c>
      <c r="R1384" s="10">
        <v>43</v>
      </c>
    </row>
    <row r="1385" spans="1:18" ht="17" customHeight="1" x14ac:dyDescent="0.15">
      <c r="A1385" s="11" t="s">
        <v>7350</v>
      </c>
      <c r="B1385" s="1" t="s">
        <v>7351</v>
      </c>
      <c r="C1385" s="11" t="s">
        <v>7352</v>
      </c>
      <c r="D1385" s="11" t="s">
        <v>7352</v>
      </c>
      <c r="E1385" s="11" t="s">
        <v>7353</v>
      </c>
      <c r="F1385" s="11" t="s">
        <v>7354</v>
      </c>
      <c r="G1385" s="11" t="s">
        <v>7355</v>
      </c>
      <c r="H1385" s="11" t="s">
        <v>7338</v>
      </c>
      <c r="I1385" s="11" t="str">
        <f>HYPERLINK("http://www.annaritafashion.com/","www.annaritafashion.com")</f>
        <v>www.annaritafashion.com</v>
      </c>
      <c r="J1385" s="12">
        <v>4809.598</v>
      </c>
      <c r="K1385" s="12">
        <v>4809.598</v>
      </c>
      <c r="L1385" s="13">
        <v>4354.0969999999998</v>
      </c>
      <c r="M1385" s="12">
        <v>402.11099999999999</v>
      </c>
      <c r="N1385" s="12">
        <v>402.11099999999999</v>
      </c>
      <c r="O1385" s="12">
        <v>52.186</v>
      </c>
      <c r="P1385" s="12">
        <v>9</v>
      </c>
      <c r="Q1385" s="12">
        <v>9</v>
      </c>
      <c r="R1385" s="12">
        <v>9</v>
      </c>
    </row>
    <row r="1386" spans="1:18" ht="29.5" customHeight="1" x14ac:dyDescent="0.15">
      <c r="A1386" s="8" t="s">
        <v>7356</v>
      </c>
      <c r="B1386" s="9" t="s">
        <v>7357</v>
      </c>
      <c r="C1386" s="8" t="s">
        <v>7358</v>
      </c>
      <c r="D1386" s="8" t="s">
        <v>7358</v>
      </c>
      <c r="E1386" s="8" t="s">
        <v>7359</v>
      </c>
      <c r="F1386" s="8" t="s">
        <v>7349</v>
      </c>
      <c r="G1386" s="8" t="s">
        <v>7323</v>
      </c>
      <c r="H1386" s="8" t="s">
        <v>7310</v>
      </c>
      <c r="I1386" s="8" t="str">
        <f>HYPERLINK("http://www.danilobonfanti.it/","www.danilobonfanti.it")</f>
        <v>www.danilobonfanti.it</v>
      </c>
      <c r="J1386" s="10">
        <v>3346.4119999999998</v>
      </c>
      <c r="K1386" s="10">
        <v>3346.4119999999998</v>
      </c>
      <c r="L1386" s="10">
        <v>4352.29</v>
      </c>
      <c r="M1386" s="10">
        <v>8.1859999999999999</v>
      </c>
      <c r="N1386" s="10">
        <v>8.1859999999999999</v>
      </c>
      <c r="O1386" s="10">
        <v>7.5940000000000003</v>
      </c>
      <c r="P1386" s="15" t="s">
        <v>7324</v>
      </c>
      <c r="Q1386" s="15" t="s">
        <v>7324</v>
      </c>
      <c r="R1386" s="10">
        <v>27</v>
      </c>
    </row>
    <row r="1387" spans="1:18" ht="17" customHeight="1" x14ac:dyDescent="0.15">
      <c r="A1387" s="11" t="s">
        <v>7360</v>
      </c>
      <c r="B1387" s="1" t="s">
        <v>7361</v>
      </c>
      <c r="C1387" s="11" t="s">
        <v>7362</v>
      </c>
      <c r="D1387" s="11" t="s">
        <v>7362</v>
      </c>
      <c r="E1387" s="11" t="s">
        <v>7363</v>
      </c>
      <c r="F1387" s="11" t="s">
        <v>7336</v>
      </c>
      <c r="G1387" s="11" t="s">
        <v>7337</v>
      </c>
      <c r="H1387" s="11" t="s">
        <v>7338</v>
      </c>
      <c r="I1387" s="11" t="str">
        <f>HYPERLINK("http://conceriaquadrifoglio.it/","conceriaquadrifoglio.it")</f>
        <v>conceriaquadrifoglio.it</v>
      </c>
      <c r="J1387" s="12">
        <v>5298.4110000000001</v>
      </c>
      <c r="K1387" s="12">
        <v>5298.4110000000001</v>
      </c>
      <c r="L1387" s="13">
        <v>4346.9769999999999</v>
      </c>
      <c r="M1387" s="12">
        <v>191.958</v>
      </c>
      <c r="N1387" s="12">
        <v>191.958</v>
      </c>
      <c r="O1387" s="12">
        <v>167.11099999999999</v>
      </c>
      <c r="P1387" s="14" t="s">
        <v>7324</v>
      </c>
      <c r="Q1387" s="14" t="s">
        <v>7324</v>
      </c>
      <c r="R1387" s="12">
        <v>5</v>
      </c>
    </row>
    <row r="1388" spans="1:18" ht="17" customHeight="1" x14ac:dyDescent="0.15">
      <c r="A1388" s="8" t="s">
        <v>7364</v>
      </c>
      <c r="B1388" s="9" t="s">
        <v>7365</v>
      </c>
      <c r="C1388" s="8" t="s">
        <v>7366</v>
      </c>
      <c r="D1388" s="8" t="s">
        <v>7366</v>
      </c>
      <c r="E1388" s="8" t="s">
        <v>7367</v>
      </c>
      <c r="F1388" s="8" t="s">
        <v>7315</v>
      </c>
      <c r="G1388" s="8" t="s">
        <v>7368</v>
      </c>
      <c r="H1388" s="8" t="s">
        <v>7369</v>
      </c>
      <c r="I1388" s="8" t="str">
        <f>HYPERLINK("http://www.rodrigo.it/","www.rodrigo.it")</f>
        <v>www.rodrigo.it</v>
      </c>
      <c r="J1388" s="10">
        <v>4388.4870000000001</v>
      </c>
      <c r="K1388" s="10">
        <v>4388.4870000000001</v>
      </c>
      <c r="L1388" s="10">
        <v>4341.6509999999998</v>
      </c>
      <c r="M1388" s="10">
        <v>12.816000000000001</v>
      </c>
      <c r="N1388" s="10">
        <v>12.816000000000001</v>
      </c>
      <c r="O1388" s="10">
        <v>-12.336</v>
      </c>
      <c r="P1388" s="10">
        <v>28</v>
      </c>
      <c r="Q1388" s="10">
        <v>28</v>
      </c>
      <c r="R1388" s="10">
        <v>34</v>
      </c>
    </row>
    <row r="1389" spans="1:18" ht="29.5" customHeight="1" x14ac:dyDescent="0.15">
      <c r="A1389" s="11" t="s">
        <v>7370</v>
      </c>
      <c r="B1389" s="1" t="s">
        <v>7371</v>
      </c>
      <c r="C1389" s="11" t="s">
        <v>7372</v>
      </c>
      <c r="D1389" s="11" t="s">
        <v>7372</v>
      </c>
      <c r="E1389" s="11" t="s">
        <v>7373</v>
      </c>
      <c r="F1389" s="11" t="s">
        <v>7374</v>
      </c>
      <c r="G1389" s="11" t="s">
        <v>7375</v>
      </c>
      <c r="H1389" s="11" t="s">
        <v>7376</v>
      </c>
      <c r="I1389" s="11" t="str">
        <f>HYPERLINK("http://www.orestecolella.it/","www.orestecolella.it")</f>
        <v>www.orestecolella.it</v>
      </c>
      <c r="J1389" s="12">
        <v>5774.0309999999999</v>
      </c>
      <c r="K1389" s="12">
        <v>5774.0309999999999</v>
      </c>
      <c r="L1389" s="13">
        <v>4340.3890000000001</v>
      </c>
      <c r="M1389" s="12">
        <v>321.733</v>
      </c>
      <c r="N1389" s="12">
        <v>321.733</v>
      </c>
      <c r="O1389" s="12">
        <v>177.952</v>
      </c>
      <c r="P1389" s="12">
        <v>9</v>
      </c>
      <c r="Q1389" s="12">
        <v>9</v>
      </c>
      <c r="R1389" s="12">
        <v>8</v>
      </c>
    </row>
    <row r="1390" spans="1:18" ht="17" customHeight="1" x14ac:dyDescent="0.15">
      <c r="A1390" s="8" t="s">
        <v>7377</v>
      </c>
      <c r="B1390" s="9" t="s">
        <v>7378</v>
      </c>
      <c r="C1390" s="8" t="s">
        <v>7379</v>
      </c>
      <c r="D1390" s="8" t="s">
        <v>7379</v>
      </c>
      <c r="E1390" s="8" t="s">
        <v>7380</v>
      </c>
      <c r="F1390" s="8" t="s">
        <v>7381</v>
      </c>
      <c r="G1390" s="8" t="s">
        <v>7316</v>
      </c>
      <c r="H1390" s="8" t="s">
        <v>7317</v>
      </c>
      <c r="I1390" s="8" t="str">
        <f>HYPERLINK("http://www.tradigo.it/","www.tradigo.it")</f>
        <v>www.tradigo.it</v>
      </c>
      <c r="J1390" s="10">
        <v>4290.4380000000001</v>
      </c>
      <c r="K1390" s="10">
        <v>4290.4380000000001</v>
      </c>
      <c r="L1390" s="10">
        <v>4336.8459999999995</v>
      </c>
      <c r="M1390" s="10">
        <v>47.316000000000003</v>
      </c>
      <c r="N1390" s="10">
        <v>47.316000000000003</v>
      </c>
      <c r="O1390" s="10">
        <v>91.057000000000002</v>
      </c>
      <c r="P1390" s="10">
        <v>14</v>
      </c>
      <c r="Q1390" s="10">
        <v>14</v>
      </c>
      <c r="R1390" s="10">
        <v>14</v>
      </c>
    </row>
    <row r="1391" spans="1:18" ht="17" customHeight="1" x14ac:dyDescent="0.15">
      <c r="A1391" s="11" t="s">
        <v>7382</v>
      </c>
      <c r="B1391" s="1" t="s">
        <v>7383</v>
      </c>
      <c r="C1391" s="11" t="s">
        <v>7384</v>
      </c>
      <c r="D1391" s="11" t="s">
        <v>7384</v>
      </c>
      <c r="E1391" s="11" t="s">
        <v>7385</v>
      </c>
      <c r="F1391" s="11" t="s">
        <v>7336</v>
      </c>
      <c r="G1391" s="11" t="s">
        <v>7323</v>
      </c>
      <c r="H1391" s="11" t="s">
        <v>7310</v>
      </c>
      <c r="I1391" s="11" t="str">
        <f>HYPERLINK("http://www.conceriamaryam.it/","www.conceriamaryam.it")</f>
        <v>www.conceriamaryam.it</v>
      </c>
      <c r="J1391" s="12">
        <v>4254.0690000000004</v>
      </c>
      <c r="K1391" s="12">
        <v>4254.0690000000004</v>
      </c>
      <c r="L1391" s="13">
        <v>4336.183</v>
      </c>
      <c r="M1391" s="12">
        <v>52.573999999999998</v>
      </c>
      <c r="N1391" s="12">
        <v>52.573999999999998</v>
      </c>
      <c r="O1391" s="12">
        <v>341.28399999999999</v>
      </c>
      <c r="P1391" s="12">
        <v>10</v>
      </c>
      <c r="Q1391" s="12">
        <v>10</v>
      </c>
      <c r="R1391" s="12">
        <v>9</v>
      </c>
    </row>
    <row r="1392" spans="1:18" ht="17" customHeight="1" x14ac:dyDescent="0.15">
      <c r="A1392" s="8" t="s">
        <v>7386</v>
      </c>
      <c r="B1392" s="9" t="s">
        <v>7387</v>
      </c>
      <c r="C1392" s="8" t="s">
        <v>7388</v>
      </c>
      <c r="D1392" s="8" t="s">
        <v>7388</v>
      </c>
      <c r="E1392" s="8" t="s">
        <v>7389</v>
      </c>
      <c r="F1392" s="8" t="s">
        <v>7381</v>
      </c>
      <c r="G1392" s="8" t="s">
        <v>7390</v>
      </c>
      <c r="H1392" s="8" t="s">
        <v>7391</v>
      </c>
      <c r="I1392" s="8" t="str">
        <f>HYPERLINK("http://www.repo-srl.com/","www.repo-srl.com")</f>
        <v>www.repo-srl.com</v>
      </c>
      <c r="J1392" s="10">
        <v>5124.6620000000003</v>
      </c>
      <c r="K1392" s="10">
        <v>5124.6620000000003</v>
      </c>
      <c r="L1392" s="10">
        <v>4334.4040000000005</v>
      </c>
      <c r="M1392" s="10">
        <v>38.253999999999998</v>
      </c>
      <c r="N1392" s="10">
        <v>38.253999999999998</v>
      </c>
      <c r="O1392" s="10">
        <v>44.460999999999999</v>
      </c>
      <c r="P1392" s="15" t="s">
        <v>7324</v>
      </c>
      <c r="Q1392" s="15" t="s">
        <v>7324</v>
      </c>
      <c r="R1392" s="10">
        <v>13</v>
      </c>
    </row>
    <row r="1393" spans="1:18" ht="17" customHeight="1" x14ac:dyDescent="0.15">
      <c r="A1393" s="11" t="s">
        <v>7392</v>
      </c>
      <c r="B1393" s="1" t="s">
        <v>7393</v>
      </c>
      <c r="C1393" s="11" t="s">
        <v>7394</v>
      </c>
      <c r="D1393" s="11" t="s">
        <v>7394</v>
      </c>
      <c r="E1393" s="11" t="s">
        <v>7395</v>
      </c>
      <c r="F1393" s="11" t="s">
        <v>7315</v>
      </c>
      <c r="G1393" s="11" t="s">
        <v>7396</v>
      </c>
      <c r="H1393" s="11" t="s">
        <v>7317</v>
      </c>
      <c r="I1393" s="11" t="str">
        <f>HYPERLINK("http://tcs.it/","tcs.it")</f>
        <v>tcs.it</v>
      </c>
      <c r="J1393" s="12">
        <v>4870.5789999999997</v>
      </c>
      <c r="K1393" s="12">
        <v>4870.5789999999997</v>
      </c>
      <c r="L1393" s="13">
        <v>4329.0069999999996</v>
      </c>
      <c r="M1393" s="12">
        <v>188.99799999999999</v>
      </c>
      <c r="N1393" s="12">
        <v>188.99799999999999</v>
      </c>
      <c r="O1393" s="12">
        <v>-62.911999999999999</v>
      </c>
      <c r="P1393" s="12">
        <v>18</v>
      </c>
      <c r="Q1393" s="12">
        <v>18</v>
      </c>
      <c r="R1393" s="12">
        <v>17</v>
      </c>
    </row>
    <row r="1394" spans="1:18" ht="43" customHeight="1" x14ac:dyDescent="0.15">
      <c r="A1394" s="8" t="s">
        <v>7397</v>
      </c>
      <c r="B1394" s="9" t="s">
        <v>7398</v>
      </c>
      <c r="C1394" s="8" t="s">
        <v>7399</v>
      </c>
      <c r="D1394" s="8" t="s">
        <v>7399</v>
      </c>
      <c r="E1394" s="8" t="s">
        <v>7400</v>
      </c>
      <c r="F1394" s="8" t="s">
        <v>7302</v>
      </c>
      <c r="G1394" s="8" t="s">
        <v>7316</v>
      </c>
      <c r="H1394" s="8" t="s">
        <v>7317</v>
      </c>
      <c r="I1394" s="8" t="str">
        <f>HYPERLINK("http://it.fpm.it/","it.fpm.it")</f>
        <v>it.fpm.it</v>
      </c>
      <c r="J1394" s="10">
        <v>7829.3580000000002</v>
      </c>
      <c r="K1394" s="10">
        <v>7829.3580000000002</v>
      </c>
      <c r="L1394" s="10">
        <v>4324.0209999999997</v>
      </c>
      <c r="M1394" s="10">
        <v>718.399</v>
      </c>
      <c r="N1394" s="10">
        <v>718.399</v>
      </c>
      <c r="O1394" s="10">
        <v>90.120999999999995</v>
      </c>
      <c r="P1394" s="10">
        <v>19</v>
      </c>
      <c r="Q1394" s="10">
        <v>19</v>
      </c>
      <c r="R1394" s="10">
        <v>18</v>
      </c>
    </row>
    <row r="1395" spans="1:18" ht="17" customHeight="1" x14ac:dyDescent="0.15">
      <c r="A1395" s="11" t="s">
        <v>7401</v>
      </c>
      <c r="B1395" s="1" t="s">
        <v>7402</v>
      </c>
      <c r="C1395" s="11" t="s">
        <v>7403</v>
      </c>
      <c r="D1395" s="11" t="s">
        <v>7403</v>
      </c>
      <c r="E1395" s="11" t="s">
        <v>7404</v>
      </c>
      <c r="F1395" s="11" t="s">
        <v>7349</v>
      </c>
      <c r="G1395" s="11" t="s">
        <v>7355</v>
      </c>
      <c r="H1395" s="11" t="s">
        <v>7338</v>
      </c>
      <c r="I1395" s="11" t="str">
        <f>HYPERLINK("http://elenashoes.it/","elenashoes.it")</f>
        <v>elenashoes.it</v>
      </c>
      <c r="J1395" s="12">
        <v>4749.7860000000001</v>
      </c>
      <c r="K1395" s="12">
        <v>4749.7860000000001</v>
      </c>
      <c r="L1395" s="13">
        <v>4318.6819999999998</v>
      </c>
      <c r="M1395" s="12">
        <v>16.484999999999999</v>
      </c>
      <c r="N1395" s="12">
        <v>16.484999999999999</v>
      </c>
      <c r="O1395" s="12">
        <v>-37.49</v>
      </c>
      <c r="P1395" s="12">
        <v>28</v>
      </c>
      <c r="Q1395" s="12">
        <v>28</v>
      </c>
      <c r="R1395" s="12">
        <v>29</v>
      </c>
    </row>
    <row r="1396" spans="1:18" ht="17" customHeight="1" x14ac:dyDescent="0.15">
      <c r="A1396" s="8" t="s">
        <v>7405</v>
      </c>
      <c r="B1396" s="9" t="s">
        <v>7406</v>
      </c>
      <c r="C1396" s="8" t="s">
        <v>7407</v>
      </c>
      <c r="D1396" s="8" t="s">
        <v>7408</v>
      </c>
      <c r="E1396" s="8" t="s">
        <v>7409</v>
      </c>
      <c r="F1396" s="8" t="s">
        <v>7349</v>
      </c>
      <c r="G1396" s="8" t="s">
        <v>7410</v>
      </c>
      <c r="H1396" s="8" t="s">
        <v>7317</v>
      </c>
      <c r="I1396" s="8" t="str">
        <f>HYPERLINK("http://stilmodashoes.com/","stilmodashoes.com")</f>
        <v>stilmodashoes.com</v>
      </c>
      <c r="J1396" s="10">
        <v>3133.1909999999998</v>
      </c>
      <c r="K1396" s="10">
        <v>3133.1909999999998</v>
      </c>
      <c r="L1396" s="10">
        <v>4307.97</v>
      </c>
      <c r="M1396" s="10">
        <v>16.123999999999999</v>
      </c>
      <c r="N1396" s="10">
        <v>16.123999999999999</v>
      </c>
      <c r="O1396" s="10">
        <v>13.695</v>
      </c>
      <c r="P1396" s="10">
        <v>6</v>
      </c>
      <c r="Q1396" s="10">
        <v>6</v>
      </c>
      <c r="R1396" s="10">
        <v>6</v>
      </c>
    </row>
    <row r="1397" spans="1:18" ht="17" customHeight="1" x14ac:dyDescent="0.15">
      <c r="A1397" s="11" t="s">
        <v>7411</v>
      </c>
      <c r="B1397" s="1" t="s">
        <v>7412</v>
      </c>
      <c r="C1397" s="11" t="s">
        <v>7413</v>
      </c>
      <c r="D1397" s="11" t="s">
        <v>7413</v>
      </c>
      <c r="E1397" s="11" t="s">
        <v>7414</v>
      </c>
      <c r="F1397" s="11" t="s">
        <v>7415</v>
      </c>
      <c r="G1397" s="11" t="s">
        <v>7416</v>
      </c>
      <c r="H1397" s="11" t="s">
        <v>7317</v>
      </c>
      <c r="I1397" s="11" t="str">
        <f>HYPERLINK("http://www.amsrlfashion.it/","www.amsrlfashion.it")</f>
        <v>www.amsrlfashion.it</v>
      </c>
      <c r="J1397" s="12">
        <v>4550.2640000000001</v>
      </c>
      <c r="K1397" s="12">
        <v>4550.2640000000001</v>
      </c>
      <c r="L1397" s="13">
        <v>4306.45</v>
      </c>
      <c r="M1397" s="12">
        <v>18.847999999999999</v>
      </c>
      <c r="N1397" s="12">
        <v>18.847999999999999</v>
      </c>
      <c r="O1397" s="12">
        <v>44.171999999999997</v>
      </c>
      <c r="P1397" s="14" t="s">
        <v>7324</v>
      </c>
      <c r="Q1397" s="14" t="s">
        <v>7324</v>
      </c>
      <c r="R1397" s="12">
        <v>14</v>
      </c>
    </row>
    <row r="1398" spans="1:18" ht="17" customHeight="1" x14ac:dyDescent="0.15">
      <c r="A1398" s="8" t="s">
        <v>7417</v>
      </c>
      <c r="B1398" s="9" t="s">
        <v>7418</v>
      </c>
      <c r="C1398" s="8" t="s">
        <v>7419</v>
      </c>
      <c r="D1398" s="8" t="s">
        <v>7419</v>
      </c>
      <c r="E1398" s="8" t="s">
        <v>7420</v>
      </c>
      <c r="F1398" s="8" t="s">
        <v>7349</v>
      </c>
      <c r="G1398" s="8" t="s">
        <v>7421</v>
      </c>
      <c r="H1398" s="8" t="s">
        <v>7338</v>
      </c>
      <c r="I1398" s="8" t="str">
        <f>HYPERLINK("http://www.inovika.it/","www.inovika.it")</f>
        <v>www.inovika.it</v>
      </c>
      <c r="J1398" s="10">
        <v>4135.8990000000003</v>
      </c>
      <c r="K1398" s="10">
        <v>4135.8990000000003</v>
      </c>
      <c r="L1398" s="10">
        <v>4300.4849999999997</v>
      </c>
      <c r="M1398" s="10">
        <v>164.54499999999999</v>
      </c>
      <c r="N1398" s="10">
        <v>164.54499999999999</v>
      </c>
      <c r="O1398" s="10">
        <v>189.751</v>
      </c>
      <c r="P1398" s="10">
        <v>31</v>
      </c>
      <c r="Q1398" s="10">
        <v>31</v>
      </c>
      <c r="R1398" s="10">
        <v>31</v>
      </c>
    </row>
    <row r="1399" spans="1:18" ht="17" customHeight="1" x14ac:dyDescent="0.15">
      <c r="A1399" s="11" t="s">
        <v>7422</v>
      </c>
      <c r="B1399" s="1" t="s">
        <v>7423</v>
      </c>
      <c r="C1399" s="11" t="s">
        <v>7424</v>
      </c>
      <c r="D1399" s="11" t="s">
        <v>7424</v>
      </c>
      <c r="E1399" s="11" t="s">
        <v>7425</v>
      </c>
      <c r="F1399" s="11" t="s">
        <v>7426</v>
      </c>
      <c r="G1399" s="11" t="s">
        <v>7316</v>
      </c>
      <c r="H1399" s="11" t="s">
        <v>7317</v>
      </c>
      <c r="I1399" s="11" t="str">
        <f>HYPERLINK("http://www.nesmerate.com/","www.nesmerate.com")</f>
        <v>www.nesmerate.com</v>
      </c>
      <c r="J1399" s="12">
        <v>4570.5450000000001</v>
      </c>
      <c r="K1399" s="12">
        <v>4570.5450000000001</v>
      </c>
      <c r="L1399" s="13">
        <v>4300.42</v>
      </c>
      <c r="M1399" s="12">
        <v>74.084999999999994</v>
      </c>
      <c r="N1399" s="12">
        <v>74.084999999999994</v>
      </c>
      <c r="O1399" s="12">
        <v>82.55</v>
      </c>
      <c r="P1399" s="12">
        <v>51</v>
      </c>
      <c r="Q1399" s="12">
        <v>51</v>
      </c>
      <c r="R1399" s="12">
        <v>48</v>
      </c>
    </row>
    <row r="1400" spans="1:18" ht="43" customHeight="1" x14ac:dyDescent="0.15">
      <c r="A1400" s="8" t="s">
        <v>7427</v>
      </c>
      <c r="B1400" s="9" t="s">
        <v>7428</v>
      </c>
      <c r="C1400" s="8" t="s">
        <v>7429</v>
      </c>
      <c r="D1400" s="8" t="s">
        <v>7430</v>
      </c>
      <c r="E1400" s="8" t="s">
        <v>7431</v>
      </c>
      <c r="F1400" s="8" t="s">
        <v>7315</v>
      </c>
      <c r="G1400" s="8" t="s">
        <v>7432</v>
      </c>
      <c r="H1400" s="8" t="s">
        <v>7433</v>
      </c>
      <c r="I1400" s="8" t="str">
        <f>HYPERLINK("http://tirellicostumi.com/","tirellicostumi.com")</f>
        <v>tirellicostumi.com</v>
      </c>
      <c r="J1400" s="10">
        <v>4636.4390000000003</v>
      </c>
      <c r="K1400" s="10">
        <v>4636.4390000000003</v>
      </c>
      <c r="L1400" s="10">
        <v>4299.5159999999996</v>
      </c>
      <c r="M1400" s="10">
        <v>968.11</v>
      </c>
      <c r="N1400" s="10">
        <v>968.11</v>
      </c>
      <c r="O1400" s="10">
        <v>882.88099999999997</v>
      </c>
      <c r="P1400" s="15" t="s">
        <v>7324</v>
      </c>
      <c r="Q1400" s="15" t="s">
        <v>7324</v>
      </c>
      <c r="R1400" s="10">
        <v>17</v>
      </c>
    </row>
    <row r="1401" spans="1:18" ht="17" customHeight="1" x14ac:dyDescent="0.15">
      <c r="A1401" s="11" t="s">
        <v>7434</v>
      </c>
      <c r="B1401" s="1" t="s">
        <v>7435</v>
      </c>
      <c r="C1401" s="11" t="s">
        <v>7436</v>
      </c>
      <c r="D1401" s="11" t="s">
        <v>7436</v>
      </c>
      <c r="E1401" s="11" t="s">
        <v>7437</v>
      </c>
      <c r="F1401" s="11" t="s">
        <v>7354</v>
      </c>
      <c r="G1401" s="11" t="s">
        <v>7438</v>
      </c>
      <c r="H1401" s="11" t="s">
        <v>7317</v>
      </c>
      <c r="I1401" s="11" t="str">
        <f>HYPERLINK("http://officinaitaliasrl.it/","officinaitaliasrl.it")</f>
        <v>officinaitaliasrl.it</v>
      </c>
      <c r="J1401" s="12">
        <v>4687.4489999999996</v>
      </c>
      <c r="K1401" s="12">
        <v>4443.1750000000002</v>
      </c>
      <c r="L1401" s="13">
        <v>4279.9889999999996</v>
      </c>
      <c r="M1401" s="12">
        <v>60.567999999999998</v>
      </c>
      <c r="N1401" s="12">
        <v>53.051000000000002</v>
      </c>
      <c r="O1401" s="12">
        <v>44.593000000000004</v>
      </c>
      <c r="P1401" s="12">
        <v>35</v>
      </c>
      <c r="Q1401" s="12">
        <v>35</v>
      </c>
      <c r="R1401" s="12">
        <v>33</v>
      </c>
    </row>
    <row r="1402" spans="1:18" ht="17" customHeight="1" x14ac:dyDescent="0.15">
      <c r="A1402" s="8" t="s">
        <v>7439</v>
      </c>
      <c r="B1402" s="9" t="s">
        <v>7440</v>
      </c>
      <c r="C1402" s="8" t="s">
        <v>7441</v>
      </c>
      <c r="D1402" s="8" t="s">
        <v>7441</v>
      </c>
      <c r="E1402" s="8" t="s">
        <v>7442</v>
      </c>
      <c r="F1402" s="8" t="s">
        <v>7443</v>
      </c>
      <c r="G1402" s="8" t="s">
        <v>7309</v>
      </c>
      <c r="H1402" s="8" t="s">
        <v>7310</v>
      </c>
      <c r="I1402" s="8" t="str">
        <f>HYPERLINK("http://www.gallotti.it/","www.gallotti.it")</f>
        <v>www.gallotti.it</v>
      </c>
      <c r="J1402" s="10">
        <v>5897.049</v>
      </c>
      <c r="K1402" s="10">
        <v>5897.049</v>
      </c>
      <c r="L1402" s="10">
        <v>4270.0219999999999</v>
      </c>
      <c r="M1402" s="10">
        <v>-654.25699999999995</v>
      </c>
      <c r="N1402" s="10">
        <v>-654.25699999999995</v>
      </c>
      <c r="O1402" s="10">
        <v>-37.603999999999999</v>
      </c>
      <c r="P1402" s="10">
        <v>25</v>
      </c>
      <c r="Q1402" s="10">
        <v>25</v>
      </c>
      <c r="R1402" s="10">
        <v>23</v>
      </c>
    </row>
    <row r="1403" spans="1:18" ht="17" customHeight="1" x14ac:dyDescent="0.15">
      <c r="A1403" s="11" t="s">
        <v>7444</v>
      </c>
      <c r="B1403" s="1" t="s">
        <v>7445</v>
      </c>
      <c r="C1403" s="11" t="s">
        <v>7446</v>
      </c>
      <c r="D1403" s="11" t="s">
        <v>7446</v>
      </c>
      <c r="E1403" s="11" t="s">
        <v>7447</v>
      </c>
      <c r="F1403" s="11" t="s">
        <v>7336</v>
      </c>
      <c r="G1403" s="11" t="s">
        <v>7323</v>
      </c>
      <c r="H1403" s="11" t="s">
        <v>7310</v>
      </c>
      <c r="I1403" s="11" t="str">
        <f>HYPERLINK("http://www.madisonsrl.com/","www.madisonsrl.com")</f>
        <v>www.madisonsrl.com</v>
      </c>
      <c r="J1403" s="12">
        <v>4947.326</v>
      </c>
      <c r="K1403" s="12">
        <v>4947.326</v>
      </c>
      <c r="L1403" s="13">
        <v>4268.7740000000003</v>
      </c>
      <c r="M1403" s="12">
        <v>75.816999999999993</v>
      </c>
      <c r="N1403" s="12">
        <v>75.816999999999993</v>
      </c>
      <c r="O1403" s="12">
        <v>132.46899999999999</v>
      </c>
      <c r="P1403" s="14" t="s">
        <v>7324</v>
      </c>
      <c r="Q1403" s="14" t="s">
        <v>7324</v>
      </c>
      <c r="R1403" s="12">
        <v>2</v>
      </c>
    </row>
    <row r="1404" spans="1:18" ht="29.5" customHeight="1" x14ac:dyDescent="0.15">
      <c r="A1404" s="8" t="s">
        <v>7448</v>
      </c>
      <c r="B1404" s="9" t="s">
        <v>7449</v>
      </c>
      <c r="C1404" s="8" t="s">
        <v>7450</v>
      </c>
      <c r="D1404" s="8" t="s">
        <v>7450</v>
      </c>
      <c r="E1404" s="8" t="s">
        <v>7451</v>
      </c>
      <c r="F1404" s="8" t="s">
        <v>7336</v>
      </c>
      <c r="G1404" s="8" t="s">
        <v>7337</v>
      </c>
      <c r="H1404" s="8" t="s">
        <v>7338</v>
      </c>
      <c r="I1404" s="8" t="str">
        <f>HYPERLINK("http://www.concerianice.com/","www.concerianice.com")</f>
        <v>www.concerianice.com</v>
      </c>
      <c r="J1404" s="10">
        <v>3704.9340000000002</v>
      </c>
      <c r="K1404" s="10">
        <v>3704.9340000000002</v>
      </c>
      <c r="L1404" s="10">
        <v>4255.7879999999996</v>
      </c>
      <c r="M1404" s="10">
        <v>176.29</v>
      </c>
      <c r="N1404" s="10">
        <v>176.29</v>
      </c>
      <c r="O1404" s="10">
        <v>255.85599999999999</v>
      </c>
      <c r="P1404" s="10">
        <v>23</v>
      </c>
      <c r="Q1404" s="10">
        <v>23</v>
      </c>
      <c r="R1404" s="10">
        <v>24</v>
      </c>
    </row>
    <row r="1405" spans="1:18" ht="17" customHeight="1" x14ac:dyDescent="0.15">
      <c r="A1405" s="11" t="s">
        <v>7452</v>
      </c>
      <c r="B1405" s="1" t="s">
        <v>7453</v>
      </c>
      <c r="C1405" s="11" t="s">
        <v>7454</v>
      </c>
      <c r="D1405" s="11" t="s">
        <v>7454</v>
      </c>
      <c r="E1405" s="11" t="s">
        <v>7455</v>
      </c>
      <c r="F1405" s="11" t="s">
        <v>7456</v>
      </c>
      <c r="G1405" s="11" t="s">
        <v>7421</v>
      </c>
      <c r="H1405" s="11" t="s">
        <v>7338</v>
      </c>
      <c r="I1405" s="11" t="str">
        <f>HYPERLINK("http://www.freemracing.com/","www.freemracing.com")</f>
        <v>www.freemracing.com</v>
      </c>
      <c r="J1405" s="12">
        <v>4356.0709999999999</v>
      </c>
      <c r="K1405" s="12">
        <v>4356.0709999999999</v>
      </c>
      <c r="L1405" s="13">
        <v>4254.2690000000002</v>
      </c>
      <c r="M1405" s="12">
        <v>350.529</v>
      </c>
      <c r="N1405" s="12">
        <v>350.529</v>
      </c>
      <c r="O1405" s="12">
        <v>98.947999999999993</v>
      </c>
      <c r="P1405" s="12">
        <v>25</v>
      </c>
      <c r="Q1405" s="12">
        <v>25</v>
      </c>
      <c r="R1405" s="12">
        <v>23</v>
      </c>
    </row>
    <row r="1406" spans="1:18" ht="17" customHeight="1" x14ac:dyDescent="0.15">
      <c r="A1406" s="8" t="s">
        <v>7457</v>
      </c>
      <c r="B1406" s="9" t="s">
        <v>7458</v>
      </c>
      <c r="C1406" s="8" t="s">
        <v>7459</v>
      </c>
      <c r="D1406" s="8" t="s">
        <v>7459</v>
      </c>
      <c r="E1406" s="8" t="s">
        <v>7460</v>
      </c>
      <c r="F1406" s="8" t="s">
        <v>7336</v>
      </c>
      <c r="G1406" s="8" t="s">
        <v>7461</v>
      </c>
      <c r="H1406" s="8" t="s">
        <v>7376</v>
      </c>
      <c r="I1406" s="8" t="str">
        <f>HYPERLINK("http://www.kineticcenter.info/","www.kineticcenter.info")</f>
        <v>www.kineticcenter.info</v>
      </c>
      <c r="J1406" s="10">
        <v>3541.6610000000001</v>
      </c>
      <c r="K1406" s="10">
        <v>3541.6610000000001</v>
      </c>
      <c r="L1406" s="10">
        <v>4247.0200000000004</v>
      </c>
      <c r="M1406" s="10">
        <v>305.40100000000001</v>
      </c>
      <c r="N1406" s="10">
        <v>305.40100000000001</v>
      </c>
      <c r="O1406" s="10">
        <v>225.16399999999999</v>
      </c>
      <c r="P1406" s="15" t="s">
        <v>7324</v>
      </c>
      <c r="Q1406" s="15" t="s">
        <v>7324</v>
      </c>
      <c r="R1406" s="10">
        <v>14</v>
      </c>
    </row>
    <row r="1407" spans="1:18" ht="29.5" customHeight="1" x14ac:dyDescent="0.15">
      <c r="A1407" s="11" t="s">
        <v>7462</v>
      </c>
      <c r="B1407" s="1" t="s">
        <v>7463</v>
      </c>
      <c r="C1407" s="11" t="s">
        <v>7464</v>
      </c>
      <c r="D1407" s="11" t="s">
        <v>7464</v>
      </c>
      <c r="E1407" s="11" t="s">
        <v>7465</v>
      </c>
      <c r="F1407" s="11" t="s">
        <v>7329</v>
      </c>
      <c r="G1407" s="11" t="s">
        <v>7438</v>
      </c>
      <c r="H1407" s="11" t="s">
        <v>7317</v>
      </c>
      <c r="I1407" s="11" t="str">
        <f>HYPERLINK("http://scaglione.it/","scaglione.it")</f>
        <v>scaglione.it</v>
      </c>
      <c r="J1407" s="12">
        <v>4795.6679999999997</v>
      </c>
      <c r="K1407" s="12">
        <v>4795.6679999999997</v>
      </c>
      <c r="L1407" s="13">
        <v>4245.7190000000001</v>
      </c>
      <c r="M1407" s="12">
        <v>51.392000000000003</v>
      </c>
      <c r="N1407" s="12">
        <v>51.392000000000003</v>
      </c>
      <c r="O1407" s="12">
        <v>48.97</v>
      </c>
      <c r="P1407" s="12">
        <v>21</v>
      </c>
      <c r="Q1407" s="12">
        <v>21</v>
      </c>
      <c r="R1407" s="12">
        <v>19</v>
      </c>
    </row>
    <row r="1408" spans="1:18" ht="29.5" customHeight="1" x14ac:dyDescent="0.15">
      <c r="A1408" s="8" t="s">
        <v>7466</v>
      </c>
      <c r="B1408" s="9" t="s">
        <v>7467</v>
      </c>
      <c r="C1408" s="8" t="s">
        <v>7468</v>
      </c>
      <c r="D1408" s="8" t="s">
        <v>7468</v>
      </c>
      <c r="E1408" s="8" t="s">
        <v>7469</v>
      </c>
      <c r="F1408" s="8" t="s">
        <v>7470</v>
      </c>
      <c r="G1408" s="8" t="s">
        <v>7471</v>
      </c>
      <c r="H1408" s="8" t="s">
        <v>7317</v>
      </c>
      <c r="I1408" s="8" t="str">
        <f>HYPERLINK("http://www.itcsrl.net/","www.itcsrl.net")</f>
        <v>www.itcsrl.net</v>
      </c>
      <c r="J1408" s="10">
        <v>3494.0039999999999</v>
      </c>
      <c r="K1408" s="10">
        <v>3494.0039999999999</v>
      </c>
      <c r="L1408" s="10">
        <v>4239.1710000000003</v>
      </c>
      <c r="M1408" s="10">
        <v>-116.53</v>
      </c>
      <c r="N1408" s="10">
        <v>-116.53</v>
      </c>
      <c r="O1408" s="10">
        <v>101.309</v>
      </c>
      <c r="P1408" s="10">
        <v>8</v>
      </c>
      <c r="Q1408" s="10">
        <v>8</v>
      </c>
      <c r="R1408" s="10">
        <v>12</v>
      </c>
    </row>
    <row r="1409" spans="1:18" ht="17" customHeight="1" x14ac:dyDescent="0.15">
      <c r="A1409" s="11" t="s">
        <v>7472</v>
      </c>
      <c r="B1409" s="1" t="s">
        <v>7473</v>
      </c>
      <c r="C1409" s="11" t="s">
        <v>7474</v>
      </c>
      <c r="D1409" s="11" t="s">
        <v>7474</v>
      </c>
      <c r="E1409" s="11" t="s">
        <v>7475</v>
      </c>
      <c r="F1409" s="11" t="s">
        <v>7476</v>
      </c>
      <c r="G1409" s="11" t="s">
        <v>7477</v>
      </c>
      <c r="H1409" s="11" t="s">
        <v>7478</v>
      </c>
      <c r="I1409" s="11" t="str">
        <f>HYPERLINK("http://www.thegigi.it/","www.thegigi.it")</f>
        <v>www.thegigi.it</v>
      </c>
      <c r="J1409" s="12">
        <v>5295.3580000000002</v>
      </c>
      <c r="K1409" s="12">
        <v>5295.3580000000002</v>
      </c>
      <c r="L1409" s="13">
        <v>4235.4009999999998</v>
      </c>
      <c r="M1409" s="12">
        <v>153.18799999999999</v>
      </c>
      <c r="N1409" s="12">
        <v>153.18799999999999</v>
      </c>
      <c r="O1409" s="12">
        <v>59.552999999999997</v>
      </c>
      <c r="P1409" s="12">
        <v>17</v>
      </c>
      <c r="Q1409" s="12">
        <v>17</v>
      </c>
      <c r="R1409" s="12">
        <v>15</v>
      </c>
    </row>
    <row r="1410" spans="1:18" ht="17" customHeight="1" x14ac:dyDescent="0.15">
      <c r="A1410" s="8" t="s">
        <v>7479</v>
      </c>
      <c r="B1410" s="9" t="s">
        <v>7480</v>
      </c>
      <c r="C1410" s="8" t="s">
        <v>7481</v>
      </c>
      <c r="D1410" s="8" t="s">
        <v>7481</v>
      </c>
      <c r="E1410" s="8" t="s">
        <v>7482</v>
      </c>
      <c r="F1410" s="8" t="s">
        <v>7483</v>
      </c>
      <c r="G1410" s="8" t="s">
        <v>7484</v>
      </c>
      <c r="H1410" s="8" t="s">
        <v>7485</v>
      </c>
      <c r="I1410" s="8" t="str">
        <f>HYPERLINK("http://www.halmanera.it/","www.halmanera.it")</f>
        <v>www.halmanera.it</v>
      </c>
      <c r="J1410" s="10">
        <v>4493.0479999999998</v>
      </c>
      <c r="K1410" s="10">
        <v>4493.0479999999998</v>
      </c>
      <c r="L1410" s="10">
        <v>4232.1009999999997</v>
      </c>
      <c r="M1410" s="10">
        <v>16.170000000000002</v>
      </c>
      <c r="N1410" s="10">
        <v>16.170000000000002</v>
      </c>
      <c r="O1410" s="10">
        <v>-61.137999999999998</v>
      </c>
      <c r="P1410" s="10">
        <v>24</v>
      </c>
      <c r="Q1410" s="10">
        <v>24</v>
      </c>
      <c r="R1410" s="10">
        <v>19</v>
      </c>
    </row>
    <row r="1411" spans="1:18" ht="17" customHeight="1" x14ac:dyDescent="0.15">
      <c r="A1411" s="11" t="s">
        <v>7486</v>
      </c>
      <c r="B1411" s="1" t="s">
        <v>7487</v>
      </c>
      <c r="C1411" s="11" t="s">
        <v>7488</v>
      </c>
      <c r="D1411" s="11" t="s">
        <v>7488</v>
      </c>
      <c r="E1411" s="11" t="s">
        <v>7489</v>
      </c>
      <c r="F1411" s="11" t="s">
        <v>7490</v>
      </c>
      <c r="G1411" s="11" t="s">
        <v>7491</v>
      </c>
      <c r="H1411" s="11" t="s">
        <v>7492</v>
      </c>
      <c r="I1411" s="11" t="str">
        <f>HYPERLINK("http://www.copycompany.it/","www.copycompany.it")</f>
        <v>www.copycompany.it</v>
      </c>
      <c r="J1411" s="12">
        <v>4980.0820000000003</v>
      </c>
      <c r="K1411" s="12">
        <v>4980.0820000000003</v>
      </c>
      <c r="L1411" s="13">
        <v>4231.7929999999997</v>
      </c>
      <c r="M1411" s="12">
        <v>181.88900000000001</v>
      </c>
      <c r="N1411" s="12">
        <v>181.88900000000001</v>
      </c>
      <c r="O1411" s="12">
        <v>79.122</v>
      </c>
      <c r="P1411" s="12">
        <v>9</v>
      </c>
      <c r="Q1411" s="12">
        <v>9</v>
      </c>
      <c r="R1411" s="12">
        <v>9</v>
      </c>
    </row>
    <row r="1412" spans="1:18" ht="17" customHeight="1" x14ac:dyDescent="0.15">
      <c r="A1412" s="8" t="s">
        <v>7493</v>
      </c>
      <c r="B1412" s="9" t="s">
        <v>7494</v>
      </c>
      <c r="C1412" s="8" t="s">
        <v>7495</v>
      </c>
      <c r="D1412" s="8" t="s">
        <v>7495</v>
      </c>
      <c r="E1412" s="8" t="s">
        <v>7496</v>
      </c>
      <c r="F1412" s="8" t="s">
        <v>7497</v>
      </c>
      <c r="G1412" s="8" t="s">
        <v>7477</v>
      </c>
      <c r="H1412" s="8" t="s">
        <v>7478</v>
      </c>
      <c r="I1412" s="8" t="str">
        <f>HYPERLINK("http://www.tonet.eu/index","www.tonet.eu/index")</f>
        <v>www.tonet.eu/index</v>
      </c>
      <c r="J1412" s="10">
        <v>4499.87</v>
      </c>
      <c r="K1412" s="10">
        <v>4499.87</v>
      </c>
      <c r="L1412" s="10">
        <v>4222.5950000000003</v>
      </c>
      <c r="M1412" s="10">
        <v>270.28899999999999</v>
      </c>
      <c r="N1412" s="10">
        <v>270.28899999999999</v>
      </c>
      <c r="O1412" s="10">
        <v>408.42200000000003</v>
      </c>
      <c r="P1412" s="10">
        <v>20</v>
      </c>
      <c r="Q1412" s="10">
        <v>20</v>
      </c>
      <c r="R1412" s="10">
        <v>19</v>
      </c>
    </row>
    <row r="1413" spans="1:18" ht="17" customHeight="1" x14ac:dyDescent="0.15">
      <c r="A1413" s="11" t="s">
        <v>7498</v>
      </c>
      <c r="B1413" s="1" t="s">
        <v>7499</v>
      </c>
      <c r="C1413" s="11" t="s">
        <v>7500</v>
      </c>
      <c r="D1413" s="11" t="s">
        <v>7500</v>
      </c>
      <c r="E1413" s="11" t="s">
        <v>7501</v>
      </c>
      <c r="F1413" s="11" t="s">
        <v>7502</v>
      </c>
      <c r="G1413" s="11" t="s">
        <v>7503</v>
      </c>
      <c r="H1413" s="11" t="s">
        <v>7492</v>
      </c>
      <c r="I1413" s="11" t="str">
        <f>HYPERLINK("http://www.anderson.it/","http://www.anderson.it")</f>
        <v>http://www.anderson.it</v>
      </c>
      <c r="J1413" s="12">
        <v>4584.8950000000004</v>
      </c>
      <c r="K1413" s="12">
        <v>4584.8950000000004</v>
      </c>
      <c r="L1413" s="13">
        <v>4220.0550000000003</v>
      </c>
      <c r="M1413" s="12">
        <v>693.65200000000004</v>
      </c>
      <c r="N1413" s="12">
        <v>693.65200000000004</v>
      </c>
      <c r="O1413" s="12">
        <v>321.67099999999999</v>
      </c>
      <c r="P1413" s="12">
        <v>25</v>
      </c>
      <c r="Q1413" s="12">
        <v>25</v>
      </c>
      <c r="R1413" s="12">
        <v>24</v>
      </c>
    </row>
    <row r="1414" spans="1:18" ht="17" customHeight="1" x14ac:dyDescent="0.15">
      <c r="A1414" s="8" t="s">
        <v>7504</v>
      </c>
      <c r="B1414" s="9" t="s">
        <v>7505</v>
      </c>
      <c r="C1414" s="8" t="s">
        <v>7506</v>
      </c>
      <c r="D1414" s="8" t="s">
        <v>7506</v>
      </c>
      <c r="E1414" s="8" t="s">
        <v>7507</v>
      </c>
      <c r="F1414" s="8" t="s">
        <v>7502</v>
      </c>
      <c r="G1414" s="8" t="s">
        <v>7508</v>
      </c>
      <c r="H1414" s="8" t="s">
        <v>7509</v>
      </c>
      <c r="I1414" s="8" t="str">
        <f>HYPERLINK("http://www.officinartigiana.it/","www.officinartigiana.it")</f>
        <v>www.officinartigiana.it</v>
      </c>
      <c r="J1414" s="10">
        <v>2422.2020000000002</v>
      </c>
      <c r="K1414" s="10">
        <v>2422.2020000000002</v>
      </c>
      <c r="L1414" s="10">
        <v>4216.424</v>
      </c>
      <c r="M1414" s="10">
        <v>66.664000000000001</v>
      </c>
      <c r="N1414" s="10">
        <v>66.664000000000001</v>
      </c>
      <c r="O1414" s="10">
        <v>54.587000000000003</v>
      </c>
      <c r="P1414" s="15" t="s">
        <v>7510</v>
      </c>
      <c r="Q1414" s="15" t="s">
        <v>7510</v>
      </c>
      <c r="R1414" s="10">
        <v>3</v>
      </c>
    </row>
    <row r="1415" spans="1:18" ht="17" customHeight="1" x14ac:dyDescent="0.15">
      <c r="A1415" s="11" t="s">
        <v>7511</v>
      </c>
      <c r="B1415" s="1" t="s">
        <v>7512</v>
      </c>
      <c r="C1415" s="11" t="s">
        <v>7513</v>
      </c>
      <c r="D1415" s="11" t="s">
        <v>7513</v>
      </c>
      <c r="E1415" s="11" t="s">
        <v>7514</v>
      </c>
      <c r="F1415" s="11" t="s">
        <v>7515</v>
      </c>
      <c r="G1415" s="11" t="s">
        <v>7508</v>
      </c>
      <c r="H1415" s="11" t="s">
        <v>7509</v>
      </c>
      <c r="I1415" s="11" t="str">
        <f>HYPERLINK("http://www.innovatessile.it/","www.innovatessile.it")</f>
        <v>www.innovatessile.it</v>
      </c>
      <c r="J1415" s="12">
        <v>3704.81</v>
      </c>
      <c r="K1415" s="12">
        <v>3704.81</v>
      </c>
      <c r="L1415" s="13">
        <v>4205.63</v>
      </c>
      <c r="M1415" s="12">
        <v>65.55</v>
      </c>
      <c r="N1415" s="12">
        <v>65.55</v>
      </c>
      <c r="O1415" s="12">
        <v>124.092</v>
      </c>
      <c r="P1415" s="12">
        <v>16</v>
      </c>
      <c r="Q1415" s="12">
        <v>16</v>
      </c>
      <c r="R1415" s="12">
        <v>16</v>
      </c>
    </row>
    <row r="1416" spans="1:18" ht="17" customHeight="1" x14ac:dyDescent="0.15">
      <c r="A1416" s="8" t="s">
        <v>7516</v>
      </c>
      <c r="B1416" s="9" t="s">
        <v>7517</v>
      </c>
      <c r="C1416" s="8" t="s">
        <v>7518</v>
      </c>
      <c r="D1416" s="8" t="s">
        <v>7518</v>
      </c>
      <c r="E1416" s="8" t="s">
        <v>7519</v>
      </c>
      <c r="F1416" s="8" t="s">
        <v>7490</v>
      </c>
      <c r="G1416" s="8" t="s">
        <v>7520</v>
      </c>
      <c r="H1416" s="8" t="s">
        <v>7521</v>
      </c>
      <c r="I1416" s="8" t="str">
        <f>HYPERLINK("http://cividini.com/","cividini.com")</f>
        <v>cividini.com</v>
      </c>
      <c r="J1416" s="10">
        <v>4195.7569999999996</v>
      </c>
      <c r="K1416" s="10">
        <v>4195.7569999999996</v>
      </c>
      <c r="L1416" s="10">
        <v>4175.5069999999996</v>
      </c>
      <c r="M1416" s="10">
        <v>28.062000000000001</v>
      </c>
      <c r="N1416" s="10">
        <v>28.062000000000001</v>
      </c>
      <c r="O1416" s="10">
        <v>-408.58499999999998</v>
      </c>
      <c r="P1416" s="10">
        <v>15</v>
      </c>
      <c r="Q1416" s="10">
        <v>15</v>
      </c>
      <c r="R1416" s="10">
        <v>16</v>
      </c>
    </row>
    <row r="1417" spans="1:18" ht="17" customHeight="1" x14ac:dyDescent="0.15">
      <c r="A1417" s="11" t="s">
        <v>7522</v>
      </c>
      <c r="B1417" s="1" t="s">
        <v>7523</v>
      </c>
      <c r="C1417" s="11" t="s">
        <v>7524</v>
      </c>
      <c r="D1417" s="11" t="s">
        <v>7524</v>
      </c>
      <c r="E1417" s="11" t="s">
        <v>7525</v>
      </c>
      <c r="F1417" s="11" t="s">
        <v>7515</v>
      </c>
      <c r="G1417" s="11" t="s">
        <v>7526</v>
      </c>
      <c r="H1417" s="11" t="s">
        <v>7521</v>
      </c>
      <c r="I1417" s="11" t="str">
        <f>HYPERLINK("http://fashionplan.it/","fashionplan.it")</f>
        <v>fashionplan.it</v>
      </c>
      <c r="J1417" s="12">
        <v>7079.4219999999996</v>
      </c>
      <c r="K1417" s="12">
        <v>7079.4219999999996</v>
      </c>
      <c r="L1417" s="13">
        <v>4164.1019999999999</v>
      </c>
      <c r="M1417" s="12">
        <v>209.21700000000001</v>
      </c>
      <c r="N1417" s="12">
        <v>209.21700000000001</v>
      </c>
      <c r="O1417" s="12">
        <v>125.95099999999999</v>
      </c>
      <c r="P1417" s="12">
        <v>32</v>
      </c>
      <c r="Q1417" s="12">
        <v>32</v>
      </c>
      <c r="R1417" s="12">
        <v>14</v>
      </c>
    </row>
    <row r="1418" spans="1:18" ht="17" customHeight="1" x14ac:dyDescent="0.15">
      <c r="A1418" s="8" t="s">
        <v>7527</v>
      </c>
      <c r="B1418" s="9" t="s">
        <v>7528</v>
      </c>
      <c r="C1418" s="8" t="s">
        <v>7529</v>
      </c>
      <c r="D1418" s="8" t="s">
        <v>7529</v>
      </c>
      <c r="E1418" s="8" t="s">
        <v>7530</v>
      </c>
      <c r="F1418" s="8" t="s">
        <v>7531</v>
      </c>
      <c r="G1418" s="8" t="s">
        <v>7532</v>
      </c>
      <c r="H1418" s="8" t="s">
        <v>7533</v>
      </c>
      <c r="I1418" s="8" t="str">
        <f>HYPERLINK("http://shop.orfatti.it/","shop.orfatti.it")</f>
        <v>shop.orfatti.it</v>
      </c>
      <c r="J1418" s="10">
        <v>5309.2120000000004</v>
      </c>
      <c r="K1418" s="10">
        <v>5309.2120000000004</v>
      </c>
      <c r="L1418" s="10">
        <v>4163.3090000000002</v>
      </c>
      <c r="M1418" s="10">
        <v>57.183</v>
      </c>
      <c r="N1418" s="10">
        <v>57.183</v>
      </c>
      <c r="O1418" s="10">
        <v>74.619</v>
      </c>
      <c r="P1418" s="10">
        <v>10</v>
      </c>
      <c r="Q1418" s="10">
        <v>10</v>
      </c>
      <c r="R1418" s="10">
        <v>9</v>
      </c>
    </row>
    <row r="1419" spans="1:18" ht="17" customHeight="1" x14ac:dyDescent="0.15">
      <c r="A1419" s="11" t="s">
        <v>7534</v>
      </c>
      <c r="B1419" s="1" t="s">
        <v>7535</v>
      </c>
      <c r="C1419" s="11" t="s">
        <v>7536</v>
      </c>
      <c r="D1419" s="11" t="s">
        <v>7536</v>
      </c>
      <c r="E1419" s="11" t="s">
        <v>7537</v>
      </c>
      <c r="F1419" s="11" t="s">
        <v>7515</v>
      </c>
      <c r="G1419" s="11" t="s">
        <v>7538</v>
      </c>
      <c r="H1419" s="11" t="s">
        <v>7533</v>
      </c>
      <c r="I1419" s="11" t="str">
        <f>HYPERLINK("http://hunnypets.com/","hunnypets.com")</f>
        <v>hunnypets.com</v>
      </c>
      <c r="J1419" s="12">
        <v>3647.6970000000001</v>
      </c>
      <c r="K1419" s="12">
        <v>3647.6970000000001</v>
      </c>
      <c r="L1419" s="13">
        <v>4161.12</v>
      </c>
      <c r="M1419" s="12">
        <v>252.06399999999999</v>
      </c>
      <c r="N1419" s="12">
        <v>252.06399999999999</v>
      </c>
      <c r="O1419" s="12">
        <v>-7.0890000000000004</v>
      </c>
      <c r="P1419" s="12">
        <v>14</v>
      </c>
      <c r="Q1419" s="12">
        <v>14</v>
      </c>
      <c r="R1419" s="12">
        <v>13</v>
      </c>
    </row>
    <row r="1420" spans="1:18" ht="17" customHeight="1" x14ac:dyDescent="0.15">
      <c r="A1420" s="8" t="s">
        <v>7539</v>
      </c>
      <c r="B1420" s="9" t="s">
        <v>7540</v>
      </c>
      <c r="C1420" s="8" t="s">
        <v>7541</v>
      </c>
      <c r="D1420" s="8" t="s">
        <v>7541</v>
      </c>
      <c r="E1420" s="8" t="s">
        <v>7542</v>
      </c>
      <c r="F1420" s="8" t="s">
        <v>7483</v>
      </c>
      <c r="G1420" s="8" t="s">
        <v>7543</v>
      </c>
      <c r="H1420" s="8" t="s">
        <v>7521</v>
      </c>
      <c r="I1420" s="8" t="str">
        <f>HYPERLINK("http://www.astorflex.it/","www.astorflex.it")</f>
        <v>www.astorflex.it</v>
      </c>
      <c r="J1420" s="10">
        <v>5194.7759999999998</v>
      </c>
      <c r="K1420" s="10">
        <v>5194.7759999999998</v>
      </c>
      <c r="L1420" s="10">
        <v>4155.1620000000003</v>
      </c>
      <c r="M1420" s="10">
        <v>102.377</v>
      </c>
      <c r="N1420" s="10">
        <v>102.377</v>
      </c>
      <c r="O1420" s="10">
        <v>49.274000000000001</v>
      </c>
      <c r="P1420" s="10">
        <v>35</v>
      </c>
      <c r="Q1420" s="10">
        <v>35</v>
      </c>
      <c r="R1420" s="10">
        <v>30</v>
      </c>
    </row>
    <row r="1421" spans="1:18" ht="29.5" customHeight="1" x14ac:dyDescent="0.15">
      <c r="A1421" s="11" t="s">
        <v>7544</v>
      </c>
      <c r="B1421" s="1" t="s">
        <v>7545</v>
      </c>
      <c r="C1421" s="11" t="s">
        <v>7546</v>
      </c>
      <c r="D1421" s="11" t="s">
        <v>7546</v>
      </c>
      <c r="E1421" s="11" t="s">
        <v>7547</v>
      </c>
      <c r="F1421" s="11" t="s">
        <v>7515</v>
      </c>
      <c r="G1421" s="11" t="s">
        <v>7477</v>
      </c>
      <c r="H1421" s="11" t="s">
        <v>7478</v>
      </c>
      <c r="I1421" s="11" t="str">
        <f>HYPERLINK("http://www.nastrificiodisignoressa.it/","www.nastrificiodisignoressa.it")</f>
        <v>www.nastrificiodisignoressa.it</v>
      </c>
      <c r="J1421" s="12">
        <v>3975.4679999999998</v>
      </c>
      <c r="K1421" s="12">
        <v>3975.4679999999998</v>
      </c>
      <c r="L1421" s="13">
        <v>4154.8680000000004</v>
      </c>
      <c r="M1421" s="12">
        <v>105.681</v>
      </c>
      <c r="N1421" s="12">
        <v>105.681</v>
      </c>
      <c r="O1421" s="12">
        <v>176.21</v>
      </c>
      <c r="P1421" s="12">
        <v>45</v>
      </c>
      <c r="Q1421" s="12">
        <v>45</v>
      </c>
      <c r="R1421" s="12">
        <v>49</v>
      </c>
    </row>
    <row r="1422" spans="1:18" ht="17" customHeight="1" x14ac:dyDescent="0.15">
      <c r="A1422" s="8" t="s">
        <v>7548</v>
      </c>
      <c r="B1422" s="9" t="s">
        <v>7549</v>
      </c>
      <c r="C1422" s="8" t="s">
        <v>7550</v>
      </c>
      <c r="D1422" s="8" t="s">
        <v>7550</v>
      </c>
      <c r="E1422" s="8" t="s">
        <v>7551</v>
      </c>
      <c r="F1422" s="8" t="s">
        <v>7552</v>
      </c>
      <c r="G1422" s="8" t="s">
        <v>7526</v>
      </c>
      <c r="H1422" s="8" t="s">
        <v>7521</v>
      </c>
      <c r="I1422" s="8" t="str">
        <f>HYPERLINK("http://www.europeangroup.it/","www.europeangroup.it")</f>
        <v>www.europeangroup.it</v>
      </c>
      <c r="J1422" s="10">
        <v>4156.1670000000004</v>
      </c>
      <c r="K1422" s="10">
        <v>4156.1670000000004</v>
      </c>
      <c r="L1422" s="10">
        <v>4154.83</v>
      </c>
      <c r="M1422" s="10">
        <v>6.07</v>
      </c>
      <c r="N1422" s="10">
        <v>6.07</v>
      </c>
      <c r="O1422" s="10">
        <v>23.209</v>
      </c>
      <c r="P1422" s="10">
        <v>17</v>
      </c>
      <c r="Q1422" s="10">
        <v>17</v>
      </c>
      <c r="R1422" s="10">
        <v>17</v>
      </c>
    </row>
    <row r="1423" spans="1:18" ht="29.5" customHeight="1" x14ac:dyDescent="0.15">
      <c r="A1423" s="11" t="s">
        <v>7553</v>
      </c>
      <c r="B1423" s="1" t="s">
        <v>7554</v>
      </c>
      <c r="C1423" s="11" t="s">
        <v>7555</v>
      </c>
      <c r="D1423" s="11" t="s">
        <v>7555</v>
      </c>
      <c r="E1423" s="11" t="s">
        <v>7556</v>
      </c>
      <c r="F1423" s="11" t="s">
        <v>7557</v>
      </c>
      <c r="G1423" s="11" t="s">
        <v>7484</v>
      </c>
      <c r="H1423" s="11" t="s">
        <v>7485</v>
      </c>
      <c r="I1423" s="11" t="str">
        <f>HYPERLINK("http://www.minicucci.it/","www.minicucci.it")</f>
        <v>www.minicucci.it</v>
      </c>
      <c r="J1423" s="12">
        <v>4427.3450000000003</v>
      </c>
      <c r="K1423" s="12">
        <v>4427.3450000000003</v>
      </c>
      <c r="L1423" s="13">
        <v>4149.1710000000003</v>
      </c>
      <c r="M1423" s="12">
        <v>415.20499999999998</v>
      </c>
      <c r="N1423" s="12">
        <v>415.20499999999998</v>
      </c>
      <c r="O1423" s="12">
        <v>457.85599999999999</v>
      </c>
      <c r="P1423" s="12">
        <v>23</v>
      </c>
      <c r="Q1423" s="12">
        <v>23</v>
      </c>
      <c r="R1423" s="12">
        <v>18</v>
      </c>
    </row>
    <row r="1424" spans="1:18" ht="17" customHeight="1" x14ac:dyDescent="0.15">
      <c r="A1424" s="8" t="s">
        <v>7558</v>
      </c>
      <c r="B1424" s="9" t="s">
        <v>7559</v>
      </c>
      <c r="C1424" s="8" t="s">
        <v>7560</v>
      </c>
      <c r="D1424" s="8" t="s">
        <v>7560</v>
      </c>
      <c r="E1424" s="8" t="s">
        <v>7561</v>
      </c>
      <c r="F1424" s="8" t="s">
        <v>7515</v>
      </c>
      <c r="G1424" s="8" t="s">
        <v>7562</v>
      </c>
      <c r="H1424" s="8" t="s">
        <v>7485</v>
      </c>
      <c r="I1424" s="8" t="str">
        <f>HYPERLINK("http://www.creazionibaleani.it/","www.creazionibaleani.it")</f>
        <v>www.creazionibaleani.it</v>
      </c>
      <c r="J1424" s="10">
        <v>4443.317</v>
      </c>
      <c r="K1424" s="10">
        <v>4443.317</v>
      </c>
      <c r="L1424" s="10">
        <v>4147.4549999999999</v>
      </c>
      <c r="M1424" s="10">
        <v>547.274</v>
      </c>
      <c r="N1424" s="10">
        <v>547.274</v>
      </c>
      <c r="O1424" s="10">
        <v>258.51299999999998</v>
      </c>
      <c r="P1424" s="10">
        <v>30</v>
      </c>
      <c r="Q1424" s="10">
        <v>30</v>
      </c>
      <c r="R1424" s="10">
        <v>30</v>
      </c>
    </row>
    <row r="1425" spans="1:18" ht="29.5" customHeight="1" x14ac:dyDescent="0.15">
      <c r="A1425" s="11" t="s">
        <v>7563</v>
      </c>
      <c r="B1425" s="1" t="s">
        <v>7564</v>
      </c>
      <c r="C1425" s="11" t="s">
        <v>7565</v>
      </c>
      <c r="D1425" s="11" t="s">
        <v>7565</v>
      </c>
      <c r="E1425" s="11" t="s">
        <v>7566</v>
      </c>
      <c r="F1425" s="11" t="s">
        <v>7502</v>
      </c>
      <c r="G1425" s="11" t="s">
        <v>7526</v>
      </c>
      <c r="H1425" s="11" t="s">
        <v>7521</v>
      </c>
      <c r="I1425" s="11" t="str">
        <f>HYPERLINK("http://www.mcpelletteriaartigiana.it/","www.mcpelletteriaartigiana.it")</f>
        <v>www.mcpelletteriaartigiana.it</v>
      </c>
      <c r="J1425" s="12">
        <v>2571.8890000000001</v>
      </c>
      <c r="K1425" s="12">
        <v>2571.8890000000001</v>
      </c>
      <c r="L1425" s="13">
        <v>4138.2939999999999</v>
      </c>
      <c r="M1425" s="12">
        <v>-3.6720000000000002</v>
      </c>
      <c r="N1425" s="12">
        <v>-3.6720000000000002</v>
      </c>
      <c r="O1425" s="12">
        <v>-1.1100000000000001</v>
      </c>
      <c r="P1425" s="12">
        <v>16</v>
      </c>
      <c r="Q1425" s="12">
        <v>16</v>
      </c>
      <c r="R1425" s="12">
        <v>17</v>
      </c>
    </row>
    <row r="1426" spans="1:18" ht="29.5" customHeight="1" x14ac:dyDescent="0.15">
      <c r="A1426" s="8" t="s">
        <v>7567</v>
      </c>
      <c r="B1426" s="9" t="s">
        <v>7568</v>
      </c>
      <c r="C1426" s="8" t="s">
        <v>7569</v>
      </c>
      <c r="D1426" s="8" t="s">
        <v>7569</v>
      </c>
      <c r="E1426" s="8" t="s">
        <v>7570</v>
      </c>
      <c r="F1426" s="8" t="s">
        <v>7557</v>
      </c>
      <c r="G1426" s="8" t="s">
        <v>7538</v>
      </c>
      <c r="H1426" s="8" t="s">
        <v>7533</v>
      </c>
      <c r="I1426" s="8" t="str">
        <f>HYPERLINK("http://www.iwtstyle.it/","www.iwtstyle.it")</f>
        <v>www.iwtstyle.it</v>
      </c>
      <c r="J1426" s="10">
        <v>5560.4290000000001</v>
      </c>
      <c r="K1426" s="10">
        <v>5560.4290000000001</v>
      </c>
      <c r="L1426" s="10">
        <v>4136.6610000000001</v>
      </c>
      <c r="M1426" s="10">
        <v>21.041</v>
      </c>
      <c r="N1426" s="10">
        <v>21.041</v>
      </c>
      <c r="O1426" s="10">
        <v>50.594000000000001</v>
      </c>
      <c r="P1426" s="10">
        <v>7</v>
      </c>
      <c r="Q1426" s="10">
        <v>7</v>
      </c>
      <c r="R1426" s="10">
        <v>8</v>
      </c>
    </row>
    <row r="1427" spans="1:18" ht="29.5" customHeight="1" x14ac:dyDescent="0.15">
      <c r="A1427" s="11" t="s">
        <v>7571</v>
      </c>
      <c r="B1427" s="1" t="s">
        <v>7572</v>
      </c>
      <c r="C1427" s="11" t="s">
        <v>7573</v>
      </c>
      <c r="D1427" s="11" t="s">
        <v>7573</v>
      </c>
      <c r="E1427" s="11" t="s">
        <v>7574</v>
      </c>
      <c r="F1427" s="11" t="s">
        <v>7515</v>
      </c>
      <c r="G1427" s="11" t="s">
        <v>7575</v>
      </c>
      <c r="H1427" s="11" t="s">
        <v>7478</v>
      </c>
      <c r="I1427" s="11" t="str">
        <f>HYPERLINK("http://www.manifatturedipadova.it/","http://www.manifatturedipadova.it")</f>
        <v>http://www.manifatturedipadova.it</v>
      </c>
      <c r="J1427" s="12">
        <v>4788.34</v>
      </c>
      <c r="K1427" s="12">
        <v>4788.34</v>
      </c>
      <c r="L1427" s="13">
        <v>4130.0820000000003</v>
      </c>
      <c r="M1427" s="12">
        <v>84.194000000000003</v>
      </c>
      <c r="N1427" s="12">
        <v>84.194000000000003</v>
      </c>
      <c r="O1427" s="12">
        <v>92.593000000000004</v>
      </c>
      <c r="P1427" s="12">
        <v>15</v>
      </c>
      <c r="Q1427" s="12">
        <v>15</v>
      </c>
      <c r="R1427" s="12">
        <v>15</v>
      </c>
    </row>
    <row r="1428" spans="1:18" ht="29.5" customHeight="1" x14ac:dyDescent="0.15">
      <c r="A1428" s="8" t="s">
        <v>7576</v>
      </c>
      <c r="B1428" s="9" t="s">
        <v>7577</v>
      </c>
      <c r="C1428" s="8" t="s">
        <v>7578</v>
      </c>
      <c r="D1428" s="8" t="s">
        <v>7578</v>
      </c>
      <c r="E1428" s="8" t="s">
        <v>7579</v>
      </c>
      <c r="F1428" s="8" t="s">
        <v>7483</v>
      </c>
      <c r="G1428" s="8" t="s">
        <v>7580</v>
      </c>
      <c r="H1428" s="8" t="s">
        <v>7485</v>
      </c>
      <c r="I1428" s="8" t="str">
        <f>HYPERLINK("http://www.lanciottideverzi.com/","www.lanciottideverzi.com")</f>
        <v>www.lanciottideverzi.com</v>
      </c>
      <c r="J1428" s="10">
        <v>6323.4549999999999</v>
      </c>
      <c r="K1428" s="10">
        <v>6323.4549999999999</v>
      </c>
      <c r="L1428" s="10">
        <v>4120.1509999999998</v>
      </c>
      <c r="M1428" s="10">
        <v>416.322</v>
      </c>
      <c r="N1428" s="10">
        <v>416.322</v>
      </c>
      <c r="O1428" s="10">
        <v>6.9859999999999998</v>
      </c>
      <c r="P1428" s="10">
        <v>42</v>
      </c>
      <c r="Q1428" s="10">
        <v>42</v>
      </c>
      <c r="R1428" s="10">
        <v>29</v>
      </c>
    </row>
    <row r="1429" spans="1:18" ht="29.5" customHeight="1" x14ac:dyDescent="0.15">
      <c r="A1429" s="11" t="s">
        <v>7581</v>
      </c>
      <c r="B1429" s="1" t="s">
        <v>7582</v>
      </c>
      <c r="C1429" s="11" t="s">
        <v>7583</v>
      </c>
      <c r="D1429" s="11" t="s">
        <v>7583</v>
      </c>
      <c r="E1429" s="11" t="s">
        <v>7584</v>
      </c>
      <c r="F1429" s="11" t="s">
        <v>7585</v>
      </c>
      <c r="G1429" s="11" t="s">
        <v>7586</v>
      </c>
      <c r="H1429" s="11" t="s">
        <v>7533</v>
      </c>
      <c r="I1429" s="11" t="str">
        <f>HYPERLINK("http://www.rivadavia.net/","www.rivadavia.net")</f>
        <v>www.rivadavia.net</v>
      </c>
      <c r="J1429" s="12">
        <v>2735.558</v>
      </c>
      <c r="K1429" s="12">
        <v>2735.558</v>
      </c>
      <c r="L1429" s="13">
        <v>4113.9470000000001</v>
      </c>
      <c r="M1429" s="12">
        <v>39.06</v>
      </c>
      <c r="N1429" s="12">
        <v>39.06</v>
      </c>
      <c r="O1429" s="12">
        <v>144.328</v>
      </c>
      <c r="P1429" s="12">
        <v>6</v>
      </c>
      <c r="Q1429" s="12">
        <v>6</v>
      </c>
      <c r="R1429" s="12">
        <v>7</v>
      </c>
    </row>
    <row r="1430" spans="1:18" ht="17" customHeight="1" x14ac:dyDescent="0.15">
      <c r="A1430" s="8" t="s">
        <v>7587</v>
      </c>
      <c r="B1430" s="9" t="s">
        <v>7588</v>
      </c>
      <c r="C1430" s="8" t="s">
        <v>7589</v>
      </c>
      <c r="D1430" s="8" t="s">
        <v>7589</v>
      </c>
      <c r="E1430" s="8" t="s">
        <v>7590</v>
      </c>
      <c r="F1430" s="8" t="s">
        <v>7557</v>
      </c>
      <c r="G1430" s="8" t="s">
        <v>7591</v>
      </c>
      <c r="H1430" s="8" t="s">
        <v>7478</v>
      </c>
      <c r="I1430" s="8" t="str">
        <f>HYPERLINK("http://tomasimaster.com/","tomasimaster.com")</f>
        <v>tomasimaster.com</v>
      </c>
      <c r="J1430" s="10">
        <v>5481.6779999999999</v>
      </c>
      <c r="K1430" s="10">
        <v>5481.6779999999999</v>
      </c>
      <c r="L1430" s="10">
        <v>4102.0339999999997</v>
      </c>
      <c r="M1430" s="10">
        <v>336.464</v>
      </c>
      <c r="N1430" s="10">
        <v>336.464</v>
      </c>
      <c r="O1430" s="10">
        <v>220.68</v>
      </c>
      <c r="P1430" s="10">
        <v>7</v>
      </c>
      <c r="Q1430" s="10">
        <v>7</v>
      </c>
      <c r="R1430" s="10">
        <v>7</v>
      </c>
    </row>
    <row r="1431" spans="1:18" ht="17" customHeight="1" x14ac:dyDescent="0.15">
      <c r="A1431" s="11" t="s">
        <v>7592</v>
      </c>
      <c r="B1431" s="1" t="s">
        <v>7593</v>
      </c>
      <c r="C1431" s="11" t="s">
        <v>7594</v>
      </c>
      <c r="D1431" s="11" t="s">
        <v>7594</v>
      </c>
      <c r="E1431" s="11" t="s">
        <v>7595</v>
      </c>
      <c r="F1431" s="11" t="s">
        <v>7585</v>
      </c>
      <c r="G1431" s="11" t="s">
        <v>7526</v>
      </c>
      <c r="H1431" s="11" t="s">
        <v>7521</v>
      </c>
      <c r="I1431" s="11" t="str">
        <f>HYPERLINK("http://www.simtopel.com/","www.simtopel.com")</f>
        <v>www.simtopel.com</v>
      </c>
      <c r="J1431" s="12">
        <v>3048.5189999999998</v>
      </c>
      <c r="K1431" s="12">
        <v>3048.5189999999998</v>
      </c>
      <c r="L1431" s="13">
        <v>4101.902</v>
      </c>
      <c r="M1431" s="12">
        <v>-53.582999999999998</v>
      </c>
      <c r="N1431" s="12">
        <v>-53.582999999999998</v>
      </c>
      <c r="O1431" s="12">
        <v>54.140999999999998</v>
      </c>
      <c r="P1431" s="12">
        <v>17</v>
      </c>
      <c r="Q1431" s="12">
        <v>17</v>
      </c>
      <c r="R1431" s="12">
        <v>17</v>
      </c>
    </row>
    <row r="1432" spans="1:18" ht="17" customHeight="1" x14ac:dyDescent="0.15">
      <c r="A1432" s="8" t="s">
        <v>7596</v>
      </c>
      <c r="B1432" s="9" t="s">
        <v>7597</v>
      </c>
      <c r="C1432" s="8" t="s">
        <v>7598</v>
      </c>
      <c r="D1432" s="8" t="s">
        <v>7598</v>
      </c>
      <c r="E1432" s="8" t="s">
        <v>7599</v>
      </c>
      <c r="F1432" s="8" t="s">
        <v>7600</v>
      </c>
      <c r="G1432" s="8" t="s">
        <v>7491</v>
      </c>
      <c r="H1432" s="8" t="s">
        <v>7492</v>
      </c>
      <c r="I1432" s="8" t="str">
        <f>HYPERLINK("http://www.calzemaina.it/","www.calzemaina.it")</f>
        <v>www.calzemaina.it</v>
      </c>
      <c r="J1432" s="10">
        <v>5263.42</v>
      </c>
      <c r="K1432" s="10">
        <v>5263.42</v>
      </c>
      <c r="L1432" s="10">
        <v>4100.2</v>
      </c>
      <c r="M1432" s="10">
        <v>258.19900000000001</v>
      </c>
      <c r="N1432" s="10">
        <v>258.19900000000001</v>
      </c>
      <c r="O1432" s="10">
        <v>119.32</v>
      </c>
      <c r="P1432" s="15" t="s">
        <v>7510</v>
      </c>
      <c r="Q1432" s="15" t="s">
        <v>7510</v>
      </c>
      <c r="R1432" s="10">
        <v>2</v>
      </c>
    </row>
    <row r="1433" spans="1:18" ht="29.5" customHeight="1" x14ac:dyDescent="0.15">
      <c r="A1433" s="11" t="s">
        <v>7601</v>
      </c>
      <c r="B1433" s="1" t="s">
        <v>7602</v>
      </c>
      <c r="C1433" s="11" t="s">
        <v>7603</v>
      </c>
      <c r="D1433" s="11" t="s">
        <v>7603</v>
      </c>
      <c r="E1433" s="11" t="s">
        <v>7604</v>
      </c>
      <c r="F1433" s="11" t="s">
        <v>7483</v>
      </c>
      <c r="G1433" s="11" t="s">
        <v>7477</v>
      </c>
      <c r="H1433" s="11" t="s">
        <v>7478</v>
      </c>
      <c r="I1433" s="11" t="str">
        <f>HYPERLINK("http://kybunjoya.swiss/","kybunjoya.swiss")</f>
        <v>kybunjoya.swiss</v>
      </c>
      <c r="J1433" s="12">
        <v>4852.7349999999997</v>
      </c>
      <c r="K1433" s="12">
        <v>4852.7349999999997</v>
      </c>
      <c r="L1433" s="13">
        <v>4093.33</v>
      </c>
      <c r="M1433" s="12">
        <v>180.19499999999999</v>
      </c>
      <c r="N1433" s="12">
        <v>180.19499999999999</v>
      </c>
      <c r="O1433" s="12">
        <v>4.4119999999999999</v>
      </c>
      <c r="P1433" s="12">
        <v>28</v>
      </c>
      <c r="Q1433" s="12">
        <v>28</v>
      </c>
      <c r="R1433" s="12">
        <v>27</v>
      </c>
    </row>
    <row r="1434" spans="1:18" ht="29.5" customHeight="1" x14ac:dyDescent="0.15">
      <c r="A1434" s="8" t="s">
        <v>7605</v>
      </c>
      <c r="B1434" s="9" t="s">
        <v>7606</v>
      </c>
      <c r="C1434" s="8" t="s">
        <v>7607</v>
      </c>
      <c r="D1434" s="8" t="s">
        <v>7608</v>
      </c>
      <c r="E1434" s="8" t="s">
        <v>7609</v>
      </c>
      <c r="F1434" s="8" t="s">
        <v>7557</v>
      </c>
      <c r="G1434" s="8" t="s">
        <v>7538</v>
      </c>
      <c r="H1434" s="8" t="s">
        <v>7533</v>
      </c>
      <c r="I1434" s="8" t="str">
        <f>HYPERLINK("http://www.ciessecasuals.it/","www.ciessecasuals.it")</f>
        <v>www.ciessecasuals.it</v>
      </c>
      <c r="J1434" s="10">
        <v>3098.8470000000002</v>
      </c>
      <c r="K1434" s="10">
        <v>3098.8470000000002</v>
      </c>
      <c r="L1434" s="10">
        <v>4088.3409999999999</v>
      </c>
      <c r="M1434" s="10">
        <v>71.870999999999995</v>
      </c>
      <c r="N1434" s="10">
        <v>71.870999999999995</v>
      </c>
      <c r="O1434" s="10">
        <v>139.548</v>
      </c>
      <c r="P1434" s="10">
        <v>2</v>
      </c>
      <c r="Q1434" s="10">
        <v>2</v>
      </c>
      <c r="R1434" s="10">
        <v>2</v>
      </c>
    </row>
    <row r="1435" spans="1:18" ht="17" customHeight="1" x14ac:dyDescent="0.15">
      <c r="A1435" s="11" t="s">
        <v>7610</v>
      </c>
      <c r="B1435" s="1" t="s">
        <v>7611</v>
      </c>
      <c r="C1435" s="11" t="s">
        <v>7612</v>
      </c>
      <c r="D1435" s="11" t="s">
        <v>7613</v>
      </c>
      <c r="E1435" s="11" t="s">
        <v>7614</v>
      </c>
      <c r="F1435" s="11" t="s">
        <v>7515</v>
      </c>
      <c r="G1435" s="11" t="s">
        <v>7615</v>
      </c>
      <c r="H1435" s="11" t="s">
        <v>7492</v>
      </c>
      <c r="I1435" s="11" t="str">
        <f>HYPERLINK("http://www.bortoliconf.it/","www.bortoliconf.it")</f>
        <v>www.bortoliconf.it</v>
      </c>
      <c r="J1435" s="12">
        <v>4587.7160000000003</v>
      </c>
      <c r="K1435" s="12">
        <v>4587.7160000000003</v>
      </c>
      <c r="L1435" s="13">
        <v>4084.096</v>
      </c>
      <c r="M1435" s="12">
        <v>365.84</v>
      </c>
      <c r="N1435" s="12">
        <v>365.84</v>
      </c>
      <c r="O1435" s="12">
        <v>350.30599999999998</v>
      </c>
      <c r="P1435" s="12">
        <v>57</v>
      </c>
      <c r="Q1435" s="12">
        <v>57</v>
      </c>
      <c r="R1435" s="12">
        <v>79</v>
      </c>
    </row>
    <row r="1436" spans="1:18" ht="17" customHeight="1" x14ac:dyDescent="0.15">
      <c r="A1436" s="8" t="s">
        <v>7616</v>
      </c>
      <c r="B1436" s="9" t="s">
        <v>7617</v>
      </c>
      <c r="C1436" s="8" t="s">
        <v>7618</v>
      </c>
      <c r="D1436" s="8" t="s">
        <v>7618</v>
      </c>
      <c r="E1436" s="8" t="s">
        <v>7619</v>
      </c>
      <c r="F1436" s="8" t="s">
        <v>7552</v>
      </c>
      <c r="G1436" s="8" t="s">
        <v>7580</v>
      </c>
      <c r="H1436" s="8" t="s">
        <v>7485</v>
      </c>
      <c r="I1436" s="8" t="str">
        <f>HYPERLINK("http://giviplast.com/","giviplast.com")</f>
        <v>giviplast.com</v>
      </c>
      <c r="J1436" s="10">
        <v>3872.386</v>
      </c>
      <c r="K1436" s="10">
        <v>3872.386</v>
      </c>
      <c r="L1436" s="10">
        <v>4081.6350000000002</v>
      </c>
      <c r="M1436" s="10">
        <v>430.09699999999998</v>
      </c>
      <c r="N1436" s="10">
        <v>430.09699999999998</v>
      </c>
      <c r="O1436" s="10">
        <v>464.32600000000002</v>
      </c>
      <c r="P1436" s="10">
        <v>16</v>
      </c>
      <c r="Q1436" s="10">
        <v>16</v>
      </c>
      <c r="R1436" s="10">
        <v>14</v>
      </c>
    </row>
    <row r="1437" spans="1:18" ht="17" customHeight="1" x14ac:dyDescent="0.15">
      <c r="A1437" s="11" t="s">
        <v>7620</v>
      </c>
      <c r="B1437" s="1" t="s">
        <v>7621</v>
      </c>
      <c r="C1437" s="11" t="s">
        <v>7622</v>
      </c>
      <c r="D1437" s="11" t="s">
        <v>7622</v>
      </c>
      <c r="E1437" s="11" t="s">
        <v>7623</v>
      </c>
      <c r="F1437" s="11" t="s">
        <v>7483</v>
      </c>
      <c r="G1437" s="11" t="s">
        <v>7624</v>
      </c>
      <c r="H1437" s="11" t="s">
        <v>7509</v>
      </c>
      <c r="I1437" s="11" t="str">
        <f>HYPERLINK("http://www.francescorussosrl.it/","www.francescorussosrl.it")</f>
        <v>www.francescorussosrl.it</v>
      </c>
      <c r="J1437" s="12">
        <v>5782.7749999999996</v>
      </c>
      <c r="K1437" s="12">
        <v>5782.7749999999996</v>
      </c>
      <c r="L1437" s="13">
        <v>4078.3139999999999</v>
      </c>
      <c r="M1437" s="12">
        <v>98.081000000000003</v>
      </c>
      <c r="N1437" s="12">
        <v>98.081000000000003</v>
      </c>
      <c r="O1437" s="12">
        <v>37.676000000000002</v>
      </c>
      <c r="P1437" s="14" t="s">
        <v>7510</v>
      </c>
      <c r="Q1437" s="14" t="s">
        <v>7510</v>
      </c>
      <c r="R1437" s="12">
        <v>60</v>
      </c>
    </row>
    <row r="1438" spans="1:18" ht="17" customHeight="1" x14ac:dyDescent="0.15">
      <c r="A1438" s="8" t="s">
        <v>7625</v>
      </c>
      <c r="B1438" s="9" t="s">
        <v>7626</v>
      </c>
      <c r="C1438" s="8" t="s">
        <v>7627</v>
      </c>
      <c r="D1438" s="8" t="s">
        <v>7627</v>
      </c>
      <c r="E1438" s="8" t="s">
        <v>7628</v>
      </c>
      <c r="F1438" s="8" t="s">
        <v>7483</v>
      </c>
      <c r="G1438" s="8" t="s">
        <v>7629</v>
      </c>
      <c r="H1438" s="8" t="s">
        <v>7521</v>
      </c>
      <c r="I1438" s="8" t="str">
        <f>HYPERLINK("http://www.calzaturificioester.it/","www.calzaturificioester.it")</f>
        <v>www.calzaturificioester.it</v>
      </c>
      <c r="J1438" s="10">
        <v>4196.3689999999997</v>
      </c>
      <c r="K1438" s="10">
        <v>4196.3689999999997</v>
      </c>
      <c r="L1438" s="10">
        <v>4074.6619999999998</v>
      </c>
      <c r="M1438" s="10">
        <v>32.119</v>
      </c>
      <c r="N1438" s="10">
        <v>32.119</v>
      </c>
      <c r="O1438" s="10">
        <v>13.43</v>
      </c>
      <c r="P1438" s="15" t="s">
        <v>7510</v>
      </c>
      <c r="Q1438" s="15" t="s">
        <v>7510</v>
      </c>
      <c r="R1438" s="10">
        <v>43</v>
      </c>
    </row>
    <row r="1439" spans="1:18" ht="17" customHeight="1" x14ac:dyDescent="0.15">
      <c r="A1439" s="11" t="s">
        <v>7630</v>
      </c>
      <c r="B1439" s="1" t="s">
        <v>7631</v>
      </c>
      <c r="C1439" s="11" t="s">
        <v>7632</v>
      </c>
      <c r="D1439" s="11" t="s">
        <v>7632</v>
      </c>
      <c r="E1439" s="11" t="s">
        <v>7633</v>
      </c>
      <c r="F1439" s="11" t="s">
        <v>7502</v>
      </c>
      <c r="G1439" s="11" t="s">
        <v>7532</v>
      </c>
      <c r="H1439" s="11" t="s">
        <v>7533</v>
      </c>
      <c r="I1439" s="11" t="str">
        <f>HYPERLINK("http://www.emmetierre.it/","www.emmetierre.it")</f>
        <v>www.emmetierre.it</v>
      </c>
      <c r="J1439" s="12">
        <v>3197.9430000000002</v>
      </c>
      <c r="K1439" s="12">
        <v>3197.9430000000002</v>
      </c>
      <c r="L1439" s="13">
        <v>4074.6469999999999</v>
      </c>
      <c r="M1439" s="12">
        <v>199.95400000000001</v>
      </c>
      <c r="N1439" s="12">
        <v>199.95400000000001</v>
      </c>
      <c r="O1439" s="12">
        <v>354.73700000000002</v>
      </c>
      <c r="P1439" s="12">
        <v>27</v>
      </c>
      <c r="Q1439" s="12">
        <v>27</v>
      </c>
      <c r="R1439" s="12">
        <v>29</v>
      </c>
    </row>
    <row r="1440" spans="1:18" ht="17" customHeight="1" x14ac:dyDescent="0.15">
      <c r="A1440" s="8" t="s">
        <v>7634</v>
      </c>
      <c r="B1440" s="9" t="s">
        <v>7635</v>
      </c>
      <c r="C1440" s="8" t="s">
        <v>7636</v>
      </c>
      <c r="D1440" s="8" t="s">
        <v>7636</v>
      </c>
      <c r="E1440" s="8" t="s">
        <v>7637</v>
      </c>
      <c r="F1440" s="8" t="s">
        <v>7483</v>
      </c>
      <c r="G1440" s="8" t="s">
        <v>7638</v>
      </c>
      <c r="H1440" s="8" t="s">
        <v>7639</v>
      </c>
      <c r="I1440" s="8" t="str">
        <f>HYPERLINK("http://www.lebabe.it/","www.lebabe.it")</f>
        <v>www.lebabe.it</v>
      </c>
      <c r="J1440" s="10">
        <v>4053.4670000000001</v>
      </c>
      <c r="K1440" s="10">
        <v>4053.4670000000001</v>
      </c>
      <c r="L1440" s="10">
        <v>4072.1370000000002</v>
      </c>
      <c r="M1440" s="10">
        <v>-542.84400000000005</v>
      </c>
      <c r="N1440" s="10">
        <v>-542.84400000000005</v>
      </c>
      <c r="O1440" s="10">
        <v>15.794</v>
      </c>
      <c r="P1440" s="10">
        <v>52</v>
      </c>
      <c r="Q1440" s="10">
        <v>52</v>
      </c>
      <c r="R1440" s="10">
        <v>51</v>
      </c>
    </row>
    <row r="1441" spans="1:18" ht="29.5" customHeight="1" x14ac:dyDescent="0.15">
      <c r="A1441" s="11" t="s">
        <v>7640</v>
      </c>
      <c r="B1441" s="1" t="s">
        <v>7641</v>
      </c>
      <c r="C1441" s="11" t="s">
        <v>7642</v>
      </c>
      <c r="D1441" s="11" t="s">
        <v>7642</v>
      </c>
      <c r="E1441" s="11" t="s">
        <v>7643</v>
      </c>
      <c r="F1441" s="11" t="s">
        <v>7644</v>
      </c>
      <c r="G1441" s="11" t="s">
        <v>7645</v>
      </c>
      <c r="H1441" s="11" t="s">
        <v>7646</v>
      </c>
      <c r="I1441" s="11" t="str">
        <f>HYPERLINK("http://www.koine.co.it/","www.koine.co.it")</f>
        <v>www.koine.co.it</v>
      </c>
      <c r="J1441" s="12">
        <v>3794.7159999999999</v>
      </c>
      <c r="K1441" s="12">
        <v>3794.7159999999999</v>
      </c>
      <c r="L1441" s="13">
        <v>4050.2359999999999</v>
      </c>
      <c r="M1441" s="12">
        <v>51.335999999999999</v>
      </c>
      <c r="N1441" s="12">
        <v>51.335999999999999</v>
      </c>
      <c r="O1441" s="12">
        <v>28.062000000000001</v>
      </c>
      <c r="P1441" s="12">
        <v>6</v>
      </c>
      <c r="Q1441" s="12">
        <v>6</v>
      </c>
      <c r="R1441" s="12">
        <v>7</v>
      </c>
    </row>
    <row r="1442" spans="1:18" ht="17" customHeight="1" x14ac:dyDescent="0.15">
      <c r="A1442" s="8" t="s">
        <v>7647</v>
      </c>
      <c r="B1442" s="9" t="s">
        <v>7648</v>
      </c>
      <c r="C1442" s="8" t="s">
        <v>7649</v>
      </c>
      <c r="D1442" s="8" t="s">
        <v>7649</v>
      </c>
      <c r="E1442" s="8" t="s">
        <v>7650</v>
      </c>
      <c r="F1442" s="8" t="s">
        <v>7651</v>
      </c>
      <c r="G1442" s="8" t="s">
        <v>7652</v>
      </c>
      <c r="H1442" s="8" t="s">
        <v>7653</v>
      </c>
      <c r="I1442" s="8" t="str">
        <f>HYPERLINK("http://www.henrybeguelin.it/","www.henrybeguelin.it")</f>
        <v>www.henrybeguelin.it</v>
      </c>
      <c r="J1442" s="10">
        <v>3755.4810000000002</v>
      </c>
      <c r="K1442" s="10">
        <v>3755.4810000000002</v>
      </c>
      <c r="L1442" s="10">
        <v>4040.1019999999999</v>
      </c>
      <c r="M1442" s="10">
        <v>-212.251</v>
      </c>
      <c r="N1442" s="10">
        <v>-212.251</v>
      </c>
      <c r="O1442" s="10">
        <v>44.895000000000003</v>
      </c>
      <c r="P1442" s="10">
        <v>27</v>
      </c>
      <c r="Q1442" s="10">
        <v>27</v>
      </c>
      <c r="R1442" s="10">
        <v>24</v>
      </c>
    </row>
    <row r="1443" spans="1:18" ht="17" customHeight="1" x14ac:dyDescent="0.15">
      <c r="A1443" s="11" t="s">
        <v>7654</v>
      </c>
      <c r="B1443" s="1" t="s">
        <v>7655</v>
      </c>
      <c r="C1443" s="11" t="s">
        <v>7656</v>
      </c>
      <c r="D1443" s="11" t="s">
        <v>7656</v>
      </c>
      <c r="E1443" s="11" t="s">
        <v>7657</v>
      </c>
      <c r="F1443" s="11" t="s">
        <v>7658</v>
      </c>
      <c r="G1443" s="11" t="s">
        <v>7659</v>
      </c>
      <c r="H1443" s="11" t="s">
        <v>7660</v>
      </c>
      <c r="I1443" s="11" t="str">
        <f>HYPERLINK("http://geanlucparis.com/","geanlucparis.com")</f>
        <v>geanlucparis.com</v>
      </c>
      <c r="J1443" s="12">
        <v>4026.5230000000001</v>
      </c>
      <c r="K1443" s="12">
        <v>4026.5230000000001</v>
      </c>
      <c r="L1443" s="13">
        <v>4039.1289999999999</v>
      </c>
      <c r="M1443" s="12">
        <v>49.854999999999997</v>
      </c>
      <c r="N1443" s="12">
        <v>49.854999999999997</v>
      </c>
      <c r="O1443" s="12">
        <v>110.36</v>
      </c>
      <c r="P1443" s="14" t="s">
        <v>7661</v>
      </c>
      <c r="Q1443" s="14" t="s">
        <v>7661</v>
      </c>
      <c r="R1443" s="12">
        <v>6</v>
      </c>
    </row>
    <row r="1444" spans="1:18" ht="29.5" customHeight="1" x14ac:dyDescent="0.15">
      <c r="A1444" s="8" t="s">
        <v>7662</v>
      </c>
      <c r="B1444" s="9" t="s">
        <v>7663</v>
      </c>
      <c r="C1444" s="8" t="s">
        <v>7664</v>
      </c>
      <c r="D1444" s="8" t="s">
        <v>7665</v>
      </c>
      <c r="E1444" s="8" t="s">
        <v>7666</v>
      </c>
      <c r="F1444" s="8" t="s">
        <v>7667</v>
      </c>
      <c r="G1444" s="8" t="s">
        <v>7668</v>
      </c>
      <c r="H1444" s="8" t="s">
        <v>7669</v>
      </c>
      <c r="I1444" s="8" t="str">
        <f>HYPERLINK("http://macbarens.com/","macbarens.com")</f>
        <v>macbarens.com</v>
      </c>
      <c r="J1444" s="10">
        <v>5105.4679999999998</v>
      </c>
      <c r="K1444" s="10">
        <v>5105.4679999999998</v>
      </c>
      <c r="L1444" s="10">
        <v>4033.2240000000002</v>
      </c>
      <c r="M1444" s="10">
        <v>354.99799999999999</v>
      </c>
      <c r="N1444" s="10">
        <v>354.99799999999999</v>
      </c>
      <c r="O1444" s="10">
        <v>224.42599999999999</v>
      </c>
      <c r="P1444" s="15" t="s">
        <v>7661</v>
      </c>
      <c r="Q1444" s="15" t="s">
        <v>7661</v>
      </c>
      <c r="R1444" s="10">
        <v>21</v>
      </c>
    </row>
    <row r="1445" spans="1:18" ht="17" customHeight="1" x14ac:dyDescent="0.15">
      <c r="A1445" s="11" t="s">
        <v>7670</v>
      </c>
      <c r="B1445" s="1" t="s">
        <v>7671</v>
      </c>
      <c r="C1445" s="11" t="s">
        <v>7672</v>
      </c>
      <c r="D1445" s="11" t="s">
        <v>7672</v>
      </c>
      <c r="E1445" s="11" t="s">
        <v>7673</v>
      </c>
      <c r="F1445" s="11" t="s">
        <v>7674</v>
      </c>
      <c r="G1445" s="11" t="s">
        <v>7675</v>
      </c>
      <c r="H1445" s="11" t="s">
        <v>7676</v>
      </c>
      <c r="I1445" s="11" t="str">
        <f>HYPERLINK("http://robysport.com/","robysport.com")</f>
        <v>robysport.com</v>
      </c>
      <c r="J1445" s="12">
        <v>3396.8870000000002</v>
      </c>
      <c r="K1445" s="12">
        <v>3396.8870000000002</v>
      </c>
      <c r="L1445" s="13">
        <v>4033.0839999999998</v>
      </c>
      <c r="M1445" s="12">
        <v>185.33099999999999</v>
      </c>
      <c r="N1445" s="12">
        <v>185.33099999999999</v>
      </c>
      <c r="O1445" s="12">
        <v>201.31299999999999</v>
      </c>
      <c r="P1445" s="14" t="s">
        <v>7661</v>
      </c>
      <c r="Q1445" s="14" t="s">
        <v>7661</v>
      </c>
      <c r="R1445" s="12">
        <v>8</v>
      </c>
    </row>
    <row r="1446" spans="1:18" ht="29.5" customHeight="1" x14ac:dyDescent="0.15">
      <c r="A1446" s="8" t="s">
        <v>7677</v>
      </c>
      <c r="B1446" s="9" t="s">
        <v>7678</v>
      </c>
      <c r="C1446" s="8" t="s">
        <v>7679</v>
      </c>
      <c r="D1446" s="8" t="s">
        <v>7679</v>
      </c>
      <c r="E1446" s="8" t="s">
        <v>7680</v>
      </c>
      <c r="F1446" s="8" t="s">
        <v>7681</v>
      </c>
      <c r="G1446" s="8" t="s">
        <v>7682</v>
      </c>
      <c r="H1446" s="8" t="s">
        <v>7683</v>
      </c>
      <c r="I1446" s="8" t="str">
        <f>HYPERLINK("http://www.marcuccigroup.com/","www.marcuccigroup.com")</f>
        <v>www.marcuccigroup.com</v>
      </c>
      <c r="J1446" s="10">
        <v>3793.8220000000001</v>
      </c>
      <c r="K1446" s="10">
        <v>3793.8220000000001</v>
      </c>
      <c r="L1446" s="10">
        <v>4026.1</v>
      </c>
      <c r="M1446" s="10">
        <v>117.517</v>
      </c>
      <c r="N1446" s="10">
        <v>117.517</v>
      </c>
      <c r="O1446" s="10">
        <v>422.21100000000001</v>
      </c>
      <c r="P1446" s="15" t="s">
        <v>7661</v>
      </c>
      <c r="Q1446" s="15" t="s">
        <v>7661</v>
      </c>
      <c r="R1446" s="10">
        <v>23</v>
      </c>
    </row>
    <row r="1447" spans="1:18" ht="17" customHeight="1" x14ac:dyDescent="0.15">
      <c r="A1447" s="11" t="s">
        <v>7684</v>
      </c>
      <c r="B1447" s="1" t="s">
        <v>7685</v>
      </c>
      <c r="C1447" s="11" t="s">
        <v>7686</v>
      </c>
      <c r="D1447" s="11" t="s">
        <v>7686</v>
      </c>
      <c r="E1447" s="11" t="s">
        <v>7687</v>
      </c>
      <c r="F1447" s="11" t="s">
        <v>7688</v>
      </c>
      <c r="G1447" s="11" t="s">
        <v>7689</v>
      </c>
      <c r="H1447" s="11" t="s">
        <v>7690</v>
      </c>
      <c r="I1447" s="11" t="str">
        <f>HYPERLINK("http://www.asup.it/","www.asup.it")</f>
        <v>www.asup.it</v>
      </c>
      <c r="J1447" s="12">
        <v>4842.6210000000001</v>
      </c>
      <c r="K1447" s="12">
        <v>4842.6210000000001</v>
      </c>
      <c r="L1447" s="13">
        <v>4025.2640000000001</v>
      </c>
      <c r="M1447" s="12">
        <v>-1067.7049999999999</v>
      </c>
      <c r="N1447" s="12">
        <v>-1067.7049999999999</v>
      </c>
      <c r="O1447" s="12">
        <v>-256.42399999999998</v>
      </c>
      <c r="P1447" s="12">
        <v>44</v>
      </c>
      <c r="Q1447" s="12">
        <v>44</v>
      </c>
      <c r="R1447" s="12">
        <v>32</v>
      </c>
    </row>
    <row r="1448" spans="1:18" ht="17" customHeight="1" x14ac:dyDescent="0.15">
      <c r="A1448" s="8" t="s">
        <v>7691</v>
      </c>
      <c r="B1448" s="9" t="s">
        <v>7692</v>
      </c>
      <c r="C1448" s="8" t="s">
        <v>7693</v>
      </c>
      <c r="D1448" s="8" t="s">
        <v>7693</v>
      </c>
      <c r="E1448" s="8" t="s">
        <v>7694</v>
      </c>
      <c r="F1448" s="8" t="s">
        <v>7681</v>
      </c>
      <c r="G1448" s="8" t="s">
        <v>7652</v>
      </c>
      <c r="H1448" s="8" t="s">
        <v>7653</v>
      </c>
      <c r="I1448" s="8" t="str">
        <f>HYPERLINK("http://www.crocolux.it/","www.crocolux.it")</f>
        <v>www.crocolux.it</v>
      </c>
      <c r="J1448" s="10">
        <v>6131.3760000000002</v>
      </c>
      <c r="K1448" s="10">
        <v>6131.3760000000002</v>
      </c>
      <c r="L1448" s="10">
        <v>4025.1550000000002</v>
      </c>
      <c r="M1448" s="10">
        <v>402.76600000000002</v>
      </c>
      <c r="N1448" s="10">
        <v>402.76600000000002</v>
      </c>
      <c r="O1448" s="10">
        <v>7.5339999999999998</v>
      </c>
      <c r="P1448" s="10">
        <v>56</v>
      </c>
      <c r="Q1448" s="10">
        <v>56</v>
      </c>
      <c r="R1448" s="10">
        <v>28</v>
      </c>
    </row>
    <row r="1449" spans="1:18" ht="17" customHeight="1" x14ac:dyDescent="0.15">
      <c r="A1449" s="11" t="s">
        <v>7695</v>
      </c>
      <c r="B1449" s="1" t="s">
        <v>7696</v>
      </c>
      <c r="C1449" s="11" t="s">
        <v>7697</v>
      </c>
      <c r="D1449" s="11" t="s">
        <v>7697</v>
      </c>
      <c r="E1449" s="11" t="s">
        <v>7698</v>
      </c>
      <c r="F1449" s="11" t="s">
        <v>7644</v>
      </c>
      <c r="G1449" s="11" t="s">
        <v>7682</v>
      </c>
      <c r="H1449" s="11" t="s">
        <v>7683</v>
      </c>
      <c r="I1449" s="11" t="str">
        <f>HYPERLINK("http://www.marielle.it/","www.marielle.it")</f>
        <v>www.marielle.it</v>
      </c>
      <c r="J1449" s="12">
        <v>2393.0419999999999</v>
      </c>
      <c r="K1449" s="12">
        <v>4012.2820000000002</v>
      </c>
      <c r="L1449" s="13">
        <v>4025.2020000000002</v>
      </c>
      <c r="M1449" s="12">
        <v>95.688999999999993</v>
      </c>
      <c r="N1449" s="12">
        <v>424.10899999999998</v>
      </c>
      <c r="O1449" s="12">
        <v>561.57399999999996</v>
      </c>
      <c r="P1449" s="14" t="s">
        <v>7661</v>
      </c>
      <c r="Q1449" s="14" t="s">
        <v>7661</v>
      </c>
      <c r="R1449" s="12">
        <v>7</v>
      </c>
    </row>
    <row r="1450" spans="1:18" ht="17" customHeight="1" x14ac:dyDescent="0.15">
      <c r="A1450" s="8" t="s">
        <v>7699</v>
      </c>
      <c r="B1450" s="9" t="s">
        <v>7700</v>
      </c>
      <c r="C1450" s="8" t="s">
        <v>7701</v>
      </c>
      <c r="D1450" s="8" t="s">
        <v>7701</v>
      </c>
      <c r="E1450" s="8" t="s">
        <v>7702</v>
      </c>
      <c r="F1450" s="8" t="s">
        <v>7703</v>
      </c>
      <c r="G1450" s="8" t="s">
        <v>7652</v>
      </c>
      <c r="H1450" s="8" t="s">
        <v>7653</v>
      </c>
      <c r="I1450" s="8" t="str">
        <f>HYPERLINK("http://gierremilano.it/","gierremilano.it")</f>
        <v>gierremilano.it</v>
      </c>
      <c r="J1450" s="10">
        <v>4269.1679999999997</v>
      </c>
      <c r="K1450" s="10">
        <v>4269.1679999999997</v>
      </c>
      <c r="L1450" s="10">
        <v>4023.8209999999999</v>
      </c>
      <c r="M1450" s="10">
        <v>29.606999999999999</v>
      </c>
      <c r="N1450" s="10">
        <v>29.606999999999999</v>
      </c>
      <c r="O1450" s="10">
        <v>66.819999999999993</v>
      </c>
      <c r="P1450" s="10">
        <v>9</v>
      </c>
      <c r="Q1450" s="10">
        <v>9</v>
      </c>
      <c r="R1450" s="10">
        <v>9</v>
      </c>
    </row>
    <row r="1451" spans="1:18" ht="29.5" customHeight="1" x14ac:dyDescent="0.15">
      <c r="A1451" s="11" t="s">
        <v>7704</v>
      </c>
      <c r="B1451" s="1" t="s">
        <v>7705</v>
      </c>
      <c r="C1451" s="11" t="s">
        <v>7706</v>
      </c>
      <c r="D1451" s="11" t="s">
        <v>7706</v>
      </c>
      <c r="E1451" s="11" t="s">
        <v>7707</v>
      </c>
      <c r="F1451" s="11" t="s">
        <v>7651</v>
      </c>
      <c r="G1451" s="11" t="s">
        <v>7668</v>
      </c>
      <c r="H1451" s="11" t="s">
        <v>7669</v>
      </c>
      <c r="I1451" s="11" t="str">
        <f>HYPERLINK("http://www.manifatturapartenopea.it/","www.manifatturapartenopea.it")</f>
        <v>www.manifatturapartenopea.it</v>
      </c>
      <c r="J1451" s="12">
        <v>4044.8510000000001</v>
      </c>
      <c r="K1451" s="12">
        <v>4173.43</v>
      </c>
      <c r="L1451" s="13">
        <v>4020.9160000000002</v>
      </c>
      <c r="M1451" s="12">
        <v>174.124</v>
      </c>
      <c r="N1451" s="12">
        <v>238.86799999999999</v>
      </c>
      <c r="O1451" s="12">
        <v>-244.262</v>
      </c>
      <c r="P1451" s="12">
        <v>72</v>
      </c>
      <c r="Q1451" s="12">
        <v>70</v>
      </c>
      <c r="R1451" s="12">
        <v>64</v>
      </c>
    </row>
    <row r="1452" spans="1:18" ht="17" customHeight="1" x14ac:dyDescent="0.15">
      <c r="A1452" s="8" t="s">
        <v>7708</v>
      </c>
      <c r="B1452" s="9" t="s">
        <v>7709</v>
      </c>
      <c r="C1452" s="8" t="s">
        <v>7710</v>
      </c>
      <c r="D1452" s="8" t="s">
        <v>7710</v>
      </c>
      <c r="E1452" s="8" t="s">
        <v>7711</v>
      </c>
      <c r="F1452" s="8" t="s">
        <v>7712</v>
      </c>
      <c r="G1452" s="8" t="s">
        <v>7713</v>
      </c>
      <c r="H1452" s="8" t="s">
        <v>7683</v>
      </c>
      <c r="I1452" s="8" t="str">
        <f>HYPERLINK("http://justfashionitalia.com/","justfashionitalia.com")</f>
        <v>justfashionitalia.com</v>
      </c>
      <c r="J1452" s="10">
        <v>3597.7939999999999</v>
      </c>
      <c r="K1452" s="10">
        <v>3597.7939999999999</v>
      </c>
      <c r="L1452" s="10">
        <v>4019.547</v>
      </c>
      <c r="M1452" s="10">
        <v>18.376999999999999</v>
      </c>
      <c r="N1452" s="10">
        <v>18.376999999999999</v>
      </c>
      <c r="O1452" s="10">
        <v>83.27</v>
      </c>
      <c r="P1452" s="15" t="s">
        <v>7661</v>
      </c>
      <c r="Q1452" s="15" t="s">
        <v>7661</v>
      </c>
      <c r="R1452" s="10">
        <v>10</v>
      </c>
    </row>
    <row r="1453" spans="1:18" ht="17" customHeight="1" x14ac:dyDescent="0.15">
      <c r="A1453" s="11" t="s">
        <v>7714</v>
      </c>
      <c r="B1453" s="1" t="s">
        <v>7715</v>
      </c>
      <c r="C1453" s="11" t="s">
        <v>7716</v>
      </c>
      <c r="D1453" s="11" t="s">
        <v>7716</v>
      </c>
      <c r="E1453" s="11" t="s">
        <v>7717</v>
      </c>
      <c r="F1453" s="11" t="s">
        <v>7681</v>
      </c>
      <c r="G1453" s="11" t="s">
        <v>7718</v>
      </c>
      <c r="H1453" s="11" t="s">
        <v>7653</v>
      </c>
      <c r="I1453" s="11" t="str">
        <f>HYPERLINK("http://corame.it/","corame.it")</f>
        <v>corame.it</v>
      </c>
      <c r="J1453" s="12">
        <v>3503.6439999999998</v>
      </c>
      <c r="K1453" s="12">
        <v>3503.6439999999998</v>
      </c>
      <c r="L1453" s="13">
        <v>4007.6190000000001</v>
      </c>
      <c r="M1453" s="12">
        <v>54.7</v>
      </c>
      <c r="N1453" s="12">
        <v>54.7</v>
      </c>
      <c r="O1453" s="12">
        <v>110.434</v>
      </c>
      <c r="P1453" s="12">
        <v>23</v>
      </c>
      <c r="Q1453" s="12">
        <v>23</v>
      </c>
      <c r="R1453" s="12">
        <v>26</v>
      </c>
    </row>
    <row r="1454" spans="1:18" ht="17" customHeight="1" x14ac:dyDescent="0.15">
      <c r="A1454" s="8" t="s">
        <v>7719</v>
      </c>
      <c r="B1454" s="9" t="s">
        <v>7720</v>
      </c>
      <c r="C1454" s="8" t="s">
        <v>7721</v>
      </c>
      <c r="D1454" s="8" t="s">
        <v>7721</v>
      </c>
      <c r="E1454" s="8" t="s">
        <v>7722</v>
      </c>
      <c r="F1454" s="8" t="s">
        <v>7703</v>
      </c>
      <c r="G1454" s="8" t="s">
        <v>7723</v>
      </c>
      <c r="H1454" s="8" t="s">
        <v>7690</v>
      </c>
      <c r="I1454" s="8" t="str">
        <f>HYPERLINK("http://dolomiti-pads.com/","dolomiti-pads.com")</f>
        <v>dolomiti-pads.com</v>
      </c>
      <c r="J1454" s="10">
        <v>3317.9180000000001</v>
      </c>
      <c r="K1454" s="10">
        <v>3317.9180000000001</v>
      </c>
      <c r="L1454" s="10">
        <v>3998.4839999999999</v>
      </c>
      <c r="M1454" s="10">
        <v>475.81299999999999</v>
      </c>
      <c r="N1454" s="10">
        <v>475.81299999999999</v>
      </c>
      <c r="O1454" s="10">
        <v>565.36</v>
      </c>
      <c r="P1454" s="15" t="s">
        <v>7661</v>
      </c>
      <c r="Q1454" s="15" t="s">
        <v>7661</v>
      </c>
      <c r="R1454" s="10">
        <v>26</v>
      </c>
    </row>
    <row r="1455" spans="1:18" ht="29.5" customHeight="1" x14ac:dyDescent="0.15">
      <c r="A1455" s="11" t="s">
        <v>7724</v>
      </c>
      <c r="B1455" s="1" t="s">
        <v>7725</v>
      </c>
      <c r="C1455" s="11" t="s">
        <v>7726</v>
      </c>
      <c r="D1455" s="11" t="s">
        <v>7726</v>
      </c>
      <c r="E1455" s="11" t="s">
        <v>7727</v>
      </c>
      <c r="F1455" s="11" t="s">
        <v>7651</v>
      </c>
      <c r="G1455" s="11" t="s">
        <v>7723</v>
      </c>
      <c r="H1455" s="11" t="s">
        <v>7690</v>
      </c>
      <c r="I1455" s="11" t="str">
        <f>HYPERLINK("http://www.cronoteam.it/","www.cronoteam.it")</f>
        <v>www.cronoteam.it</v>
      </c>
      <c r="J1455" s="12">
        <v>2840.8130000000001</v>
      </c>
      <c r="K1455" s="12">
        <v>2840.8130000000001</v>
      </c>
      <c r="L1455" s="13">
        <v>3997.86</v>
      </c>
      <c r="M1455" s="12">
        <v>64.447999999999993</v>
      </c>
      <c r="N1455" s="12">
        <v>64.447999999999993</v>
      </c>
      <c r="O1455" s="12">
        <v>66.256</v>
      </c>
      <c r="P1455" s="12">
        <v>15</v>
      </c>
      <c r="Q1455" s="12">
        <v>15</v>
      </c>
      <c r="R1455" s="12">
        <v>20</v>
      </c>
    </row>
    <row r="1456" spans="1:18" ht="17" customHeight="1" x14ac:dyDescent="0.15">
      <c r="A1456" s="8" t="s">
        <v>7728</v>
      </c>
      <c r="B1456" s="9" t="s">
        <v>7729</v>
      </c>
      <c r="C1456" s="8" t="s">
        <v>7730</v>
      </c>
      <c r="D1456" s="8" t="s">
        <v>7730</v>
      </c>
      <c r="E1456" s="8" t="s">
        <v>7731</v>
      </c>
      <c r="F1456" s="8" t="s">
        <v>7651</v>
      </c>
      <c r="G1456" s="8" t="s">
        <v>7723</v>
      </c>
      <c r="H1456" s="8" t="s">
        <v>7690</v>
      </c>
      <c r="I1456" s="8" t="str">
        <f>HYPERLINK("http://www.fitwellsrl.it/","www.fitwellsrl.it")</f>
        <v>www.fitwellsrl.it</v>
      </c>
      <c r="J1456" s="10">
        <v>3718.6590000000001</v>
      </c>
      <c r="K1456" s="10">
        <v>4323.8860000000004</v>
      </c>
      <c r="L1456" s="10">
        <v>3996.9690000000001</v>
      </c>
      <c r="M1456" s="10">
        <v>270.94299999999998</v>
      </c>
      <c r="N1456" s="10">
        <v>257.13099999999997</v>
      </c>
      <c r="O1456" s="10">
        <v>210.28899999999999</v>
      </c>
      <c r="P1456" s="10">
        <v>19</v>
      </c>
      <c r="Q1456" s="10">
        <v>22</v>
      </c>
      <c r="R1456" s="10">
        <v>21</v>
      </c>
    </row>
    <row r="1457" spans="1:18" ht="17" customHeight="1" x14ac:dyDescent="0.15">
      <c r="A1457" s="11" t="s">
        <v>7732</v>
      </c>
      <c r="B1457" s="1" t="s">
        <v>7733</v>
      </c>
      <c r="C1457" s="11" t="s">
        <v>7734</v>
      </c>
      <c r="D1457" s="11" t="s">
        <v>7734</v>
      </c>
      <c r="E1457" s="11" t="s">
        <v>7735</v>
      </c>
      <c r="F1457" s="11" t="s">
        <v>7644</v>
      </c>
      <c r="G1457" s="11" t="s">
        <v>7736</v>
      </c>
      <c r="H1457" s="11" t="s">
        <v>7660</v>
      </c>
      <c r="I1457" s="11" t="str">
        <f>HYPERLINK("http://www.ideeinmaglia.it/","www.ideeinmaglia.it")</f>
        <v>www.ideeinmaglia.it</v>
      </c>
      <c r="J1457" s="12">
        <v>3286.37</v>
      </c>
      <c r="K1457" s="12">
        <v>3286.37</v>
      </c>
      <c r="L1457" s="13">
        <v>3996.4090000000001</v>
      </c>
      <c r="M1457" s="12">
        <v>63.540999999999997</v>
      </c>
      <c r="N1457" s="12">
        <v>63.540999999999997</v>
      </c>
      <c r="O1457" s="12">
        <v>185.31200000000001</v>
      </c>
      <c r="P1457" s="14" t="s">
        <v>7661</v>
      </c>
      <c r="Q1457" s="14" t="s">
        <v>7661</v>
      </c>
      <c r="R1457" s="12">
        <v>21</v>
      </c>
    </row>
    <row r="1458" spans="1:18" ht="17" customHeight="1" x14ac:dyDescent="0.15">
      <c r="A1458" s="8" t="s">
        <v>7737</v>
      </c>
      <c r="B1458" s="9" t="s">
        <v>7738</v>
      </c>
      <c r="C1458" s="8" t="s">
        <v>7739</v>
      </c>
      <c r="D1458" s="8" t="s">
        <v>7739</v>
      </c>
      <c r="E1458" s="8" t="s">
        <v>7740</v>
      </c>
      <c r="F1458" s="8" t="s">
        <v>7667</v>
      </c>
      <c r="G1458" s="8" t="s">
        <v>7741</v>
      </c>
      <c r="H1458" s="8" t="s">
        <v>7646</v>
      </c>
      <c r="I1458" s="8" t="str">
        <f>HYPERLINK("http://www.centromascherinemodena.it/","www.centromascherinemodena.it")</f>
        <v>www.centromascherinemodena.it</v>
      </c>
      <c r="J1458" s="10">
        <v>312.78699999999998</v>
      </c>
      <c r="K1458" s="10">
        <v>312.78699999999998</v>
      </c>
      <c r="L1458" s="10">
        <v>3991.3629999999998</v>
      </c>
      <c r="M1458" s="10">
        <v>-285.565</v>
      </c>
      <c r="N1458" s="10">
        <v>-285.565</v>
      </c>
      <c r="O1458" s="10">
        <v>-466.12799999999999</v>
      </c>
      <c r="P1458" s="15" t="s">
        <v>7661</v>
      </c>
      <c r="Q1458" s="15" t="s">
        <v>7661</v>
      </c>
      <c r="R1458" s="10">
        <v>3</v>
      </c>
    </row>
    <row r="1459" spans="1:18" ht="29.5" customHeight="1" x14ac:dyDescent="0.15">
      <c r="A1459" s="11" t="s">
        <v>7742</v>
      </c>
      <c r="B1459" s="1" t="s">
        <v>7743</v>
      </c>
      <c r="C1459" s="11" t="s">
        <v>7744</v>
      </c>
      <c r="D1459" s="11" t="s">
        <v>7744</v>
      </c>
      <c r="E1459" s="11" t="s">
        <v>7745</v>
      </c>
      <c r="F1459" s="11" t="s">
        <v>7651</v>
      </c>
      <c r="G1459" s="11" t="s">
        <v>7746</v>
      </c>
      <c r="H1459" s="11" t="s">
        <v>7683</v>
      </c>
      <c r="I1459" s="11" t="str">
        <f>HYPERLINK("http://www.atlanticstars.it/","www.atlanticstars.it")</f>
        <v>www.atlanticstars.it</v>
      </c>
      <c r="J1459" s="12">
        <v>785.67200000000003</v>
      </c>
      <c r="K1459" s="12">
        <v>785.67200000000003</v>
      </c>
      <c r="L1459" s="13">
        <v>3986.33</v>
      </c>
      <c r="M1459" s="12">
        <v>3081.4609999999998</v>
      </c>
      <c r="N1459" s="12">
        <v>3081.4609999999998</v>
      </c>
      <c r="O1459" s="12">
        <v>-3795.355</v>
      </c>
      <c r="P1459" s="12">
        <v>0</v>
      </c>
      <c r="Q1459" s="12">
        <v>0</v>
      </c>
      <c r="R1459" s="12">
        <v>11</v>
      </c>
    </row>
    <row r="1460" spans="1:18" ht="29.5" customHeight="1" x14ac:dyDescent="0.15">
      <c r="A1460" s="8" t="s">
        <v>7747</v>
      </c>
      <c r="B1460" s="9" t="s">
        <v>7748</v>
      </c>
      <c r="C1460" s="8" t="s">
        <v>7749</v>
      </c>
      <c r="D1460" s="8" t="s">
        <v>7749</v>
      </c>
      <c r="E1460" s="8" t="s">
        <v>7750</v>
      </c>
      <c r="F1460" s="8" t="s">
        <v>7688</v>
      </c>
      <c r="G1460" s="8" t="s">
        <v>7746</v>
      </c>
      <c r="H1460" s="8" t="s">
        <v>7683</v>
      </c>
      <c r="I1460" s="8" t="str">
        <f>HYPERLINK("http://www.geospirit.it/","www.geospirit.it")</f>
        <v>www.geospirit.it</v>
      </c>
      <c r="J1460" s="10">
        <v>2629.5859999999998</v>
      </c>
      <c r="K1460" s="10">
        <v>2629.5859999999998</v>
      </c>
      <c r="L1460" s="10">
        <v>3981.596</v>
      </c>
      <c r="M1460" s="10">
        <v>-77.680999999999997</v>
      </c>
      <c r="N1460" s="10">
        <v>-77.680999999999997</v>
      </c>
      <c r="O1460" s="10">
        <v>-6.5019999999999998</v>
      </c>
      <c r="P1460" s="15" t="s">
        <v>7661</v>
      </c>
      <c r="Q1460" s="15" t="s">
        <v>7661</v>
      </c>
      <c r="R1460" s="10">
        <v>6</v>
      </c>
    </row>
    <row r="1461" spans="1:18" ht="17" customHeight="1" x14ac:dyDescent="0.15">
      <c r="A1461" s="11" t="s">
        <v>7751</v>
      </c>
      <c r="B1461" s="1" t="s">
        <v>7752</v>
      </c>
      <c r="C1461" s="11" t="s">
        <v>7753</v>
      </c>
      <c r="D1461" s="11" t="s">
        <v>7753</v>
      </c>
      <c r="E1461" s="11" t="s">
        <v>7754</v>
      </c>
      <c r="F1461" s="11" t="s">
        <v>7755</v>
      </c>
      <c r="G1461" s="11" t="s">
        <v>7756</v>
      </c>
      <c r="H1461" s="11" t="s">
        <v>7660</v>
      </c>
      <c r="I1461" s="11" t="str">
        <f>HYPERLINK("http://www.idea84.com/","www.idea84.com")</f>
        <v>www.idea84.com</v>
      </c>
      <c r="J1461" s="12">
        <v>4375.9979999999996</v>
      </c>
      <c r="K1461" s="12">
        <v>4375.9979999999996</v>
      </c>
      <c r="L1461" s="13">
        <v>3976.0410000000002</v>
      </c>
      <c r="M1461" s="12">
        <v>984.87199999999996</v>
      </c>
      <c r="N1461" s="12">
        <v>984.87199999999996</v>
      </c>
      <c r="O1461" s="12">
        <v>477.50799999999998</v>
      </c>
      <c r="P1461" s="12">
        <v>33</v>
      </c>
      <c r="Q1461" s="12">
        <v>33</v>
      </c>
      <c r="R1461" s="12">
        <v>25</v>
      </c>
    </row>
    <row r="1462" spans="1:18" ht="17" customHeight="1" x14ac:dyDescent="0.15">
      <c r="A1462" s="8" t="s">
        <v>7757</v>
      </c>
      <c r="B1462" s="9" t="s">
        <v>7758</v>
      </c>
      <c r="C1462" s="8" t="s">
        <v>7759</v>
      </c>
      <c r="D1462" s="8" t="s">
        <v>7759</v>
      </c>
      <c r="E1462" s="8" t="s">
        <v>7760</v>
      </c>
      <c r="F1462" s="8" t="s">
        <v>7644</v>
      </c>
      <c r="G1462" s="8" t="s">
        <v>7761</v>
      </c>
      <c r="H1462" s="8" t="s">
        <v>7762</v>
      </c>
      <c r="I1462" s="8" t="str">
        <f>HYPERLINK("http://www.maglificiotonello.it/","www.maglificiotonello.it")</f>
        <v>www.maglificiotonello.it</v>
      </c>
      <c r="J1462" s="10">
        <v>4325.6369999999997</v>
      </c>
      <c r="K1462" s="10">
        <v>4325.6369999999997</v>
      </c>
      <c r="L1462" s="10">
        <v>3973.1260000000002</v>
      </c>
      <c r="M1462" s="10">
        <v>549.19000000000005</v>
      </c>
      <c r="N1462" s="10">
        <v>549.19000000000005</v>
      </c>
      <c r="O1462" s="10">
        <v>2056.9969999999998</v>
      </c>
      <c r="P1462" s="10">
        <v>46</v>
      </c>
      <c r="Q1462" s="10">
        <v>46</v>
      </c>
      <c r="R1462" s="10">
        <v>44</v>
      </c>
    </row>
    <row r="1463" spans="1:18" ht="17" customHeight="1" x14ac:dyDescent="0.15">
      <c r="A1463" s="11" t="s">
        <v>7763</v>
      </c>
      <c r="B1463" s="1" t="s">
        <v>7764</v>
      </c>
      <c r="C1463" s="11" t="s">
        <v>7765</v>
      </c>
      <c r="D1463" s="11" t="s">
        <v>7765</v>
      </c>
      <c r="E1463" s="11" t="s">
        <v>7766</v>
      </c>
      <c r="F1463" s="11" t="s">
        <v>7651</v>
      </c>
      <c r="G1463" s="11" t="s">
        <v>7767</v>
      </c>
      <c r="H1463" s="11" t="s">
        <v>7768</v>
      </c>
      <c r="I1463" s="11" t="str">
        <f>HYPERLINK("http://www.pinkshoes.it/","www.pinkshoes.it")</f>
        <v>www.pinkshoes.it</v>
      </c>
      <c r="J1463" s="12">
        <v>3826.5810000000001</v>
      </c>
      <c r="K1463" s="12">
        <v>3826.5810000000001</v>
      </c>
      <c r="L1463" s="13">
        <v>3972.5569999999998</v>
      </c>
      <c r="M1463" s="12">
        <v>-51.061999999999998</v>
      </c>
      <c r="N1463" s="12">
        <v>-51.061999999999998</v>
      </c>
      <c r="O1463" s="12">
        <v>32.715000000000003</v>
      </c>
      <c r="P1463" s="12">
        <v>25</v>
      </c>
      <c r="Q1463" s="12">
        <v>25</v>
      </c>
      <c r="R1463" s="12">
        <v>25</v>
      </c>
    </row>
    <row r="1464" spans="1:18" ht="29.5" customHeight="1" x14ac:dyDescent="0.15">
      <c r="A1464" s="8" t="s">
        <v>7769</v>
      </c>
      <c r="B1464" s="9" t="s">
        <v>7770</v>
      </c>
      <c r="C1464" s="8" t="s">
        <v>7771</v>
      </c>
      <c r="D1464" s="8" t="s">
        <v>7771</v>
      </c>
      <c r="E1464" s="8" t="s">
        <v>7772</v>
      </c>
      <c r="F1464" s="8" t="s">
        <v>7651</v>
      </c>
      <c r="G1464" s="8" t="s">
        <v>7756</v>
      </c>
      <c r="H1464" s="8" t="s">
        <v>7660</v>
      </c>
      <c r="I1464" s="8" t="str">
        <f>HYPERLINK("http://www.lemare.it/","www.lemare.it")</f>
        <v>www.lemare.it</v>
      </c>
      <c r="J1464" s="10">
        <v>1108.501</v>
      </c>
      <c r="K1464" s="10">
        <v>1108.501</v>
      </c>
      <c r="L1464" s="10">
        <v>3971.36</v>
      </c>
      <c r="M1464" s="10">
        <v>-1169.5619999999999</v>
      </c>
      <c r="N1464" s="10">
        <v>-1169.5619999999999</v>
      </c>
      <c r="O1464" s="10">
        <v>47.387999999999998</v>
      </c>
      <c r="P1464" s="15" t="s">
        <v>7661</v>
      </c>
      <c r="Q1464" s="15" t="s">
        <v>7661</v>
      </c>
      <c r="R1464" s="10">
        <v>16</v>
      </c>
    </row>
    <row r="1465" spans="1:18" ht="17" customHeight="1" x14ac:dyDescent="0.15">
      <c r="A1465" s="11" t="s">
        <v>7773</v>
      </c>
      <c r="B1465" s="1" t="s">
        <v>7774</v>
      </c>
      <c r="C1465" s="11" t="s">
        <v>7775</v>
      </c>
      <c r="D1465" s="11" t="s">
        <v>7775</v>
      </c>
      <c r="E1465" s="11" t="s">
        <v>7776</v>
      </c>
      <c r="F1465" s="11" t="s">
        <v>7688</v>
      </c>
      <c r="G1465" s="11" t="s">
        <v>7777</v>
      </c>
      <c r="H1465" s="11" t="s">
        <v>7676</v>
      </c>
      <c r="I1465" s="11" t="str">
        <f>HYPERLINK("http://hrxtech.eu/","hrxtech.eu")</f>
        <v>hrxtech.eu</v>
      </c>
      <c r="J1465" s="12">
        <v>4973.7709999999997</v>
      </c>
      <c r="K1465" s="12">
        <v>4973.7709999999997</v>
      </c>
      <c r="L1465" s="13">
        <v>3970.145</v>
      </c>
      <c r="M1465" s="12">
        <v>30.74</v>
      </c>
      <c r="N1465" s="12">
        <v>30.74</v>
      </c>
      <c r="O1465" s="12">
        <v>8.7370000000000001</v>
      </c>
      <c r="P1465" s="12">
        <v>35</v>
      </c>
      <c r="Q1465" s="12">
        <v>35</v>
      </c>
      <c r="R1465" s="12">
        <v>31</v>
      </c>
    </row>
    <row r="1466" spans="1:18" ht="17" customHeight="1" x14ac:dyDescent="0.15">
      <c r="A1466" s="8" t="s">
        <v>7778</v>
      </c>
      <c r="B1466" s="9" t="s">
        <v>7779</v>
      </c>
      <c r="C1466" s="8" t="s">
        <v>7780</v>
      </c>
      <c r="D1466" s="8" t="s">
        <v>7780</v>
      </c>
      <c r="E1466" s="8" t="s">
        <v>7781</v>
      </c>
      <c r="F1466" s="8" t="s">
        <v>7674</v>
      </c>
      <c r="G1466" s="8" t="s">
        <v>7782</v>
      </c>
      <c r="H1466" s="8" t="s">
        <v>7690</v>
      </c>
      <c r="I1466" s="8" t="str">
        <f>HYPERLINK("http://piattopantaloni.it/","piattopantaloni.it")</f>
        <v>piattopantaloni.it</v>
      </c>
      <c r="J1466" s="10">
        <v>7852.6509999999998</v>
      </c>
      <c r="K1466" s="10">
        <v>7852.6509999999998</v>
      </c>
      <c r="L1466" s="10">
        <v>3954.3890000000001</v>
      </c>
      <c r="M1466" s="10">
        <v>1705.4110000000001</v>
      </c>
      <c r="N1466" s="10">
        <v>1705.4110000000001</v>
      </c>
      <c r="O1466" s="10">
        <v>668.79600000000005</v>
      </c>
      <c r="P1466" s="10">
        <v>9</v>
      </c>
      <c r="Q1466" s="10">
        <v>9</v>
      </c>
      <c r="R1466" s="10">
        <v>4</v>
      </c>
    </row>
    <row r="1467" spans="1:18" ht="29.5" customHeight="1" x14ac:dyDescent="0.15">
      <c r="A1467" s="11" t="s">
        <v>7783</v>
      </c>
      <c r="B1467" s="1" t="s">
        <v>7784</v>
      </c>
      <c r="C1467" s="11" t="s">
        <v>7785</v>
      </c>
      <c r="D1467" s="11" t="s">
        <v>7785</v>
      </c>
      <c r="E1467" s="11" t="s">
        <v>7786</v>
      </c>
      <c r="F1467" s="11" t="s">
        <v>7681</v>
      </c>
      <c r="G1467" s="11" t="s">
        <v>7723</v>
      </c>
      <c r="H1467" s="11" t="s">
        <v>7690</v>
      </c>
      <c r="I1467" s="11" t="str">
        <f>HYPERLINK("http://www.labelstoreindustries.it/","www.labelstoreindustries.it")</f>
        <v>www.labelstoreindustries.it</v>
      </c>
      <c r="J1467" s="12">
        <v>4237.884</v>
      </c>
      <c r="K1467" s="12">
        <v>4237.884</v>
      </c>
      <c r="L1467" s="13">
        <v>3954.4140000000002</v>
      </c>
      <c r="M1467" s="12">
        <v>630.50400000000002</v>
      </c>
      <c r="N1467" s="12">
        <v>630.50400000000002</v>
      </c>
      <c r="O1467" s="12">
        <v>552.30200000000002</v>
      </c>
      <c r="P1467" s="14" t="s">
        <v>7661</v>
      </c>
      <c r="Q1467" s="14" t="s">
        <v>7661</v>
      </c>
      <c r="R1467" s="12">
        <v>46</v>
      </c>
    </row>
    <row r="1468" spans="1:18" ht="17" customHeight="1" x14ac:dyDescent="0.15">
      <c r="A1468" s="8" t="s">
        <v>7787</v>
      </c>
      <c r="B1468" s="9" t="s">
        <v>7788</v>
      </c>
      <c r="C1468" s="8" t="s">
        <v>7789</v>
      </c>
      <c r="D1468" s="8" t="s">
        <v>7789</v>
      </c>
      <c r="E1468" s="8" t="s">
        <v>7790</v>
      </c>
      <c r="F1468" s="8" t="s">
        <v>7703</v>
      </c>
      <c r="G1468" s="8" t="s">
        <v>7682</v>
      </c>
      <c r="H1468" s="8" t="s">
        <v>7683</v>
      </c>
      <c r="I1468" s="8" t="str">
        <f>HYPERLINK("http://www.marzi.com/","www.marzi.com")</f>
        <v>www.marzi.com</v>
      </c>
      <c r="J1468" s="10">
        <v>5951.27</v>
      </c>
      <c r="K1468" s="10">
        <v>5951.27</v>
      </c>
      <c r="L1468" s="10">
        <v>3953.8850000000002</v>
      </c>
      <c r="M1468" s="10">
        <v>302.17</v>
      </c>
      <c r="N1468" s="10">
        <v>302.17</v>
      </c>
      <c r="O1468" s="10">
        <v>199.477</v>
      </c>
      <c r="P1468" s="10">
        <v>16</v>
      </c>
      <c r="Q1468" s="10">
        <v>16</v>
      </c>
      <c r="R1468" s="10">
        <v>12</v>
      </c>
    </row>
    <row r="1469" spans="1:18" ht="17" customHeight="1" x14ac:dyDescent="0.15">
      <c r="A1469" s="11" t="s">
        <v>7791</v>
      </c>
      <c r="B1469" s="1" t="s">
        <v>7792</v>
      </c>
      <c r="C1469" s="11" t="s">
        <v>7793</v>
      </c>
      <c r="D1469" s="11" t="s">
        <v>7794</v>
      </c>
      <c r="E1469" s="11" t="s">
        <v>7795</v>
      </c>
      <c r="F1469" s="11" t="s">
        <v>7712</v>
      </c>
      <c r="G1469" s="11" t="s">
        <v>7796</v>
      </c>
      <c r="H1469" s="11" t="s">
        <v>7653</v>
      </c>
      <c r="I1469" s="11" t="str">
        <f>HYPERLINK("http://www.euromoda1.it/","www.euromoda1.it")</f>
        <v>www.euromoda1.it</v>
      </c>
      <c r="J1469" s="12">
        <v>4402.1180000000004</v>
      </c>
      <c r="K1469" s="12">
        <v>4402.1180000000004</v>
      </c>
      <c r="L1469" s="13">
        <v>3953.797</v>
      </c>
      <c r="M1469" s="12">
        <v>544.52800000000002</v>
      </c>
      <c r="N1469" s="12">
        <v>544.52800000000002</v>
      </c>
      <c r="O1469" s="12">
        <v>385.952</v>
      </c>
      <c r="P1469" s="12">
        <v>15</v>
      </c>
      <c r="Q1469" s="12">
        <v>15</v>
      </c>
      <c r="R1469" s="12">
        <v>16</v>
      </c>
    </row>
    <row r="1470" spans="1:18" ht="17" customHeight="1" x14ac:dyDescent="0.15">
      <c r="A1470" s="8" t="s">
        <v>7797</v>
      </c>
      <c r="B1470" s="9" t="s">
        <v>7798</v>
      </c>
      <c r="C1470" s="8" t="s">
        <v>7799</v>
      </c>
      <c r="D1470" s="8" t="s">
        <v>7799</v>
      </c>
      <c r="E1470" s="8" t="s">
        <v>7800</v>
      </c>
      <c r="F1470" s="8" t="s">
        <v>7801</v>
      </c>
      <c r="G1470" s="8" t="s">
        <v>7802</v>
      </c>
      <c r="H1470" s="8" t="s">
        <v>7676</v>
      </c>
      <c r="I1470" s="8" t="str">
        <f>HYPERLINK("http://www.galliatepelli.it/","www.galliatepelli.it")</f>
        <v>www.galliatepelli.it</v>
      </c>
      <c r="J1470" s="10">
        <v>3429.2339999999999</v>
      </c>
      <c r="K1470" s="10">
        <v>3429.2339999999999</v>
      </c>
      <c r="L1470" s="10">
        <v>3947.2139999999999</v>
      </c>
      <c r="M1470" s="10">
        <v>-45.423000000000002</v>
      </c>
      <c r="N1470" s="10">
        <v>-45.423000000000002</v>
      </c>
      <c r="O1470" s="10">
        <v>49.372999999999998</v>
      </c>
      <c r="P1470" s="10">
        <v>14</v>
      </c>
      <c r="Q1470" s="10">
        <v>14</v>
      </c>
      <c r="R1470" s="10">
        <v>15</v>
      </c>
    </row>
    <row r="1471" spans="1:18" ht="17" customHeight="1" x14ac:dyDescent="0.15">
      <c r="A1471" s="11" t="s">
        <v>7803</v>
      </c>
      <c r="B1471" s="1" t="s">
        <v>7804</v>
      </c>
      <c r="C1471" s="11" t="s">
        <v>7805</v>
      </c>
      <c r="D1471" s="11" t="s">
        <v>7805</v>
      </c>
      <c r="E1471" s="11" t="s">
        <v>7806</v>
      </c>
      <c r="F1471" s="11" t="s">
        <v>7674</v>
      </c>
      <c r="G1471" s="11" t="s">
        <v>7807</v>
      </c>
      <c r="H1471" s="11" t="s">
        <v>7808</v>
      </c>
      <c r="I1471" s="11" t="str">
        <f>HYPERLINK("http://www.mgcreation.it/","www.mgcreation.it")</f>
        <v>www.mgcreation.it</v>
      </c>
      <c r="J1471" s="12">
        <v>3353.6529999999998</v>
      </c>
      <c r="K1471" s="12">
        <v>3353.6529999999998</v>
      </c>
      <c r="L1471" s="13">
        <v>3941.0050000000001</v>
      </c>
      <c r="M1471" s="12">
        <v>440.71499999999997</v>
      </c>
      <c r="N1471" s="12">
        <v>440.71499999999997</v>
      </c>
      <c r="O1471" s="12">
        <v>115.84399999999999</v>
      </c>
      <c r="P1471" s="12">
        <v>25</v>
      </c>
      <c r="Q1471" s="12">
        <v>25</v>
      </c>
      <c r="R1471" s="12">
        <v>26</v>
      </c>
    </row>
    <row r="1472" spans="1:18" ht="29.5" customHeight="1" x14ac:dyDescent="0.15">
      <c r="A1472" s="8" t="s">
        <v>7809</v>
      </c>
      <c r="B1472" s="9" t="s">
        <v>7810</v>
      </c>
      <c r="C1472" s="8" t="s">
        <v>7811</v>
      </c>
      <c r="D1472" s="8" t="s">
        <v>7811</v>
      </c>
      <c r="E1472" s="8" t="s">
        <v>7812</v>
      </c>
      <c r="F1472" s="8" t="s">
        <v>7755</v>
      </c>
      <c r="G1472" s="8" t="s">
        <v>7652</v>
      </c>
      <c r="H1472" s="8" t="s">
        <v>7653</v>
      </c>
      <c r="I1472" s="8" t="str">
        <f>HYPERLINK("http://elleduesse.it/","elleduesse.it")</f>
        <v>elleduesse.it</v>
      </c>
      <c r="J1472" s="10">
        <v>4288.0810000000001</v>
      </c>
      <c r="K1472" s="10">
        <v>4288.0810000000001</v>
      </c>
      <c r="L1472" s="10">
        <v>3939.9160000000002</v>
      </c>
      <c r="M1472" s="10">
        <v>326.39</v>
      </c>
      <c r="N1472" s="10">
        <v>326.39</v>
      </c>
      <c r="O1472" s="10">
        <v>285.10199999999998</v>
      </c>
      <c r="P1472" s="10">
        <v>35</v>
      </c>
      <c r="Q1472" s="10">
        <v>35</v>
      </c>
      <c r="R1472" s="10">
        <v>33</v>
      </c>
    </row>
    <row r="1473" spans="1:18" ht="17" customHeight="1" x14ac:dyDescent="0.15">
      <c r="A1473" s="11" t="s">
        <v>7813</v>
      </c>
      <c r="B1473" s="1" t="s">
        <v>7814</v>
      </c>
      <c r="C1473" s="11" t="s">
        <v>7815</v>
      </c>
      <c r="D1473" s="11" t="s">
        <v>7815</v>
      </c>
      <c r="E1473" s="11" t="s">
        <v>7816</v>
      </c>
      <c r="F1473" s="11" t="s">
        <v>7817</v>
      </c>
      <c r="G1473" s="11" t="s">
        <v>7818</v>
      </c>
      <c r="H1473" s="11" t="s">
        <v>7819</v>
      </c>
      <c r="I1473" s="11" t="str">
        <f>HYPERLINK("http://arkeconceria.com/","arkeconceria.com")</f>
        <v>arkeconceria.com</v>
      </c>
      <c r="J1473" s="12">
        <v>3602.2550000000001</v>
      </c>
      <c r="K1473" s="12">
        <v>3753.2330000000002</v>
      </c>
      <c r="L1473" s="13">
        <v>3937.6889999999999</v>
      </c>
      <c r="M1473" s="12">
        <v>-568.44500000000005</v>
      </c>
      <c r="N1473" s="12">
        <v>-371.40100000000001</v>
      </c>
      <c r="O1473" s="12">
        <v>-198.05099999999999</v>
      </c>
      <c r="P1473" s="12">
        <v>10</v>
      </c>
      <c r="Q1473" s="12">
        <v>10</v>
      </c>
      <c r="R1473" s="12">
        <v>14</v>
      </c>
    </row>
    <row r="1474" spans="1:18" ht="17" customHeight="1" x14ac:dyDescent="0.15">
      <c r="A1474" s="8" t="s">
        <v>7820</v>
      </c>
      <c r="B1474" s="9" t="s">
        <v>7821</v>
      </c>
      <c r="C1474" s="8" t="s">
        <v>7822</v>
      </c>
      <c r="D1474" s="8" t="s">
        <v>7822</v>
      </c>
      <c r="E1474" s="8" t="s">
        <v>7823</v>
      </c>
      <c r="F1474" s="8" t="s">
        <v>7824</v>
      </c>
      <c r="G1474" s="8" t="s">
        <v>7825</v>
      </c>
      <c r="H1474" s="8" t="s">
        <v>7826</v>
      </c>
      <c r="I1474" s="8" t="str">
        <f>HYPERLINK("http://www.cet-confezioni.it/","www.cet-confezioni.it")</f>
        <v>www.cet-confezioni.it</v>
      </c>
      <c r="J1474" s="10">
        <v>4633.335</v>
      </c>
      <c r="K1474" s="10">
        <v>4633.335</v>
      </c>
      <c r="L1474" s="10">
        <v>3930.9459999999999</v>
      </c>
      <c r="M1474" s="10">
        <v>210.393</v>
      </c>
      <c r="N1474" s="10">
        <v>210.393</v>
      </c>
      <c r="O1474" s="10">
        <v>126.21899999999999</v>
      </c>
      <c r="P1474" s="15" t="s">
        <v>7827</v>
      </c>
      <c r="Q1474" s="15" t="s">
        <v>7827</v>
      </c>
      <c r="R1474" s="10">
        <v>17</v>
      </c>
    </row>
    <row r="1475" spans="1:18" ht="17" customHeight="1" x14ac:dyDescent="0.15">
      <c r="A1475" s="11" t="s">
        <v>7828</v>
      </c>
      <c r="B1475" s="1" t="s">
        <v>7829</v>
      </c>
      <c r="C1475" s="11" t="s">
        <v>7830</v>
      </c>
      <c r="D1475" s="11" t="s">
        <v>7830</v>
      </c>
      <c r="E1475" s="11" t="s">
        <v>7831</v>
      </c>
      <c r="F1475" s="11" t="s">
        <v>7832</v>
      </c>
      <c r="G1475" s="11" t="s">
        <v>7833</v>
      </c>
      <c r="H1475" s="11" t="s">
        <v>7834</v>
      </c>
      <c r="I1475" s="11" t="str">
        <f>HYPERLINK("http://tricotchic.it/","tricotchic.it")</f>
        <v>tricotchic.it</v>
      </c>
      <c r="J1475" s="12">
        <v>3555.194</v>
      </c>
      <c r="K1475" s="12">
        <v>4106.4750000000004</v>
      </c>
      <c r="L1475" s="13">
        <v>3928.377</v>
      </c>
      <c r="M1475" s="12">
        <v>69.364000000000004</v>
      </c>
      <c r="N1475" s="12">
        <v>94.813000000000002</v>
      </c>
      <c r="O1475" s="12">
        <v>228.381</v>
      </c>
      <c r="P1475" s="12">
        <v>21</v>
      </c>
      <c r="Q1475" s="12">
        <v>22</v>
      </c>
      <c r="R1475" s="12">
        <v>19</v>
      </c>
    </row>
    <row r="1476" spans="1:18" ht="17" customHeight="1" x14ac:dyDescent="0.15">
      <c r="A1476" s="8" t="s">
        <v>7835</v>
      </c>
      <c r="B1476" s="9" t="s">
        <v>7836</v>
      </c>
      <c r="C1476" s="8" t="s">
        <v>7837</v>
      </c>
      <c r="D1476" s="8" t="s">
        <v>7837</v>
      </c>
      <c r="E1476" s="8" t="s">
        <v>7838</v>
      </c>
      <c r="F1476" s="8" t="s">
        <v>7839</v>
      </c>
      <c r="G1476" s="8" t="s">
        <v>7840</v>
      </c>
      <c r="H1476" s="8" t="s">
        <v>7819</v>
      </c>
      <c r="I1476" s="8" t="str">
        <f>HYPERLINK("http://www.missaccessori.it/","www.missaccessori.it")</f>
        <v>www.missaccessori.it</v>
      </c>
      <c r="J1476" s="10">
        <v>4188.3670000000002</v>
      </c>
      <c r="K1476" s="10">
        <v>4188.3670000000002</v>
      </c>
      <c r="L1476" s="10">
        <v>3922.32</v>
      </c>
      <c r="M1476" s="10">
        <v>19.263999999999999</v>
      </c>
      <c r="N1476" s="10">
        <v>19.263999999999999</v>
      </c>
      <c r="O1476" s="10">
        <v>996.178</v>
      </c>
      <c r="P1476" s="10">
        <v>30</v>
      </c>
      <c r="Q1476" s="10">
        <v>30</v>
      </c>
      <c r="R1476" s="10">
        <v>34</v>
      </c>
    </row>
    <row r="1477" spans="1:18" ht="17" customHeight="1" x14ac:dyDescent="0.15">
      <c r="A1477" s="11" t="s">
        <v>7841</v>
      </c>
      <c r="B1477" s="1" t="s">
        <v>7842</v>
      </c>
      <c r="C1477" s="11" t="s">
        <v>7843</v>
      </c>
      <c r="D1477" s="11" t="s">
        <v>7843</v>
      </c>
      <c r="E1477" s="11" t="s">
        <v>7844</v>
      </c>
      <c r="F1477" s="11" t="s">
        <v>7845</v>
      </c>
      <c r="G1477" s="11" t="s">
        <v>7846</v>
      </c>
      <c r="H1477" s="11" t="s">
        <v>7847</v>
      </c>
      <c r="I1477" s="11" t="str">
        <f>HYPERLINK("http://eliamaurizi.eu/","eliamaurizi.eu")</f>
        <v>eliamaurizi.eu</v>
      </c>
      <c r="J1477" s="12">
        <v>4096.0680000000002</v>
      </c>
      <c r="K1477" s="12">
        <v>4096.0680000000002</v>
      </c>
      <c r="L1477" s="13">
        <v>3921.5740000000001</v>
      </c>
      <c r="M1477" s="12">
        <v>3.6859999999999999</v>
      </c>
      <c r="N1477" s="12">
        <v>3.6859999999999999</v>
      </c>
      <c r="O1477" s="12">
        <v>22.780999999999999</v>
      </c>
      <c r="P1477" s="12">
        <v>34</v>
      </c>
      <c r="Q1477" s="12">
        <v>34</v>
      </c>
      <c r="R1477" s="12">
        <v>31</v>
      </c>
    </row>
    <row r="1478" spans="1:18" ht="29.5" customHeight="1" x14ac:dyDescent="0.15">
      <c r="A1478" s="8" t="s">
        <v>7848</v>
      </c>
      <c r="B1478" s="9" t="s">
        <v>7849</v>
      </c>
      <c r="C1478" s="8" t="s">
        <v>7850</v>
      </c>
      <c r="D1478" s="8" t="s">
        <v>7850</v>
      </c>
      <c r="E1478" s="8" t="s">
        <v>7851</v>
      </c>
      <c r="F1478" s="8" t="s">
        <v>7852</v>
      </c>
      <c r="G1478" s="8" t="s">
        <v>7853</v>
      </c>
      <c r="H1478" s="8" t="s">
        <v>7819</v>
      </c>
      <c r="I1478" s="8" t="str">
        <f>HYPERLINK("http://www.studiopelle.it/","www.studiopelle.it")</f>
        <v>www.studiopelle.it</v>
      </c>
      <c r="J1478" s="10">
        <v>3352.4879999999998</v>
      </c>
      <c r="K1478" s="10">
        <v>3352.4879999999998</v>
      </c>
      <c r="L1478" s="10">
        <v>3918.971</v>
      </c>
      <c r="M1478" s="10">
        <v>288.577</v>
      </c>
      <c r="N1478" s="10">
        <v>288.577</v>
      </c>
      <c r="O1478" s="10">
        <v>665.35699999999997</v>
      </c>
      <c r="P1478" s="10">
        <v>28</v>
      </c>
      <c r="Q1478" s="10">
        <v>28</v>
      </c>
      <c r="R1478" s="10">
        <v>44</v>
      </c>
    </row>
    <row r="1479" spans="1:18" ht="17" customHeight="1" x14ac:dyDescent="0.15">
      <c r="A1479" s="11" t="s">
        <v>7854</v>
      </c>
      <c r="B1479" s="1" t="s">
        <v>7855</v>
      </c>
      <c r="C1479" s="11" t="s">
        <v>7856</v>
      </c>
      <c r="D1479" s="11" t="s">
        <v>7856</v>
      </c>
      <c r="E1479" s="11" t="s">
        <v>7857</v>
      </c>
      <c r="F1479" s="11" t="s">
        <v>7817</v>
      </c>
      <c r="G1479" s="11" t="s">
        <v>7818</v>
      </c>
      <c r="H1479" s="11" t="s">
        <v>7819</v>
      </c>
      <c r="I1479" s="11" t="str">
        <f>HYPERLINK("http://www.pistolesisrl.it/","www.pistolesisrl.it")</f>
        <v>www.pistolesisrl.it</v>
      </c>
      <c r="J1479" s="12">
        <v>4152.9849999999997</v>
      </c>
      <c r="K1479" s="12">
        <v>4152.9849999999997</v>
      </c>
      <c r="L1479" s="13">
        <v>3916.6149999999998</v>
      </c>
      <c r="M1479" s="12">
        <v>26.105</v>
      </c>
      <c r="N1479" s="12">
        <v>26.105</v>
      </c>
      <c r="O1479" s="12">
        <v>29.623999999999999</v>
      </c>
      <c r="P1479" s="12">
        <v>20</v>
      </c>
      <c r="Q1479" s="12">
        <v>20</v>
      </c>
      <c r="R1479" s="12">
        <v>20</v>
      </c>
    </row>
    <row r="1480" spans="1:18" ht="17" customHeight="1" x14ac:dyDescent="0.15">
      <c r="A1480" s="8" t="s">
        <v>7858</v>
      </c>
      <c r="B1480" s="9" t="s">
        <v>7859</v>
      </c>
      <c r="C1480" s="8" t="s">
        <v>7860</v>
      </c>
      <c r="D1480" s="8" t="s">
        <v>7860</v>
      </c>
      <c r="E1480" s="8" t="s">
        <v>7861</v>
      </c>
      <c r="F1480" s="8" t="s">
        <v>7862</v>
      </c>
      <c r="G1480" s="8" t="s">
        <v>7846</v>
      </c>
      <c r="H1480" s="8" t="s">
        <v>7847</v>
      </c>
      <c r="I1480" s="8" t="str">
        <f>HYPERLINK("http://www.suolificioquality.it/","www.suolificioquality.it")</f>
        <v>www.suolificioquality.it</v>
      </c>
      <c r="J1480" s="10">
        <v>4074.136</v>
      </c>
      <c r="K1480" s="10">
        <v>4074.136</v>
      </c>
      <c r="L1480" s="10">
        <v>3909.9340000000002</v>
      </c>
      <c r="M1480" s="10">
        <v>125.22499999999999</v>
      </c>
      <c r="N1480" s="10">
        <v>125.22499999999999</v>
      </c>
      <c r="O1480" s="10">
        <v>126.387</v>
      </c>
      <c r="P1480" s="10">
        <v>16</v>
      </c>
      <c r="Q1480" s="10">
        <v>16</v>
      </c>
      <c r="R1480" s="10">
        <v>16</v>
      </c>
    </row>
    <row r="1481" spans="1:18" ht="17" customHeight="1" x14ac:dyDescent="0.15">
      <c r="A1481" s="11" t="s">
        <v>7863</v>
      </c>
      <c r="B1481" s="1" t="s">
        <v>7864</v>
      </c>
      <c r="C1481" s="11" t="s">
        <v>7865</v>
      </c>
      <c r="D1481" s="11" t="s">
        <v>7865</v>
      </c>
      <c r="E1481" s="11" t="s">
        <v>7866</v>
      </c>
      <c r="F1481" s="11" t="s">
        <v>7867</v>
      </c>
      <c r="G1481" s="11" t="s">
        <v>7853</v>
      </c>
      <c r="H1481" s="11" t="s">
        <v>7819</v>
      </c>
      <c r="I1481" s="11" t="str">
        <f>HYPERLINK("http://www.mondopensato.it/","www.mondopensato.it")</f>
        <v>www.mondopensato.it</v>
      </c>
      <c r="J1481" s="12">
        <v>3801.5459999999998</v>
      </c>
      <c r="K1481" s="12">
        <v>3801.5459999999998</v>
      </c>
      <c r="L1481" s="13">
        <v>3906.0459999999998</v>
      </c>
      <c r="M1481" s="12">
        <v>-686.452</v>
      </c>
      <c r="N1481" s="12">
        <v>-686.452</v>
      </c>
      <c r="O1481" s="12">
        <v>66.384</v>
      </c>
      <c r="P1481" s="12">
        <v>22</v>
      </c>
      <c r="Q1481" s="12">
        <v>22</v>
      </c>
      <c r="R1481" s="12">
        <v>23</v>
      </c>
    </row>
    <row r="1482" spans="1:18" ht="17" customHeight="1" x14ac:dyDescent="0.15">
      <c r="A1482" s="8" t="s">
        <v>7868</v>
      </c>
      <c r="B1482" s="9" t="s">
        <v>7869</v>
      </c>
      <c r="C1482" s="8" t="s">
        <v>7870</v>
      </c>
      <c r="D1482" s="8" t="s">
        <v>7870</v>
      </c>
      <c r="E1482" s="8" t="s">
        <v>7871</v>
      </c>
      <c r="F1482" s="8" t="s">
        <v>7832</v>
      </c>
      <c r="G1482" s="8" t="s">
        <v>7872</v>
      </c>
      <c r="H1482" s="8" t="s">
        <v>7834</v>
      </c>
      <c r="I1482" s="8" t="str">
        <f>HYPERLINK("http://www.bipbip.it/","www.bipbip.it")</f>
        <v>www.bipbip.it</v>
      </c>
      <c r="J1482" s="10">
        <v>3056.451</v>
      </c>
      <c r="K1482" s="10">
        <v>3663.3130000000001</v>
      </c>
      <c r="L1482" s="10">
        <v>3896.9279999999999</v>
      </c>
      <c r="M1482" s="10">
        <v>15.875</v>
      </c>
      <c r="N1482" s="10">
        <v>-292.67</v>
      </c>
      <c r="O1482" s="10">
        <v>10.315</v>
      </c>
      <c r="P1482" s="10">
        <v>13</v>
      </c>
      <c r="Q1482" s="10">
        <v>17</v>
      </c>
      <c r="R1482" s="10">
        <v>15</v>
      </c>
    </row>
    <row r="1483" spans="1:18" ht="17" customHeight="1" x14ac:dyDescent="0.15">
      <c r="A1483" s="11" t="s">
        <v>7873</v>
      </c>
      <c r="B1483" s="1" t="s">
        <v>7874</v>
      </c>
      <c r="C1483" s="11" t="s">
        <v>7875</v>
      </c>
      <c r="D1483" s="11" t="s">
        <v>7875</v>
      </c>
      <c r="E1483" s="11" t="s">
        <v>7876</v>
      </c>
      <c r="F1483" s="11" t="s">
        <v>7845</v>
      </c>
      <c r="G1483" s="11" t="s">
        <v>7877</v>
      </c>
      <c r="H1483" s="11" t="s">
        <v>7878</v>
      </c>
      <c r="I1483" s="11" t="str">
        <f>HYPERLINK("http://www.francescobenigno.it/","www.francescobenigno.it")</f>
        <v>www.francescobenigno.it</v>
      </c>
      <c r="J1483" s="12">
        <v>4289.4120000000003</v>
      </c>
      <c r="K1483" s="12">
        <v>4289.4120000000003</v>
      </c>
      <c r="L1483" s="13">
        <v>3887.7539999999999</v>
      </c>
      <c r="M1483" s="12">
        <v>117.004</v>
      </c>
      <c r="N1483" s="12">
        <v>117.004</v>
      </c>
      <c r="O1483" s="12">
        <v>197.52500000000001</v>
      </c>
      <c r="P1483" s="12">
        <v>70</v>
      </c>
      <c r="Q1483" s="12">
        <v>70</v>
      </c>
      <c r="R1483" s="12">
        <v>60</v>
      </c>
    </row>
    <row r="1484" spans="1:18" ht="17" customHeight="1" x14ac:dyDescent="0.15">
      <c r="A1484" s="8" t="s">
        <v>7879</v>
      </c>
      <c r="B1484" s="9" t="s">
        <v>7880</v>
      </c>
      <c r="C1484" s="8" t="s">
        <v>7881</v>
      </c>
      <c r="D1484" s="8" t="s">
        <v>7881</v>
      </c>
      <c r="E1484" s="8" t="s">
        <v>7882</v>
      </c>
      <c r="F1484" s="8" t="s">
        <v>7852</v>
      </c>
      <c r="G1484" s="8" t="s">
        <v>7883</v>
      </c>
      <c r="H1484" s="8" t="s">
        <v>7884</v>
      </c>
      <c r="I1484" s="8" t="str">
        <f>HYPERLINK("http://romapelletterie.it/","romapelletterie.it")</f>
        <v>romapelletterie.it</v>
      </c>
      <c r="J1484" s="10">
        <v>4679.384</v>
      </c>
      <c r="K1484" s="10">
        <v>4679.384</v>
      </c>
      <c r="L1484" s="10">
        <v>3876.605</v>
      </c>
      <c r="M1484" s="10">
        <v>181.65799999999999</v>
      </c>
      <c r="N1484" s="10">
        <v>181.65799999999999</v>
      </c>
      <c r="O1484" s="10">
        <v>21.443000000000001</v>
      </c>
      <c r="P1484" s="10">
        <v>101</v>
      </c>
      <c r="Q1484" s="10">
        <v>101</v>
      </c>
      <c r="R1484" s="10">
        <v>98</v>
      </c>
    </row>
    <row r="1485" spans="1:18" ht="29.5" customHeight="1" x14ac:dyDescent="0.15">
      <c r="A1485" s="11" t="s">
        <v>7885</v>
      </c>
      <c r="B1485" s="1" t="s">
        <v>7886</v>
      </c>
      <c r="C1485" s="11" t="s">
        <v>7887</v>
      </c>
      <c r="D1485" s="11" t="s">
        <v>7887</v>
      </c>
      <c r="E1485" s="11" t="s">
        <v>7888</v>
      </c>
      <c r="F1485" s="11" t="s">
        <v>7817</v>
      </c>
      <c r="G1485" s="11" t="s">
        <v>7889</v>
      </c>
      <c r="H1485" s="11" t="s">
        <v>7890</v>
      </c>
      <c r="I1485" s="11" t="str">
        <f>HYPERLINK("http://www.studioart.it/","www.studioart.it")</f>
        <v>www.studioart.it</v>
      </c>
      <c r="J1485" s="12">
        <v>3749.123</v>
      </c>
      <c r="K1485" s="12">
        <v>3749.123</v>
      </c>
      <c r="L1485" s="13">
        <v>3874.848</v>
      </c>
      <c r="M1485" s="12">
        <v>22.716000000000001</v>
      </c>
      <c r="N1485" s="12">
        <v>22.716000000000001</v>
      </c>
      <c r="O1485" s="12">
        <v>114.14</v>
      </c>
      <c r="P1485" s="12">
        <v>14</v>
      </c>
      <c r="Q1485" s="12">
        <v>14</v>
      </c>
      <c r="R1485" s="12">
        <v>14</v>
      </c>
    </row>
    <row r="1486" spans="1:18" ht="17" customHeight="1" x14ac:dyDescent="0.15">
      <c r="A1486" s="8" t="s">
        <v>7891</v>
      </c>
      <c r="B1486" s="9" t="s">
        <v>7892</v>
      </c>
      <c r="C1486" s="8" t="s">
        <v>7893</v>
      </c>
      <c r="D1486" s="8" t="s">
        <v>7893</v>
      </c>
      <c r="E1486" s="8" t="s">
        <v>7894</v>
      </c>
      <c r="F1486" s="8" t="s">
        <v>7824</v>
      </c>
      <c r="G1486" s="8" t="s">
        <v>7840</v>
      </c>
      <c r="H1486" s="8" t="s">
        <v>7819</v>
      </c>
      <c r="I1486" s="8" t="str">
        <f>HYPERLINK("http://www.5effec.com/","www.5effec.com")</f>
        <v>www.5effec.com</v>
      </c>
      <c r="J1486" s="10">
        <v>3505.2890000000002</v>
      </c>
      <c r="K1486" s="10">
        <v>3505.2890000000002</v>
      </c>
      <c r="L1486" s="10">
        <v>3874.0709999999999</v>
      </c>
      <c r="M1486" s="10">
        <v>-88.542000000000002</v>
      </c>
      <c r="N1486" s="10">
        <v>-88.542000000000002</v>
      </c>
      <c r="O1486" s="10">
        <v>46.274000000000001</v>
      </c>
      <c r="P1486" s="10">
        <v>16</v>
      </c>
      <c r="Q1486" s="10">
        <v>16</v>
      </c>
      <c r="R1486" s="10">
        <v>16</v>
      </c>
    </row>
    <row r="1487" spans="1:18" ht="29.5" customHeight="1" x14ac:dyDescent="0.15">
      <c r="A1487" s="11" t="s">
        <v>7895</v>
      </c>
      <c r="B1487" s="1" t="s">
        <v>7896</v>
      </c>
      <c r="C1487" s="11" t="s">
        <v>7897</v>
      </c>
      <c r="D1487" s="11" t="s">
        <v>7897</v>
      </c>
      <c r="E1487" s="11" t="s">
        <v>7898</v>
      </c>
      <c r="F1487" s="11" t="s">
        <v>7817</v>
      </c>
      <c r="G1487" s="11" t="s">
        <v>7889</v>
      </c>
      <c r="H1487" s="11" t="s">
        <v>7890</v>
      </c>
      <c r="I1487" s="11" t="str">
        <f>HYPERLINK("http://www.coparsrl.it/","www.coparsrl.it")</f>
        <v>www.coparsrl.it</v>
      </c>
      <c r="J1487" s="12">
        <v>3532.962</v>
      </c>
      <c r="K1487" s="12">
        <v>3532.962</v>
      </c>
      <c r="L1487" s="13">
        <v>3873.5259999999998</v>
      </c>
      <c r="M1487" s="12">
        <v>8.6129999999999995</v>
      </c>
      <c r="N1487" s="12">
        <v>8.6129999999999995</v>
      </c>
      <c r="O1487" s="12">
        <v>38.100999999999999</v>
      </c>
      <c r="P1487" s="12">
        <v>14</v>
      </c>
      <c r="Q1487" s="12">
        <v>14</v>
      </c>
      <c r="R1487" s="12">
        <v>21</v>
      </c>
    </row>
    <row r="1488" spans="1:18" ht="17" customHeight="1" x14ac:dyDescent="0.15">
      <c r="A1488" s="8" t="s">
        <v>7899</v>
      </c>
      <c r="B1488" s="9" t="s">
        <v>7900</v>
      </c>
      <c r="C1488" s="8" t="s">
        <v>7901</v>
      </c>
      <c r="D1488" s="8" t="s">
        <v>7901</v>
      </c>
      <c r="E1488" s="8" t="s">
        <v>7902</v>
      </c>
      <c r="F1488" s="8" t="s">
        <v>7824</v>
      </c>
      <c r="G1488" s="8" t="s">
        <v>7903</v>
      </c>
      <c r="H1488" s="8" t="s">
        <v>7890</v>
      </c>
      <c r="I1488" s="8" t="str">
        <f>HYPERLINK("http://www.ventifive.com/","www.ventifive.com")</f>
        <v>www.ventifive.com</v>
      </c>
      <c r="J1488" s="10">
        <v>3155.8490000000002</v>
      </c>
      <c r="K1488" s="10">
        <v>3155.8490000000002</v>
      </c>
      <c r="L1488" s="10">
        <v>3864.88</v>
      </c>
      <c r="M1488" s="10">
        <v>-432.53</v>
      </c>
      <c r="N1488" s="10">
        <v>-432.53</v>
      </c>
      <c r="O1488" s="10">
        <v>-2.3479999999999999</v>
      </c>
      <c r="P1488" s="15" t="s">
        <v>7827</v>
      </c>
      <c r="Q1488" s="15" t="s">
        <v>7827</v>
      </c>
      <c r="R1488" s="10">
        <v>3</v>
      </c>
    </row>
    <row r="1489" spans="1:18" ht="17" customHeight="1" x14ac:dyDescent="0.15">
      <c r="A1489" s="11" t="s">
        <v>7904</v>
      </c>
      <c r="B1489" s="1" t="s">
        <v>7905</v>
      </c>
      <c r="C1489" s="11" t="s">
        <v>7906</v>
      </c>
      <c r="D1489" s="11" t="s">
        <v>7906</v>
      </c>
      <c r="E1489" s="11" t="s">
        <v>7907</v>
      </c>
      <c r="F1489" s="11" t="s">
        <v>7867</v>
      </c>
      <c r="G1489" s="11" t="s">
        <v>7908</v>
      </c>
      <c r="H1489" s="11" t="s">
        <v>7847</v>
      </c>
      <c r="I1489" s="11" t="str">
        <f>HYPERLINK("http://www.fly3.it/","www.fly3.it")</f>
        <v>www.fly3.it</v>
      </c>
      <c r="J1489" s="12">
        <v>4061.6550000000002</v>
      </c>
      <c r="K1489" s="12">
        <v>4061.6550000000002</v>
      </c>
      <c r="L1489" s="13">
        <v>3862.6</v>
      </c>
      <c r="M1489" s="12">
        <v>68.088999999999999</v>
      </c>
      <c r="N1489" s="12">
        <v>68.088999999999999</v>
      </c>
      <c r="O1489" s="12">
        <v>55.334000000000003</v>
      </c>
      <c r="P1489" s="12">
        <v>17</v>
      </c>
      <c r="Q1489" s="12">
        <v>17</v>
      </c>
      <c r="R1489" s="12">
        <v>32</v>
      </c>
    </row>
    <row r="1490" spans="1:18" ht="17" customHeight="1" x14ac:dyDescent="0.15">
      <c r="A1490" s="8" t="s">
        <v>7909</v>
      </c>
      <c r="B1490" s="9" t="s">
        <v>7910</v>
      </c>
      <c r="C1490" s="8" t="s">
        <v>7911</v>
      </c>
      <c r="D1490" s="8" t="s">
        <v>7911</v>
      </c>
      <c r="E1490" s="8" t="s">
        <v>7912</v>
      </c>
      <c r="F1490" s="8" t="s">
        <v>7824</v>
      </c>
      <c r="G1490" s="8" t="s">
        <v>7913</v>
      </c>
      <c r="H1490" s="8" t="s">
        <v>7834</v>
      </c>
      <c r="I1490" s="8" t="str">
        <f>HYPERLINK("http://www.giuseppedimorabito.com/","www.giuseppedimorabito.com")</f>
        <v>www.giuseppedimorabito.com</v>
      </c>
      <c r="J1490" s="10">
        <v>5234.049</v>
      </c>
      <c r="K1490" s="10">
        <v>5234.049</v>
      </c>
      <c r="L1490" s="10">
        <v>3858.8879999999999</v>
      </c>
      <c r="M1490" s="10">
        <v>246.124</v>
      </c>
      <c r="N1490" s="10">
        <v>246.124</v>
      </c>
      <c r="O1490" s="10">
        <v>-668.58100000000002</v>
      </c>
      <c r="P1490" s="10">
        <v>5</v>
      </c>
      <c r="Q1490" s="10">
        <v>5</v>
      </c>
      <c r="R1490" s="10">
        <v>3</v>
      </c>
    </row>
    <row r="1491" spans="1:18" ht="17" customHeight="1" x14ac:dyDescent="0.15">
      <c r="A1491" s="11" t="s">
        <v>7914</v>
      </c>
      <c r="B1491" s="1" t="s">
        <v>7915</v>
      </c>
      <c r="C1491" s="11" t="s">
        <v>7916</v>
      </c>
      <c r="D1491" s="11" t="s">
        <v>7916</v>
      </c>
      <c r="E1491" s="11" t="s">
        <v>7917</v>
      </c>
      <c r="F1491" s="11" t="s">
        <v>7867</v>
      </c>
      <c r="G1491" s="11" t="s">
        <v>7918</v>
      </c>
      <c r="H1491" s="11" t="s">
        <v>7919</v>
      </c>
      <c r="I1491" s="11" t="str">
        <f>HYPERLINK("http://www.corini.net/","www.corini.net")</f>
        <v>www.corini.net</v>
      </c>
      <c r="J1491" s="12">
        <v>5311.4589999999998</v>
      </c>
      <c r="K1491" s="12">
        <v>5311.4589999999998</v>
      </c>
      <c r="L1491" s="13">
        <v>3858.163</v>
      </c>
      <c r="M1491" s="12">
        <v>869.53499999999997</v>
      </c>
      <c r="N1491" s="12">
        <v>869.53499999999997</v>
      </c>
      <c r="O1491" s="12">
        <v>288.40499999999997</v>
      </c>
      <c r="P1491" s="12">
        <v>14</v>
      </c>
      <c r="Q1491" s="12">
        <v>14</v>
      </c>
      <c r="R1491" s="12">
        <v>14</v>
      </c>
    </row>
    <row r="1492" spans="1:18" ht="17" customHeight="1" x14ac:dyDescent="0.15">
      <c r="A1492" s="8" t="s">
        <v>7920</v>
      </c>
      <c r="B1492" s="9" t="s">
        <v>7921</v>
      </c>
      <c r="C1492" s="8" t="s">
        <v>7922</v>
      </c>
      <c r="D1492" s="8" t="s">
        <v>7922</v>
      </c>
      <c r="E1492" s="8" t="s">
        <v>7923</v>
      </c>
      <c r="F1492" s="8" t="s">
        <v>7817</v>
      </c>
      <c r="G1492" s="8" t="s">
        <v>7924</v>
      </c>
      <c r="H1492" s="8" t="s">
        <v>7878</v>
      </c>
      <c r="I1492" s="8" t="str">
        <f>HYPERLINK("http://metissesuede.it/","metissesuede.it")</f>
        <v>metissesuede.it</v>
      </c>
      <c r="J1492" s="10">
        <v>2383.4499999999998</v>
      </c>
      <c r="K1492" s="10">
        <v>2383.4499999999998</v>
      </c>
      <c r="L1492" s="10">
        <v>3857.5529999999999</v>
      </c>
      <c r="M1492" s="10">
        <v>12.475</v>
      </c>
      <c r="N1492" s="10">
        <v>12.475</v>
      </c>
      <c r="O1492" s="10">
        <v>6.97</v>
      </c>
      <c r="P1492" s="10">
        <v>15</v>
      </c>
      <c r="Q1492" s="10">
        <v>15</v>
      </c>
      <c r="R1492" s="10">
        <v>13</v>
      </c>
    </row>
    <row r="1493" spans="1:18" ht="17" customHeight="1" x14ac:dyDescent="0.15">
      <c r="A1493" s="11" t="s">
        <v>7925</v>
      </c>
      <c r="B1493" s="1" t="s">
        <v>7926</v>
      </c>
      <c r="C1493" s="11" t="s">
        <v>7927</v>
      </c>
      <c r="D1493" s="11" t="s">
        <v>7927</v>
      </c>
      <c r="E1493" s="11" t="s">
        <v>7928</v>
      </c>
      <c r="F1493" s="11" t="s">
        <v>7862</v>
      </c>
      <c r="G1493" s="11" t="s">
        <v>7929</v>
      </c>
      <c r="H1493" s="11" t="s">
        <v>7847</v>
      </c>
      <c r="I1493" s="11" t="str">
        <f>HYPERLINK("http://www.stellasolesfactory.com/","www.stellasolesfactory.com")</f>
        <v>www.stellasolesfactory.com</v>
      </c>
      <c r="J1493" s="12">
        <v>3366.2759999999998</v>
      </c>
      <c r="K1493" s="12">
        <v>3366.2759999999998</v>
      </c>
      <c r="L1493" s="13">
        <v>3856.7040000000002</v>
      </c>
      <c r="M1493" s="12">
        <v>-76.872</v>
      </c>
      <c r="N1493" s="12">
        <v>-76.872</v>
      </c>
      <c r="O1493" s="12">
        <v>15.776999999999999</v>
      </c>
      <c r="P1493" s="12">
        <v>27</v>
      </c>
      <c r="Q1493" s="12">
        <v>27</v>
      </c>
      <c r="R1493" s="12">
        <v>28</v>
      </c>
    </row>
    <row r="1494" spans="1:18" ht="17" customHeight="1" x14ac:dyDescent="0.15">
      <c r="A1494" s="8" t="s">
        <v>7930</v>
      </c>
      <c r="B1494" s="9" t="s">
        <v>7931</v>
      </c>
      <c r="C1494" s="8" t="s">
        <v>7932</v>
      </c>
      <c r="D1494" s="8" t="s">
        <v>7932</v>
      </c>
      <c r="E1494" s="8" t="s">
        <v>7933</v>
      </c>
      <c r="F1494" s="8" t="s">
        <v>7934</v>
      </c>
      <c r="G1494" s="8" t="s">
        <v>7877</v>
      </c>
      <c r="H1494" s="8" t="s">
        <v>7878</v>
      </c>
      <c r="I1494" s="8" t="str">
        <f>HYPERLINK("http://www.reviseconcept.com/","www.reviseconcept.com")</f>
        <v>www.reviseconcept.com</v>
      </c>
      <c r="J1494" s="10">
        <v>3697.0590000000002</v>
      </c>
      <c r="K1494" s="10">
        <v>3697.0590000000002</v>
      </c>
      <c r="L1494" s="10">
        <v>3852.8870000000002</v>
      </c>
      <c r="M1494" s="10">
        <v>40.691000000000003</v>
      </c>
      <c r="N1494" s="10">
        <v>40.691000000000003</v>
      </c>
      <c r="O1494" s="10">
        <v>119.55</v>
      </c>
      <c r="P1494" s="10">
        <v>13</v>
      </c>
      <c r="Q1494" s="10">
        <v>13</v>
      </c>
      <c r="R1494" s="10">
        <v>12</v>
      </c>
    </row>
    <row r="1495" spans="1:18" ht="17" customHeight="1" x14ac:dyDescent="0.15">
      <c r="A1495" s="11" t="s">
        <v>7935</v>
      </c>
      <c r="B1495" s="1" t="s">
        <v>7936</v>
      </c>
      <c r="C1495" s="11" t="s">
        <v>7937</v>
      </c>
      <c r="D1495" s="11" t="s">
        <v>7937</v>
      </c>
      <c r="E1495" s="11" t="s">
        <v>7938</v>
      </c>
      <c r="F1495" s="11" t="s">
        <v>7862</v>
      </c>
      <c r="G1495" s="11" t="s">
        <v>7939</v>
      </c>
      <c r="H1495" s="11" t="s">
        <v>7940</v>
      </c>
      <c r="I1495" s="11" t="str">
        <f>HYPERLINK("http://www.newsafetywork.it/","www.newsafetywork.it")</f>
        <v>www.newsafetywork.it</v>
      </c>
      <c r="J1495" s="12">
        <v>4021.933</v>
      </c>
      <c r="K1495" s="12">
        <v>4021.933</v>
      </c>
      <c r="L1495" s="13">
        <v>3851.8850000000002</v>
      </c>
      <c r="M1495" s="12">
        <v>105.03100000000001</v>
      </c>
      <c r="N1495" s="12">
        <v>105.03100000000001</v>
      </c>
      <c r="O1495" s="12">
        <v>131.03700000000001</v>
      </c>
      <c r="P1495" s="12">
        <v>29</v>
      </c>
      <c r="Q1495" s="12">
        <v>29</v>
      </c>
      <c r="R1495" s="12">
        <v>38</v>
      </c>
    </row>
    <row r="1496" spans="1:18" ht="29.5" customHeight="1" x14ac:dyDescent="0.15">
      <c r="A1496" s="8" t="s">
        <v>7941</v>
      </c>
      <c r="B1496" s="9" t="s">
        <v>7942</v>
      </c>
      <c r="C1496" s="8" t="s">
        <v>7943</v>
      </c>
      <c r="D1496" s="8" t="s">
        <v>7943</v>
      </c>
      <c r="E1496" s="8" t="s">
        <v>7944</v>
      </c>
      <c r="F1496" s="8" t="s">
        <v>7817</v>
      </c>
      <c r="G1496" s="8" t="s">
        <v>7818</v>
      </c>
      <c r="H1496" s="8" t="s">
        <v>7819</v>
      </c>
      <c r="I1496" s="8" t="str">
        <f>HYPERLINK("http://www.mtpellami.it/","http://www.mtpellami.it/")</f>
        <v>http://www.mtpellami.it/</v>
      </c>
      <c r="J1496" s="10">
        <v>3892.4940000000001</v>
      </c>
      <c r="K1496" s="10">
        <v>3892.4940000000001</v>
      </c>
      <c r="L1496" s="10">
        <v>3850.2689999999998</v>
      </c>
      <c r="M1496" s="10">
        <v>18.158000000000001</v>
      </c>
      <c r="N1496" s="10">
        <v>18.158000000000001</v>
      </c>
      <c r="O1496" s="10">
        <v>13.069000000000001</v>
      </c>
      <c r="P1496" s="10">
        <v>4</v>
      </c>
      <c r="Q1496" s="10">
        <v>4</v>
      </c>
      <c r="R1496" s="10">
        <v>5</v>
      </c>
    </row>
    <row r="1497" spans="1:18" ht="43" customHeight="1" x14ac:dyDescent="0.15">
      <c r="A1497" s="11" t="s">
        <v>7945</v>
      </c>
      <c r="B1497" s="1" t="s">
        <v>7946</v>
      </c>
      <c r="C1497" s="11" t="s">
        <v>7947</v>
      </c>
      <c r="D1497" s="11" t="s">
        <v>7947</v>
      </c>
      <c r="E1497" s="11" t="s">
        <v>7948</v>
      </c>
      <c r="F1497" s="11" t="s">
        <v>7839</v>
      </c>
      <c r="G1497" s="11" t="s">
        <v>7883</v>
      </c>
      <c r="H1497" s="11" t="s">
        <v>7884</v>
      </c>
      <c r="I1497" s="11" t="str">
        <f>HYPERLINK("http://www.manifatturevibrata.it/","www.manifatturevibrata.it")</f>
        <v>www.manifatturevibrata.it</v>
      </c>
      <c r="J1497" s="12">
        <v>3849.6419999999998</v>
      </c>
      <c r="K1497" s="14" t="s">
        <v>7827</v>
      </c>
      <c r="L1497" s="13">
        <v>3849.6419999999998</v>
      </c>
      <c r="M1497" s="12">
        <v>3.8610000000000002</v>
      </c>
      <c r="N1497" s="14" t="s">
        <v>7827</v>
      </c>
      <c r="O1497" s="12">
        <v>3.8610000000000002</v>
      </c>
      <c r="P1497" s="12">
        <v>18</v>
      </c>
      <c r="Q1497" s="14" t="s">
        <v>7827</v>
      </c>
      <c r="R1497" s="12">
        <v>18</v>
      </c>
    </row>
    <row r="1498" spans="1:18" ht="17" customHeight="1" x14ac:dyDescent="0.15">
      <c r="A1498" s="8" t="s">
        <v>7949</v>
      </c>
      <c r="B1498" s="9" t="s">
        <v>7950</v>
      </c>
      <c r="C1498" s="8" t="s">
        <v>7951</v>
      </c>
      <c r="D1498" s="8" t="s">
        <v>7952</v>
      </c>
      <c r="E1498" s="8" t="s">
        <v>7953</v>
      </c>
      <c r="F1498" s="8" t="s">
        <v>7845</v>
      </c>
      <c r="G1498" s="8" t="s">
        <v>7954</v>
      </c>
      <c r="H1498" s="8" t="s">
        <v>7834</v>
      </c>
      <c r="I1498" s="8" t="str">
        <f>HYPERLINK("http://www.verdi-italy.com/","www.verdi-italy.com")</f>
        <v>www.verdi-italy.com</v>
      </c>
      <c r="J1498" s="10">
        <v>1688.2339999999999</v>
      </c>
      <c r="K1498" s="10">
        <v>1688.2339999999999</v>
      </c>
      <c r="L1498" s="10">
        <v>3849.5770000000002</v>
      </c>
      <c r="M1498" s="10">
        <v>1.83</v>
      </c>
      <c r="N1498" s="10">
        <v>1.83</v>
      </c>
      <c r="O1498" s="10">
        <v>149.773</v>
      </c>
      <c r="P1498" s="10">
        <v>1</v>
      </c>
      <c r="Q1498" s="10">
        <v>1</v>
      </c>
      <c r="R1498" s="10">
        <v>6</v>
      </c>
    </row>
    <row r="1499" spans="1:18" ht="17" customHeight="1" x14ac:dyDescent="0.15">
      <c r="A1499" s="11" t="s">
        <v>7955</v>
      </c>
      <c r="B1499" s="1" t="s">
        <v>7956</v>
      </c>
      <c r="C1499" s="11" t="s">
        <v>7957</v>
      </c>
      <c r="D1499" s="11" t="s">
        <v>7957</v>
      </c>
      <c r="E1499" s="11" t="s">
        <v>7958</v>
      </c>
      <c r="F1499" s="11" t="s">
        <v>7832</v>
      </c>
      <c r="G1499" s="11" t="s">
        <v>7840</v>
      </c>
      <c r="H1499" s="11" t="s">
        <v>7819</v>
      </c>
      <c r="I1499" s="11" t="str">
        <f>HYPERLINK("http://star-shop.it/","star-shop.it")</f>
        <v>star-shop.it</v>
      </c>
      <c r="J1499" s="12">
        <v>3064.3710000000001</v>
      </c>
      <c r="K1499" s="12">
        <v>3064.3710000000001</v>
      </c>
      <c r="L1499" s="13">
        <v>3847.4929999999999</v>
      </c>
      <c r="M1499" s="12">
        <v>16.111999999999998</v>
      </c>
      <c r="N1499" s="12">
        <v>16.111999999999998</v>
      </c>
      <c r="O1499" s="12">
        <v>40.259</v>
      </c>
      <c r="P1499" s="12">
        <v>3</v>
      </c>
      <c r="Q1499" s="12">
        <v>3</v>
      </c>
      <c r="R1499" s="12">
        <v>4</v>
      </c>
    </row>
    <row r="1500" spans="1:18" ht="17" customHeight="1" x14ac:dyDescent="0.15">
      <c r="A1500" s="8" t="s">
        <v>7959</v>
      </c>
      <c r="B1500" s="9" t="s">
        <v>7960</v>
      </c>
      <c r="C1500" s="8" t="s">
        <v>7961</v>
      </c>
      <c r="D1500" s="8" t="s">
        <v>7961</v>
      </c>
      <c r="E1500" s="8" t="s">
        <v>7962</v>
      </c>
      <c r="F1500" s="8" t="s">
        <v>7839</v>
      </c>
      <c r="G1500" s="8" t="s">
        <v>7913</v>
      </c>
      <c r="H1500" s="8" t="s">
        <v>7834</v>
      </c>
      <c r="I1500" s="8" t="str">
        <f>HYPERLINK("http://www.nickbronson.com/","www.nickbronson.com")</f>
        <v>www.nickbronson.com</v>
      </c>
      <c r="J1500" s="10">
        <v>3277.5990000000002</v>
      </c>
      <c r="K1500" s="10">
        <v>3277.5990000000002</v>
      </c>
      <c r="L1500" s="10">
        <v>3841.502</v>
      </c>
      <c r="M1500" s="10">
        <v>19.79</v>
      </c>
      <c r="N1500" s="10">
        <v>19.79</v>
      </c>
      <c r="O1500" s="10">
        <v>38.869999999999997</v>
      </c>
      <c r="P1500" s="10">
        <v>4</v>
      </c>
      <c r="Q1500" s="10">
        <v>4</v>
      </c>
      <c r="R1500" s="10">
        <v>5</v>
      </c>
    </row>
    <row r="1501" spans="1:18" ht="17" customHeight="1" x14ac:dyDescent="0.15">
      <c r="A1501" s="11" t="s">
        <v>7963</v>
      </c>
      <c r="B1501" s="1" t="s">
        <v>7964</v>
      </c>
      <c r="C1501" s="11" t="s">
        <v>7965</v>
      </c>
      <c r="D1501" s="11" t="s">
        <v>7965</v>
      </c>
      <c r="E1501" s="11" t="s">
        <v>7966</v>
      </c>
      <c r="F1501" s="11" t="s">
        <v>7967</v>
      </c>
      <c r="G1501" s="11" t="s">
        <v>7954</v>
      </c>
      <c r="H1501" s="11" t="s">
        <v>7834</v>
      </c>
      <c r="I1501" s="11" t="str">
        <f>HYPERLINK("http://lorad.it/","lorad.it")</f>
        <v>lorad.it</v>
      </c>
      <c r="J1501" s="12">
        <v>4171.0770000000002</v>
      </c>
      <c r="K1501" s="12">
        <v>4171.0770000000002</v>
      </c>
      <c r="L1501" s="13">
        <v>3831.2930000000001</v>
      </c>
      <c r="M1501" s="12">
        <v>-392.12700000000001</v>
      </c>
      <c r="N1501" s="12">
        <v>-392.12700000000001</v>
      </c>
      <c r="O1501" s="12">
        <v>14.452999999999999</v>
      </c>
      <c r="P1501" s="12">
        <v>24</v>
      </c>
      <c r="Q1501" s="12">
        <v>24</v>
      </c>
      <c r="R1501" s="12">
        <v>27</v>
      </c>
    </row>
    <row r="1502" spans="1:18" ht="17" customHeight="1" x14ac:dyDescent="0.15">
      <c r="A1502" s="8" t="s">
        <v>7968</v>
      </c>
      <c r="B1502" s="9" t="s">
        <v>7969</v>
      </c>
      <c r="C1502" s="8" t="s">
        <v>7970</v>
      </c>
      <c r="D1502" s="8" t="s">
        <v>7970</v>
      </c>
      <c r="E1502" s="8" t="s">
        <v>7971</v>
      </c>
      <c r="F1502" s="8" t="s">
        <v>7817</v>
      </c>
      <c r="G1502" s="8" t="s">
        <v>7818</v>
      </c>
      <c r="H1502" s="8" t="s">
        <v>7819</v>
      </c>
      <c r="I1502" s="8" t="str">
        <f>HYPERLINK("http://www.voguefinish.it/","www.voguefinish.it")</f>
        <v>www.voguefinish.it</v>
      </c>
      <c r="J1502" s="10">
        <v>3422.6289999999999</v>
      </c>
      <c r="K1502" s="10">
        <v>3422.6289999999999</v>
      </c>
      <c r="L1502" s="10">
        <v>3822.12</v>
      </c>
      <c r="M1502" s="10">
        <v>87.46</v>
      </c>
      <c r="N1502" s="10">
        <v>87.46</v>
      </c>
      <c r="O1502" s="10">
        <v>110.163</v>
      </c>
      <c r="P1502" s="15" t="s">
        <v>7827</v>
      </c>
      <c r="Q1502" s="15" t="s">
        <v>7827</v>
      </c>
      <c r="R1502" s="10">
        <v>12</v>
      </c>
    </row>
    <row r="1503" spans="1:18" ht="17" customHeight="1" x14ac:dyDescent="0.15">
      <c r="A1503" s="11" t="s">
        <v>7972</v>
      </c>
      <c r="B1503" s="1" t="s">
        <v>7973</v>
      </c>
      <c r="C1503" s="11" t="s">
        <v>7974</v>
      </c>
      <c r="D1503" s="11" t="s">
        <v>7974</v>
      </c>
      <c r="E1503" s="11" t="s">
        <v>7975</v>
      </c>
      <c r="F1503" s="11" t="s">
        <v>7976</v>
      </c>
      <c r="G1503" s="11" t="s">
        <v>7977</v>
      </c>
      <c r="H1503" s="11" t="s">
        <v>7978</v>
      </c>
      <c r="I1503" s="11" t="str">
        <f>HYPERLINK("http://www.adfashiongroup.it/","www.adfashiongroup.it")</f>
        <v>www.adfashiongroup.it</v>
      </c>
      <c r="J1503" s="12">
        <v>2781.739</v>
      </c>
      <c r="K1503" s="12">
        <v>2781.739</v>
      </c>
      <c r="L1503" s="13">
        <v>3819.953</v>
      </c>
      <c r="M1503" s="12">
        <v>0.64100000000000001</v>
      </c>
      <c r="N1503" s="12">
        <v>0.64100000000000001</v>
      </c>
      <c r="O1503" s="12">
        <v>51.402000000000001</v>
      </c>
      <c r="P1503" s="12">
        <v>9</v>
      </c>
      <c r="Q1503" s="12">
        <v>9</v>
      </c>
      <c r="R1503" s="12">
        <v>7</v>
      </c>
    </row>
    <row r="1504" spans="1:18" ht="17" customHeight="1" x14ac:dyDescent="0.15">
      <c r="A1504" s="8" t="s">
        <v>7979</v>
      </c>
      <c r="B1504" s="9" t="s">
        <v>7980</v>
      </c>
      <c r="C1504" s="8" t="s">
        <v>7981</v>
      </c>
      <c r="D1504" s="8" t="s">
        <v>7981</v>
      </c>
      <c r="E1504" s="8" t="s">
        <v>7982</v>
      </c>
      <c r="F1504" s="8" t="s">
        <v>7983</v>
      </c>
      <c r="G1504" s="8" t="s">
        <v>7853</v>
      </c>
      <c r="H1504" s="8" t="s">
        <v>7819</v>
      </c>
      <c r="I1504" s="8" t="str">
        <f>HYPERLINK("http://www.volfagli.it/","www.volfagli.it")</f>
        <v>www.volfagli.it</v>
      </c>
      <c r="J1504" s="10">
        <v>4108.1530000000002</v>
      </c>
      <c r="K1504" s="10">
        <v>4108.1530000000002</v>
      </c>
      <c r="L1504" s="10">
        <v>3819.6170000000002</v>
      </c>
      <c r="M1504" s="10">
        <v>22.885000000000002</v>
      </c>
      <c r="N1504" s="10">
        <v>22.885000000000002</v>
      </c>
      <c r="O1504" s="10">
        <v>21.992000000000001</v>
      </c>
      <c r="P1504" s="10">
        <v>13</v>
      </c>
      <c r="Q1504" s="10">
        <v>13</v>
      </c>
      <c r="R1504" s="10">
        <v>15</v>
      </c>
    </row>
    <row r="1505" spans="1:18" ht="29.5" customHeight="1" x14ac:dyDescent="0.15">
      <c r="A1505" s="11" t="s">
        <v>7984</v>
      </c>
      <c r="B1505" s="1" t="s">
        <v>7985</v>
      </c>
      <c r="C1505" s="11" t="s">
        <v>7986</v>
      </c>
      <c r="D1505" s="11" t="s">
        <v>7986</v>
      </c>
      <c r="E1505" s="11" t="s">
        <v>7987</v>
      </c>
      <c r="F1505" s="11" t="s">
        <v>7988</v>
      </c>
      <c r="G1505" s="11" t="s">
        <v>7989</v>
      </c>
      <c r="H1505" s="11" t="s">
        <v>7990</v>
      </c>
      <c r="I1505" s="11" t="str">
        <f>HYPERLINK("http://www.rondinellashoes.com/","www.rondinellashoes.com")</f>
        <v>www.rondinellashoes.com</v>
      </c>
      <c r="J1505" s="12">
        <v>2392.7109999999998</v>
      </c>
      <c r="K1505" s="12">
        <v>2392.7109999999998</v>
      </c>
      <c r="L1505" s="13">
        <v>3818.8009999999999</v>
      </c>
      <c r="M1505" s="12">
        <v>-70.295000000000002</v>
      </c>
      <c r="N1505" s="12">
        <v>-70.295000000000002</v>
      </c>
      <c r="O1505" s="12">
        <v>18.850000000000001</v>
      </c>
      <c r="P1505" s="12">
        <v>29</v>
      </c>
      <c r="Q1505" s="12">
        <v>29</v>
      </c>
      <c r="R1505" s="12">
        <v>34</v>
      </c>
    </row>
    <row r="1506" spans="1:18" ht="17" customHeight="1" x14ac:dyDescent="0.15">
      <c r="A1506" s="8" t="s">
        <v>7991</v>
      </c>
      <c r="B1506" s="9" t="s">
        <v>7992</v>
      </c>
      <c r="C1506" s="8" t="s">
        <v>7993</v>
      </c>
      <c r="D1506" s="8" t="s">
        <v>7993</v>
      </c>
      <c r="E1506" s="8" t="s">
        <v>7994</v>
      </c>
      <c r="F1506" s="8" t="s">
        <v>7995</v>
      </c>
      <c r="G1506" s="8" t="s">
        <v>7996</v>
      </c>
      <c r="H1506" s="8" t="s">
        <v>7997</v>
      </c>
      <c r="I1506" s="8" t="str">
        <f>HYPERLINK("http://www.signorinilario.it/","www.signorinilario.it")</f>
        <v>www.signorinilario.it</v>
      </c>
      <c r="J1506" s="10">
        <v>3638.2379999999998</v>
      </c>
      <c r="K1506" s="10">
        <v>3638.2379999999998</v>
      </c>
      <c r="L1506" s="10">
        <v>3817.886</v>
      </c>
      <c r="M1506" s="10">
        <v>55.813000000000002</v>
      </c>
      <c r="N1506" s="10">
        <v>55.813000000000002</v>
      </c>
      <c r="O1506" s="10">
        <v>-55.619</v>
      </c>
      <c r="P1506" s="10">
        <v>17</v>
      </c>
      <c r="Q1506" s="10">
        <v>17</v>
      </c>
      <c r="R1506" s="10">
        <v>18</v>
      </c>
    </row>
    <row r="1507" spans="1:18" ht="17" customHeight="1" x14ac:dyDescent="0.15">
      <c r="A1507" s="11" t="s">
        <v>7998</v>
      </c>
      <c r="B1507" s="1" t="s">
        <v>7999</v>
      </c>
      <c r="C1507" s="11" t="s">
        <v>8000</v>
      </c>
      <c r="D1507" s="11" t="s">
        <v>8000</v>
      </c>
      <c r="E1507" s="11" t="s">
        <v>8001</v>
      </c>
      <c r="F1507" s="11" t="s">
        <v>8002</v>
      </c>
      <c r="G1507" s="11" t="s">
        <v>8003</v>
      </c>
      <c r="H1507" s="11" t="s">
        <v>8004</v>
      </c>
      <c r="I1507" s="11" t="str">
        <f>HYPERLINK("http://www.pelletteriafusella.com/","www.pelletteriafusella.com")</f>
        <v>www.pelletteriafusella.com</v>
      </c>
      <c r="J1507" s="12">
        <v>3011.627</v>
      </c>
      <c r="K1507" s="12">
        <v>3011.627</v>
      </c>
      <c r="L1507" s="13">
        <v>3817.19</v>
      </c>
      <c r="M1507" s="12">
        <v>9.9269999999999996</v>
      </c>
      <c r="N1507" s="12">
        <v>9.9269999999999996</v>
      </c>
      <c r="O1507" s="12">
        <v>36.052999999999997</v>
      </c>
      <c r="P1507" s="14" t="s">
        <v>8005</v>
      </c>
      <c r="Q1507" s="14" t="s">
        <v>8005</v>
      </c>
      <c r="R1507" s="12">
        <v>23</v>
      </c>
    </row>
    <row r="1508" spans="1:18" ht="29.5" customHeight="1" x14ac:dyDescent="0.15">
      <c r="A1508" s="8" t="s">
        <v>8006</v>
      </c>
      <c r="B1508" s="9" t="s">
        <v>8007</v>
      </c>
      <c r="C1508" s="8" t="s">
        <v>8008</v>
      </c>
      <c r="D1508" s="8" t="s">
        <v>8008</v>
      </c>
      <c r="E1508" s="8" t="s">
        <v>8009</v>
      </c>
      <c r="F1508" s="8" t="s">
        <v>8002</v>
      </c>
      <c r="G1508" s="8" t="s">
        <v>8010</v>
      </c>
      <c r="H1508" s="8" t="s">
        <v>8011</v>
      </c>
      <c r="I1508" s="8" t="str">
        <f>HYPERLINK("http://francodessi.it/","francodessi.it")</f>
        <v>francodessi.it</v>
      </c>
      <c r="J1508" s="10">
        <v>4370.6490000000003</v>
      </c>
      <c r="K1508" s="10">
        <v>4370.6490000000003</v>
      </c>
      <c r="L1508" s="10">
        <v>3800.5909999999999</v>
      </c>
      <c r="M1508" s="10">
        <v>7.1020000000000003</v>
      </c>
      <c r="N1508" s="10">
        <v>7.1020000000000003</v>
      </c>
      <c r="O1508" s="10">
        <v>19.847000000000001</v>
      </c>
      <c r="P1508" s="10">
        <v>25</v>
      </c>
      <c r="Q1508" s="10">
        <v>25</v>
      </c>
      <c r="R1508" s="10">
        <v>29</v>
      </c>
    </row>
    <row r="1509" spans="1:18" ht="17" customHeight="1" x14ac:dyDescent="0.15">
      <c r="A1509" s="11" t="s">
        <v>8012</v>
      </c>
      <c r="B1509" s="1" t="s">
        <v>8013</v>
      </c>
      <c r="C1509" s="11" t="s">
        <v>8014</v>
      </c>
      <c r="D1509" s="11" t="s">
        <v>8015</v>
      </c>
      <c r="E1509" s="11" t="s">
        <v>8016</v>
      </c>
      <c r="F1509" s="11" t="s">
        <v>8017</v>
      </c>
      <c r="G1509" s="11" t="s">
        <v>8018</v>
      </c>
      <c r="H1509" s="11" t="s">
        <v>8019</v>
      </c>
      <c r="I1509" s="11" t="str">
        <f>HYPERLINK("http://www.starlightconfezioni.com/","www.starlightconfezioni.com")</f>
        <v>www.starlightconfezioni.com</v>
      </c>
      <c r="J1509" s="12">
        <v>3573.8040000000001</v>
      </c>
      <c r="K1509" s="12">
        <v>3573.8040000000001</v>
      </c>
      <c r="L1509" s="13">
        <v>3796.5189999999998</v>
      </c>
      <c r="M1509" s="12">
        <v>-149.68700000000001</v>
      </c>
      <c r="N1509" s="12">
        <v>-149.68700000000001</v>
      </c>
      <c r="O1509" s="12">
        <v>145.59800000000001</v>
      </c>
      <c r="P1509" s="12">
        <v>8</v>
      </c>
      <c r="Q1509" s="12">
        <v>8</v>
      </c>
      <c r="R1509" s="12">
        <v>10</v>
      </c>
    </row>
    <row r="1510" spans="1:18" ht="17" customHeight="1" x14ac:dyDescent="0.15">
      <c r="A1510" s="8" t="s">
        <v>8020</v>
      </c>
      <c r="B1510" s="9" t="s">
        <v>8021</v>
      </c>
      <c r="C1510" s="8" t="s">
        <v>8022</v>
      </c>
      <c r="D1510" s="8" t="s">
        <v>8022</v>
      </c>
      <c r="E1510" s="8" t="s">
        <v>8023</v>
      </c>
      <c r="F1510" s="8" t="s">
        <v>8002</v>
      </c>
      <c r="G1510" s="8" t="s">
        <v>7996</v>
      </c>
      <c r="H1510" s="8" t="s">
        <v>7997</v>
      </c>
      <c r="I1510" s="8" t="str">
        <f>HYPERLINK("http://www.atelierpalladio.it/","www.atelierpalladio.it")</f>
        <v>www.atelierpalladio.it</v>
      </c>
      <c r="J1510" s="10">
        <v>3503.9079999999999</v>
      </c>
      <c r="K1510" s="10">
        <v>3503.9079999999999</v>
      </c>
      <c r="L1510" s="10">
        <v>3795.9459999999999</v>
      </c>
      <c r="M1510" s="10">
        <v>498.30799999999999</v>
      </c>
      <c r="N1510" s="10">
        <v>498.30799999999999</v>
      </c>
      <c r="O1510" s="10">
        <v>587.553</v>
      </c>
      <c r="P1510" s="10">
        <v>71</v>
      </c>
      <c r="Q1510" s="10">
        <v>71</v>
      </c>
      <c r="R1510" s="10">
        <v>70</v>
      </c>
    </row>
    <row r="1511" spans="1:18" ht="29.5" customHeight="1" x14ac:dyDescent="0.15">
      <c r="A1511" s="11" t="s">
        <v>8024</v>
      </c>
      <c r="B1511" s="1" t="s">
        <v>8025</v>
      </c>
      <c r="C1511" s="11" t="s">
        <v>8026</v>
      </c>
      <c r="D1511" s="11" t="s">
        <v>8026</v>
      </c>
      <c r="E1511" s="11" t="s">
        <v>8027</v>
      </c>
      <c r="F1511" s="11" t="s">
        <v>8028</v>
      </c>
      <c r="G1511" s="11" t="s">
        <v>8029</v>
      </c>
      <c r="H1511" s="11" t="s">
        <v>8011</v>
      </c>
      <c r="I1511" s="11" t="str">
        <f>HYPERLINK("http://stambecco.com/","stambecco.com")</f>
        <v>stambecco.com</v>
      </c>
      <c r="J1511" s="12">
        <v>3253.5889999999999</v>
      </c>
      <c r="K1511" s="12">
        <v>3253.5889999999999</v>
      </c>
      <c r="L1511" s="13">
        <v>3788.8969999999999</v>
      </c>
      <c r="M1511" s="12">
        <v>24.283000000000001</v>
      </c>
      <c r="N1511" s="12">
        <v>24.283000000000001</v>
      </c>
      <c r="O1511" s="12">
        <v>28.312999999999999</v>
      </c>
      <c r="P1511" s="12">
        <v>24</v>
      </c>
      <c r="Q1511" s="12">
        <v>24</v>
      </c>
      <c r="R1511" s="12">
        <v>21</v>
      </c>
    </row>
    <row r="1512" spans="1:18" ht="17" customHeight="1" x14ac:dyDescent="0.15">
      <c r="A1512" s="8" t="s">
        <v>8030</v>
      </c>
      <c r="B1512" s="9" t="s">
        <v>8031</v>
      </c>
      <c r="C1512" s="8" t="s">
        <v>8032</v>
      </c>
      <c r="D1512" s="8" t="s">
        <v>8032</v>
      </c>
      <c r="E1512" s="8" t="s">
        <v>8033</v>
      </c>
      <c r="F1512" s="8" t="s">
        <v>8017</v>
      </c>
      <c r="G1512" s="8" t="s">
        <v>8034</v>
      </c>
      <c r="H1512" s="8" t="s">
        <v>8035</v>
      </c>
      <c r="I1512" s="8" t="str">
        <f>HYPERLINK("http://etomilu.com/","http://etomilu.com/")</f>
        <v>http://etomilu.com/</v>
      </c>
      <c r="J1512" s="10">
        <v>5078.8440000000001</v>
      </c>
      <c r="K1512" s="10">
        <v>5078.8440000000001</v>
      </c>
      <c r="L1512" s="10">
        <v>3786.6379999999999</v>
      </c>
      <c r="M1512" s="10">
        <v>148.54599999999999</v>
      </c>
      <c r="N1512" s="10">
        <v>148.54599999999999</v>
      </c>
      <c r="O1512" s="10">
        <v>30.47</v>
      </c>
      <c r="P1512" s="10">
        <v>14</v>
      </c>
      <c r="Q1512" s="10">
        <v>14</v>
      </c>
      <c r="R1512" s="10">
        <v>14</v>
      </c>
    </row>
    <row r="1513" spans="1:18" ht="17" customHeight="1" x14ac:dyDescent="0.15">
      <c r="A1513" s="11" t="s">
        <v>8036</v>
      </c>
      <c r="B1513" s="1" t="s">
        <v>8037</v>
      </c>
      <c r="C1513" s="11" t="s">
        <v>8038</v>
      </c>
      <c r="D1513" s="11" t="s">
        <v>8038</v>
      </c>
      <c r="E1513" s="11" t="s">
        <v>8039</v>
      </c>
      <c r="F1513" s="11" t="s">
        <v>8002</v>
      </c>
      <c r="G1513" s="11" t="s">
        <v>7996</v>
      </c>
      <c r="H1513" s="11" t="s">
        <v>7997</v>
      </c>
      <c r="I1513" s="11" t="str">
        <f>HYPERLINK("http://carlille.it/","carlille.it")</f>
        <v>carlille.it</v>
      </c>
      <c r="J1513" s="12">
        <v>3069.498</v>
      </c>
      <c r="K1513" s="12">
        <v>3069.498</v>
      </c>
      <c r="L1513" s="13">
        <v>3786.0729999999999</v>
      </c>
      <c r="M1513" s="12">
        <v>32.030999999999999</v>
      </c>
      <c r="N1513" s="12">
        <v>32.030999999999999</v>
      </c>
      <c r="O1513" s="12">
        <v>81.736999999999995</v>
      </c>
      <c r="P1513" s="12">
        <v>2</v>
      </c>
      <c r="Q1513" s="12">
        <v>2</v>
      </c>
      <c r="R1513" s="12">
        <v>2</v>
      </c>
    </row>
    <row r="1514" spans="1:18" ht="17" customHeight="1" x14ac:dyDescent="0.15">
      <c r="A1514" s="8" t="s">
        <v>8040</v>
      </c>
      <c r="B1514" s="9" t="s">
        <v>8041</v>
      </c>
      <c r="C1514" s="8" t="s">
        <v>8042</v>
      </c>
      <c r="D1514" s="8" t="s">
        <v>8042</v>
      </c>
      <c r="E1514" s="8" t="s">
        <v>8043</v>
      </c>
      <c r="F1514" s="8" t="s">
        <v>8044</v>
      </c>
      <c r="G1514" s="8" t="s">
        <v>8045</v>
      </c>
      <c r="H1514" s="8" t="s">
        <v>7997</v>
      </c>
      <c r="I1514" s="8" t="str">
        <f>HYPERLINK("http://www.betac.it/","www.betac.it")</f>
        <v>www.betac.it</v>
      </c>
      <c r="J1514" s="10">
        <v>2341.7199999999998</v>
      </c>
      <c r="K1514" s="10">
        <v>2341.7199999999998</v>
      </c>
      <c r="L1514" s="10">
        <v>3785.9679999999998</v>
      </c>
      <c r="M1514" s="10">
        <v>138.78100000000001</v>
      </c>
      <c r="N1514" s="10">
        <v>138.78100000000001</v>
      </c>
      <c r="O1514" s="10">
        <v>510.99400000000003</v>
      </c>
      <c r="P1514" s="15" t="s">
        <v>8005</v>
      </c>
      <c r="Q1514" s="15" t="s">
        <v>8005</v>
      </c>
      <c r="R1514" s="10">
        <v>16</v>
      </c>
    </row>
    <row r="1515" spans="1:18" ht="29.5" customHeight="1" x14ac:dyDescent="0.15">
      <c r="A1515" s="11" t="s">
        <v>8046</v>
      </c>
      <c r="B1515" s="1" t="s">
        <v>8047</v>
      </c>
      <c r="C1515" s="11" t="s">
        <v>8048</v>
      </c>
      <c r="D1515" s="11" t="s">
        <v>8048</v>
      </c>
      <c r="E1515" s="11" t="s">
        <v>8049</v>
      </c>
      <c r="F1515" s="11" t="s">
        <v>8044</v>
      </c>
      <c r="G1515" s="11" t="s">
        <v>7996</v>
      </c>
      <c r="H1515" s="11" t="s">
        <v>7997</v>
      </c>
      <c r="I1515" s="11" t="str">
        <f>HYPERLINK("http://dbsitaly.com/","dbsitaly.com")</f>
        <v>dbsitaly.com</v>
      </c>
      <c r="J1515" s="12">
        <v>3403.8420000000001</v>
      </c>
      <c r="K1515" s="12">
        <v>3403.8420000000001</v>
      </c>
      <c r="L1515" s="13">
        <v>3784.788</v>
      </c>
      <c r="M1515" s="12">
        <v>50.569000000000003</v>
      </c>
      <c r="N1515" s="12">
        <v>50.569000000000003</v>
      </c>
      <c r="O1515" s="12">
        <v>17.516999999999999</v>
      </c>
      <c r="P1515" s="12">
        <v>7</v>
      </c>
      <c r="Q1515" s="12">
        <v>7</v>
      </c>
      <c r="R1515" s="12">
        <v>7</v>
      </c>
    </row>
    <row r="1516" spans="1:18" ht="17" customHeight="1" x14ac:dyDescent="0.15">
      <c r="A1516" s="8" t="s">
        <v>8050</v>
      </c>
      <c r="B1516" s="9" t="s">
        <v>8051</v>
      </c>
      <c r="C1516" s="8" t="s">
        <v>8052</v>
      </c>
      <c r="D1516" s="8" t="s">
        <v>8052</v>
      </c>
      <c r="E1516" s="8" t="s">
        <v>8053</v>
      </c>
      <c r="F1516" s="8" t="s">
        <v>8044</v>
      </c>
      <c r="G1516" s="8" t="s">
        <v>8054</v>
      </c>
      <c r="H1516" s="8" t="s">
        <v>8004</v>
      </c>
      <c r="I1516" s="8" t="str">
        <f>HYPERLINK("http://www.seventygeneration.com/","www.seventygeneration.com")</f>
        <v>www.seventygeneration.com</v>
      </c>
      <c r="J1516" s="10">
        <v>3575.1559999999999</v>
      </c>
      <c r="K1516" s="10">
        <v>3575.1559999999999</v>
      </c>
      <c r="L1516" s="10">
        <v>3776.5349999999999</v>
      </c>
      <c r="M1516" s="10">
        <v>48.640999999999998</v>
      </c>
      <c r="N1516" s="10">
        <v>48.640999999999998</v>
      </c>
      <c r="O1516" s="10">
        <v>128.05099999999999</v>
      </c>
      <c r="P1516" s="10">
        <v>8</v>
      </c>
      <c r="Q1516" s="10">
        <v>8</v>
      </c>
      <c r="R1516" s="10">
        <v>7</v>
      </c>
    </row>
    <row r="1517" spans="1:18" ht="29.5" customHeight="1" x14ac:dyDescent="0.15">
      <c r="A1517" s="11" t="s">
        <v>8055</v>
      </c>
      <c r="B1517" s="1" t="s">
        <v>8056</v>
      </c>
      <c r="C1517" s="11" t="s">
        <v>8057</v>
      </c>
      <c r="D1517" s="11" t="s">
        <v>8057</v>
      </c>
      <c r="E1517" s="11" t="s">
        <v>8058</v>
      </c>
      <c r="F1517" s="11" t="s">
        <v>7988</v>
      </c>
      <c r="G1517" s="11" t="s">
        <v>8059</v>
      </c>
      <c r="H1517" s="11" t="s">
        <v>7990</v>
      </c>
      <c r="I1517" s="11" t="str">
        <f>HYPERLINK("http://franceschetti.it/","franceschetti.it")</f>
        <v>franceschetti.it</v>
      </c>
      <c r="J1517" s="12">
        <v>7357.5</v>
      </c>
      <c r="K1517" s="12">
        <v>7357.5</v>
      </c>
      <c r="L1517" s="13">
        <v>3772.9229999999998</v>
      </c>
      <c r="M1517" s="12">
        <v>1034.973</v>
      </c>
      <c r="N1517" s="12">
        <v>1034.973</v>
      </c>
      <c r="O1517" s="12">
        <v>-87.16</v>
      </c>
      <c r="P1517" s="12">
        <v>36</v>
      </c>
      <c r="Q1517" s="12">
        <v>36</v>
      </c>
      <c r="R1517" s="12">
        <v>31</v>
      </c>
    </row>
    <row r="1518" spans="1:18" ht="17" customHeight="1" x14ac:dyDescent="0.15">
      <c r="A1518" s="8" t="s">
        <v>8060</v>
      </c>
      <c r="B1518" s="9" t="s">
        <v>8061</v>
      </c>
      <c r="C1518" s="8" t="s">
        <v>8062</v>
      </c>
      <c r="D1518" s="8" t="s">
        <v>8062</v>
      </c>
      <c r="E1518" s="8" t="s">
        <v>8063</v>
      </c>
      <c r="F1518" s="8" t="s">
        <v>8064</v>
      </c>
      <c r="G1518" s="8" t="s">
        <v>8065</v>
      </c>
      <c r="H1518" s="8" t="s">
        <v>7997</v>
      </c>
      <c r="I1518" s="8" t="str">
        <f>HYPERLINK("http://www.biancalancia.it/","www.biancalancia.it")</f>
        <v>www.biancalancia.it</v>
      </c>
      <c r="J1518" s="10">
        <v>4497.8580000000002</v>
      </c>
      <c r="K1518" s="10">
        <v>4497.8580000000002</v>
      </c>
      <c r="L1518" s="10">
        <v>3770.1480000000001</v>
      </c>
      <c r="M1518" s="10">
        <v>113.152</v>
      </c>
      <c r="N1518" s="10">
        <v>113.152</v>
      </c>
      <c r="O1518" s="10">
        <v>48.073999999999998</v>
      </c>
      <c r="P1518" s="10">
        <v>12</v>
      </c>
      <c r="Q1518" s="10">
        <v>12</v>
      </c>
      <c r="R1518" s="10">
        <v>7</v>
      </c>
    </row>
    <row r="1519" spans="1:18" ht="17" customHeight="1" x14ac:dyDescent="0.15">
      <c r="A1519" s="11" t="s">
        <v>8066</v>
      </c>
      <c r="B1519" s="1" t="s">
        <v>8067</v>
      </c>
      <c r="C1519" s="11" t="s">
        <v>8068</v>
      </c>
      <c r="D1519" s="11" t="s">
        <v>8068</v>
      </c>
      <c r="E1519" s="11" t="s">
        <v>8069</v>
      </c>
      <c r="F1519" s="11" t="s">
        <v>7988</v>
      </c>
      <c r="G1519" s="11" t="s">
        <v>8070</v>
      </c>
      <c r="H1519" s="11" t="s">
        <v>8019</v>
      </c>
      <c r="I1519" s="11" t="str">
        <f>HYPERLINK("http://www.gytalshoes.com/","www.gytalshoes.com")</f>
        <v>www.gytalshoes.com</v>
      </c>
      <c r="J1519" s="12">
        <v>12817.157999999999</v>
      </c>
      <c r="K1519" s="12">
        <v>9260.8459999999995</v>
      </c>
      <c r="L1519" s="13">
        <v>3765.5369999999998</v>
      </c>
      <c r="M1519" s="12">
        <v>1522.048</v>
      </c>
      <c r="N1519" s="12">
        <v>306.91500000000002</v>
      </c>
      <c r="O1519" s="12">
        <v>49.719000000000001</v>
      </c>
      <c r="P1519" s="12">
        <v>49</v>
      </c>
      <c r="Q1519" s="12">
        <v>49</v>
      </c>
      <c r="R1519" s="12">
        <v>32</v>
      </c>
    </row>
    <row r="1520" spans="1:18" ht="17" customHeight="1" x14ac:dyDescent="0.15">
      <c r="A1520" s="8" t="s">
        <v>8071</v>
      </c>
      <c r="B1520" s="9" t="s">
        <v>8072</v>
      </c>
      <c r="C1520" s="8" t="s">
        <v>8073</v>
      </c>
      <c r="D1520" s="8" t="s">
        <v>8073</v>
      </c>
      <c r="E1520" s="8" t="s">
        <v>8074</v>
      </c>
      <c r="F1520" s="8" t="s">
        <v>7988</v>
      </c>
      <c r="G1520" s="8" t="s">
        <v>8059</v>
      </c>
      <c r="H1520" s="8" t="s">
        <v>7990</v>
      </c>
      <c r="I1520" s="8" t="str">
        <f>HYPERLINK("http://manuelitaitaly.com/","manuelitaitaly.com")</f>
        <v>manuelitaitaly.com</v>
      </c>
      <c r="J1520" s="10">
        <v>5219.3059999999996</v>
      </c>
      <c r="K1520" s="10">
        <v>5219.3059999999996</v>
      </c>
      <c r="L1520" s="10">
        <v>3751.2539999999999</v>
      </c>
      <c r="M1520" s="10">
        <v>55.79</v>
      </c>
      <c r="N1520" s="10">
        <v>55.79</v>
      </c>
      <c r="O1520" s="10">
        <v>56.77</v>
      </c>
      <c r="P1520" s="10">
        <v>19</v>
      </c>
      <c r="Q1520" s="10">
        <v>19</v>
      </c>
      <c r="R1520" s="10">
        <v>19</v>
      </c>
    </row>
    <row r="1521" spans="1:18" ht="17" customHeight="1" x14ac:dyDescent="0.15">
      <c r="A1521" s="11" t="s">
        <v>8075</v>
      </c>
      <c r="B1521" s="1" t="s">
        <v>8076</v>
      </c>
      <c r="C1521" s="11" t="s">
        <v>8077</v>
      </c>
      <c r="D1521" s="11" t="s">
        <v>8077</v>
      </c>
      <c r="E1521" s="11" t="s">
        <v>8078</v>
      </c>
      <c r="F1521" s="11" t="s">
        <v>8079</v>
      </c>
      <c r="G1521" s="11" t="s">
        <v>8080</v>
      </c>
      <c r="H1521" s="11" t="s">
        <v>8081</v>
      </c>
      <c r="I1521" s="11" t="str">
        <f>HYPERLINK("http://www.gaetanoaloisio.com/","www.gaetanoaloisio.com")</f>
        <v>www.gaetanoaloisio.com</v>
      </c>
      <c r="J1521" s="12">
        <v>4667.4859999999999</v>
      </c>
      <c r="K1521" s="12">
        <v>4667.4859999999999</v>
      </c>
      <c r="L1521" s="13">
        <v>3750.2579999999998</v>
      </c>
      <c r="M1521" s="12">
        <v>821.57</v>
      </c>
      <c r="N1521" s="12">
        <v>821.57</v>
      </c>
      <c r="O1521" s="12">
        <v>422.392</v>
      </c>
      <c r="P1521" s="12">
        <v>22</v>
      </c>
      <c r="Q1521" s="12">
        <v>22</v>
      </c>
      <c r="R1521" s="12">
        <v>19</v>
      </c>
    </row>
    <row r="1522" spans="1:18" ht="17" customHeight="1" x14ac:dyDescent="0.15">
      <c r="A1522" s="8" t="s">
        <v>8082</v>
      </c>
      <c r="B1522" s="9" t="s">
        <v>8083</v>
      </c>
      <c r="C1522" s="8" t="s">
        <v>8084</v>
      </c>
      <c r="D1522" s="8" t="s">
        <v>8084</v>
      </c>
      <c r="E1522" s="8" t="s">
        <v>8085</v>
      </c>
      <c r="F1522" s="8" t="s">
        <v>8064</v>
      </c>
      <c r="G1522" s="8" t="s">
        <v>8086</v>
      </c>
      <c r="H1522" s="8" t="s">
        <v>8087</v>
      </c>
      <c r="I1522" s="8" t="str">
        <f>HYPERLINK("http://www.stilelatino.com/","www.stilelatino.com")</f>
        <v>www.stilelatino.com</v>
      </c>
      <c r="J1522" s="10">
        <v>3956.511</v>
      </c>
      <c r="K1522" s="10">
        <v>3956.511</v>
      </c>
      <c r="L1522" s="10">
        <v>3746.3150000000001</v>
      </c>
      <c r="M1522" s="10">
        <v>211.035</v>
      </c>
      <c r="N1522" s="10">
        <v>211.035</v>
      </c>
      <c r="O1522" s="10">
        <v>178.45099999999999</v>
      </c>
      <c r="P1522" s="15" t="s">
        <v>8005</v>
      </c>
      <c r="Q1522" s="15" t="s">
        <v>8005</v>
      </c>
      <c r="R1522" s="10">
        <v>52</v>
      </c>
    </row>
    <row r="1523" spans="1:18" ht="17" customHeight="1" x14ac:dyDescent="0.15">
      <c r="A1523" s="11" t="s">
        <v>8088</v>
      </c>
      <c r="B1523" s="1" t="s">
        <v>8089</v>
      </c>
      <c r="C1523" s="11" t="s">
        <v>8090</v>
      </c>
      <c r="D1523" s="11" t="s">
        <v>8090</v>
      </c>
      <c r="E1523" s="11" t="s">
        <v>8091</v>
      </c>
      <c r="F1523" s="11" t="s">
        <v>8002</v>
      </c>
      <c r="G1523" s="11" t="s">
        <v>8092</v>
      </c>
      <c r="H1523" s="11" t="s">
        <v>8004</v>
      </c>
      <c r="I1523" s="11" t="str">
        <f>HYPERLINK("http://www.2mestyle.com/","www.2mestyle.com")</f>
        <v>www.2mestyle.com</v>
      </c>
      <c r="J1523" s="12">
        <v>2525.1979999999999</v>
      </c>
      <c r="K1523" s="12">
        <v>2525.1979999999999</v>
      </c>
      <c r="L1523" s="13">
        <v>3746.13</v>
      </c>
      <c r="M1523" s="12">
        <v>5.7839999999999998</v>
      </c>
      <c r="N1523" s="12">
        <v>5.7839999999999998</v>
      </c>
      <c r="O1523" s="12">
        <v>16.407</v>
      </c>
      <c r="P1523" s="14" t="s">
        <v>8005</v>
      </c>
      <c r="Q1523" s="14" t="s">
        <v>8005</v>
      </c>
      <c r="R1523" s="12">
        <v>30</v>
      </c>
    </row>
    <row r="1524" spans="1:18" ht="17" customHeight="1" x14ac:dyDescent="0.15">
      <c r="A1524" s="8" t="s">
        <v>8093</v>
      </c>
      <c r="B1524" s="9" t="s">
        <v>8094</v>
      </c>
      <c r="C1524" s="8" t="s">
        <v>8095</v>
      </c>
      <c r="D1524" s="8" t="s">
        <v>8095</v>
      </c>
      <c r="E1524" s="8" t="s">
        <v>8096</v>
      </c>
      <c r="F1524" s="8" t="s">
        <v>7988</v>
      </c>
      <c r="G1524" s="8" t="s">
        <v>8059</v>
      </c>
      <c r="H1524" s="8" t="s">
        <v>7990</v>
      </c>
      <c r="I1524" s="8" t="str">
        <f>HYPERLINK("http://www.lucaguerrini.com/","www.lucaguerrini.com")</f>
        <v>www.lucaguerrini.com</v>
      </c>
      <c r="J1524" s="10">
        <v>5738.8119999999999</v>
      </c>
      <c r="K1524" s="10">
        <v>5738.8119999999999</v>
      </c>
      <c r="L1524" s="10">
        <v>3740.703</v>
      </c>
      <c r="M1524" s="10">
        <v>811.62</v>
      </c>
      <c r="N1524" s="10">
        <v>811.62</v>
      </c>
      <c r="O1524" s="10">
        <v>150.059</v>
      </c>
      <c r="P1524" s="10">
        <v>23</v>
      </c>
      <c r="Q1524" s="10">
        <v>23</v>
      </c>
      <c r="R1524" s="10">
        <v>23</v>
      </c>
    </row>
    <row r="1525" spans="1:18" ht="17" customHeight="1" x14ac:dyDescent="0.15">
      <c r="A1525" s="11" t="s">
        <v>8097</v>
      </c>
      <c r="B1525" s="1" t="s">
        <v>8098</v>
      </c>
      <c r="C1525" s="11" t="s">
        <v>8099</v>
      </c>
      <c r="D1525" s="11" t="s">
        <v>8099</v>
      </c>
      <c r="E1525" s="11" t="s">
        <v>8100</v>
      </c>
      <c r="F1525" s="11" t="s">
        <v>8101</v>
      </c>
      <c r="G1525" s="11" t="s">
        <v>8029</v>
      </c>
      <c r="H1525" s="11" t="s">
        <v>8011</v>
      </c>
      <c r="I1525" s="11" t="str">
        <f>HYPERLINK("http://kartika-fashion.it/","kartika-fashion.it")</f>
        <v>kartika-fashion.it</v>
      </c>
      <c r="J1525" s="12">
        <v>3734.1320000000001</v>
      </c>
      <c r="K1525" s="12">
        <v>3734.1320000000001</v>
      </c>
      <c r="L1525" s="13">
        <v>3733.1579999999999</v>
      </c>
      <c r="M1525" s="12">
        <v>164.41499999999999</v>
      </c>
      <c r="N1525" s="12">
        <v>164.41499999999999</v>
      </c>
      <c r="O1525" s="12">
        <v>285.64699999999999</v>
      </c>
      <c r="P1525" s="12">
        <v>9</v>
      </c>
      <c r="Q1525" s="12">
        <v>9</v>
      </c>
      <c r="R1525" s="12">
        <v>10</v>
      </c>
    </row>
    <row r="1526" spans="1:18" ht="17" customHeight="1" x14ac:dyDescent="0.15">
      <c r="A1526" s="8" t="s">
        <v>8102</v>
      </c>
      <c r="B1526" s="9" t="s">
        <v>8103</v>
      </c>
      <c r="C1526" s="8" t="s">
        <v>8104</v>
      </c>
      <c r="D1526" s="8" t="s">
        <v>8104</v>
      </c>
      <c r="E1526" s="8" t="s">
        <v>8105</v>
      </c>
      <c r="F1526" s="8" t="s">
        <v>8106</v>
      </c>
      <c r="G1526" s="8" t="s">
        <v>8065</v>
      </c>
      <c r="H1526" s="8" t="s">
        <v>7997</v>
      </c>
      <c r="I1526" s="8" t="str">
        <f>HYPERLINK("http://www.supremalab.com/","www.supremalab.com")</f>
        <v>www.supremalab.com</v>
      </c>
      <c r="J1526" s="10">
        <v>3574.4029999999998</v>
      </c>
      <c r="K1526" s="10">
        <v>3574.4029999999998</v>
      </c>
      <c r="L1526" s="10">
        <v>3719.5320000000002</v>
      </c>
      <c r="M1526" s="10">
        <v>25.155999999999999</v>
      </c>
      <c r="N1526" s="10">
        <v>25.155999999999999</v>
      </c>
      <c r="O1526" s="10">
        <v>-359.98399999999998</v>
      </c>
      <c r="P1526" s="15" t="s">
        <v>8005</v>
      </c>
      <c r="Q1526" s="15" t="s">
        <v>8005</v>
      </c>
      <c r="R1526" s="10">
        <v>11</v>
      </c>
    </row>
    <row r="1527" spans="1:18" ht="17" customHeight="1" x14ac:dyDescent="0.15">
      <c r="A1527" s="11" t="s">
        <v>8107</v>
      </c>
      <c r="B1527" s="1" t="s">
        <v>8108</v>
      </c>
      <c r="C1527" s="11" t="s">
        <v>8109</v>
      </c>
      <c r="D1527" s="11" t="s">
        <v>8109</v>
      </c>
      <c r="E1527" s="11" t="s">
        <v>8110</v>
      </c>
      <c r="F1527" s="11" t="s">
        <v>8044</v>
      </c>
      <c r="G1527" s="11" t="s">
        <v>8111</v>
      </c>
      <c r="H1527" s="11" t="s">
        <v>7997</v>
      </c>
      <c r="I1527" s="11" t="str">
        <f>HYPERLINK("http://www.meroandmore.com/","www.meroandmore.com")</f>
        <v>www.meroandmore.com</v>
      </c>
      <c r="J1527" s="12">
        <v>2956.2829999999999</v>
      </c>
      <c r="K1527" s="12">
        <v>2956.2829999999999</v>
      </c>
      <c r="L1527" s="13">
        <v>3719.424</v>
      </c>
      <c r="M1527" s="12">
        <v>-13.384</v>
      </c>
      <c r="N1527" s="12">
        <v>-13.384</v>
      </c>
      <c r="O1527" s="12">
        <v>56.927999999999997</v>
      </c>
      <c r="P1527" s="12">
        <v>17</v>
      </c>
      <c r="Q1527" s="12">
        <v>17</v>
      </c>
      <c r="R1527" s="12">
        <v>20</v>
      </c>
    </row>
    <row r="1528" spans="1:18" ht="17" customHeight="1" x14ac:dyDescent="0.15">
      <c r="A1528" s="8" t="s">
        <v>8112</v>
      </c>
      <c r="B1528" s="9" t="s">
        <v>8113</v>
      </c>
      <c r="C1528" s="8" t="s">
        <v>8114</v>
      </c>
      <c r="D1528" s="8" t="s">
        <v>8114</v>
      </c>
      <c r="E1528" s="8" t="s">
        <v>8115</v>
      </c>
      <c r="F1528" s="8" t="s">
        <v>8064</v>
      </c>
      <c r="G1528" s="8" t="s">
        <v>8065</v>
      </c>
      <c r="H1528" s="8" t="s">
        <v>7997</v>
      </c>
      <c r="I1528" s="8" t="str">
        <f>HYPERLINK("http://www.annaseravalli.com/","www.annaseravalli.com")</f>
        <v>www.annaseravalli.com</v>
      </c>
      <c r="J1528" s="10">
        <v>3927.3470000000002</v>
      </c>
      <c r="K1528" s="10">
        <v>3927.3470000000002</v>
      </c>
      <c r="L1528" s="10">
        <v>3718.067</v>
      </c>
      <c r="M1528" s="10">
        <v>210.87899999999999</v>
      </c>
      <c r="N1528" s="10">
        <v>210.87899999999999</v>
      </c>
      <c r="O1528" s="10">
        <v>158.52699999999999</v>
      </c>
      <c r="P1528" s="10">
        <v>9</v>
      </c>
      <c r="Q1528" s="10">
        <v>9</v>
      </c>
      <c r="R1528" s="10">
        <v>8</v>
      </c>
    </row>
    <row r="1529" spans="1:18" ht="17" customHeight="1" x14ac:dyDescent="0.15">
      <c r="A1529" s="11" t="s">
        <v>8116</v>
      </c>
      <c r="B1529" s="1" t="s">
        <v>8117</v>
      </c>
      <c r="C1529" s="11" t="s">
        <v>8118</v>
      </c>
      <c r="D1529" s="11" t="s">
        <v>8118</v>
      </c>
      <c r="E1529" s="11" t="s">
        <v>8119</v>
      </c>
      <c r="F1529" s="11" t="s">
        <v>8101</v>
      </c>
      <c r="G1529" s="11" t="s">
        <v>8034</v>
      </c>
      <c r="H1529" s="11" t="s">
        <v>8035</v>
      </c>
      <c r="I1529" s="11" t="str">
        <f>HYPERLINK("http://www.fashionhousesrl.com/","www.fashionhousesrl.com")</f>
        <v>www.fashionhousesrl.com</v>
      </c>
      <c r="J1529" s="12">
        <v>4911.942</v>
      </c>
      <c r="K1529" s="12">
        <v>4911.942</v>
      </c>
      <c r="L1529" s="13">
        <v>3713.0059999999999</v>
      </c>
      <c r="M1529" s="12">
        <v>77.423000000000002</v>
      </c>
      <c r="N1529" s="12">
        <v>77.423000000000002</v>
      </c>
      <c r="O1529" s="12">
        <v>45.914000000000001</v>
      </c>
      <c r="P1529" s="12">
        <v>63</v>
      </c>
      <c r="Q1529" s="12">
        <v>63</v>
      </c>
      <c r="R1529" s="12">
        <v>49</v>
      </c>
    </row>
    <row r="1530" spans="1:18" ht="29.5" customHeight="1" x14ac:dyDescent="0.15">
      <c r="A1530" s="8" t="s">
        <v>8120</v>
      </c>
      <c r="B1530" s="9" t="s">
        <v>8121</v>
      </c>
      <c r="C1530" s="8" t="s">
        <v>8122</v>
      </c>
      <c r="D1530" s="8" t="s">
        <v>8122</v>
      </c>
      <c r="E1530" s="8" t="s">
        <v>8123</v>
      </c>
      <c r="F1530" s="8" t="s">
        <v>8028</v>
      </c>
      <c r="G1530" s="8" t="s">
        <v>8124</v>
      </c>
      <c r="H1530" s="8" t="s">
        <v>8125</v>
      </c>
      <c r="I1530" s="8" t="str">
        <f>HYPERLINK("http://www.fioronicashmere.com/","www.fioronicashmere.com")</f>
        <v>www.fioronicashmere.com</v>
      </c>
      <c r="J1530" s="10">
        <v>4051.1410000000001</v>
      </c>
      <c r="K1530" s="10">
        <v>4051.1410000000001</v>
      </c>
      <c r="L1530" s="10">
        <v>3710.1149999999998</v>
      </c>
      <c r="M1530" s="10">
        <v>321.18</v>
      </c>
      <c r="N1530" s="10">
        <v>321.18</v>
      </c>
      <c r="O1530" s="10">
        <v>233.28200000000001</v>
      </c>
      <c r="P1530" s="10">
        <v>22</v>
      </c>
      <c r="Q1530" s="10">
        <v>22</v>
      </c>
      <c r="R1530" s="10">
        <v>24</v>
      </c>
    </row>
    <row r="1531" spans="1:18" ht="17" customHeight="1" x14ac:dyDescent="0.15">
      <c r="A1531" s="11" t="s">
        <v>8126</v>
      </c>
      <c r="B1531" s="1" t="s">
        <v>8127</v>
      </c>
      <c r="C1531" s="11" t="s">
        <v>8128</v>
      </c>
      <c r="D1531" s="11" t="s">
        <v>8128</v>
      </c>
      <c r="E1531" s="11" t="s">
        <v>8129</v>
      </c>
      <c r="F1531" s="11" t="s">
        <v>8002</v>
      </c>
      <c r="G1531" s="11" t="s">
        <v>8092</v>
      </c>
      <c r="H1531" s="11" t="s">
        <v>8004</v>
      </c>
      <c r="I1531" s="11" t="str">
        <f>HYPERLINK("http://www.fapitalia.it/","www.fapitalia.it")</f>
        <v>www.fapitalia.it</v>
      </c>
      <c r="J1531" s="12">
        <v>3557.346</v>
      </c>
      <c r="K1531" s="12">
        <v>3557.346</v>
      </c>
      <c r="L1531" s="13">
        <v>3707.35</v>
      </c>
      <c r="M1531" s="12">
        <v>-210.82499999999999</v>
      </c>
      <c r="N1531" s="12">
        <v>-210.82499999999999</v>
      </c>
      <c r="O1531" s="12">
        <v>53.603000000000002</v>
      </c>
      <c r="P1531" s="12">
        <v>20</v>
      </c>
      <c r="Q1531" s="12">
        <v>20</v>
      </c>
      <c r="R1531" s="12">
        <v>16</v>
      </c>
    </row>
    <row r="1532" spans="1:18" ht="17" customHeight="1" x14ac:dyDescent="0.15">
      <c r="A1532" s="8" t="s">
        <v>8130</v>
      </c>
      <c r="B1532" s="9" t="s">
        <v>8131</v>
      </c>
      <c r="C1532" s="8" t="s">
        <v>8132</v>
      </c>
      <c r="D1532" s="8" t="s">
        <v>8133</v>
      </c>
      <c r="E1532" s="8" t="s">
        <v>8134</v>
      </c>
      <c r="F1532" s="8" t="s">
        <v>8017</v>
      </c>
      <c r="G1532" s="8" t="s">
        <v>8045</v>
      </c>
      <c r="H1532" s="8" t="s">
        <v>7997</v>
      </c>
      <c r="I1532" s="8" t="str">
        <f>HYPERLINK("http://www.cortigiani.it/","www.cortigiani.it")</f>
        <v>www.cortigiani.it</v>
      </c>
      <c r="J1532" s="10">
        <v>4718.1729999999998</v>
      </c>
      <c r="K1532" s="10">
        <v>4718.1729999999998</v>
      </c>
      <c r="L1532" s="10">
        <v>3707.319</v>
      </c>
      <c r="M1532" s="10">
        <v>218.82</v>
      </c>
      <c r="N1532" s="10">
        <v>218.82</v>
      </c>
      <c r="O1532" s="10">
        <v>114.41200000000001</v>
      </c>
      <c r="P1532" s="10">
        <v>19</v>
      </c>
      <c r="Q1532" s="10">
        <v>19</v>
      </c>
      <c r="R1532" s="10">
        <v>26</v>
      </c>
    </row>
    <row r="1533" spans="1:18" ht="17" customHeight="1" x14ac:dyDescent="0.15">
      <c r="A1533" s="11" t="s">
        <v>8135</v>
      </c>
      <c r="B1533" s="1" t="s">
        <v>8136</v>
      </c>
      <c r="C1533" s="11" t="s">
        <v>8137</v>
      </c>
      <c r="D1533" s="11" t="s">
        <v>8137</v>
      </c>
      <c r="E1533" s="11" t="s">
        <v>8138</v>
      </c>
      <c r="F1533" s="11" t="s">
        <v>8139</v>
      </c>
      <c r="G1533" s="11" t="s">
        <v>8092</v>
      </c>
      <c r="H1533" s="11" t="s">
        <v>8004</v>
      </c>
      <c r="I1533" s="11" t="str">
        <f>HYPERLINK("http://www.maglificio-matibba.com/","www.maglificio-matibba.com")</f>
        <v>www.maglificio-matibba.com</v>
      </c>
      <c r="J1533" s="12">
        <v>4043.48</v>
      </c>
      <c r="K1533" s="12">
        <v>4043.48</v>
      </c>
      <c r="L1533" s="13">
        <v>3705.2069999999999</v>
      </c>
      <c r="M1533" s="12">
        <v>41</v>
      </c>
      <c r="N1533" s="12">
        <v>41</v>
      </c>
      <c r="O1533" s="12">
        <v>34.130000000000003</v>
      </c>
      <c r="P1533" s="12">
        <v>8</v>
      </c>
      <c r="Q1533" s="12">
        <v>8</v>
      </c>
      <c r="R1533" s="12">
        <v>10</v>
      </c>
    </row>
    <row r="1534" spans="1:18" ht="17" customHeight="1" x14ac:dyDescent="0.15">
      <c r="A1534" s="8" t="s">
        <v>8140</v>
      </c>
      <c r="B1534" s="9" t="s">
        <v>8141</v>
      </c>
      <c r="C1534" s="8" t="s">
        <v>8142</v>
      </c>
      <c r="D1534" s="8" t="s">
        <v>8142</v>
      </c>
      <c r="E1534" s="8" t="s">
        <v>8143</v>
      </c>
      <c r="F1534" s="8" t="s">
        <v>8144</v>
      </c>
      <c r="G1534" s="8" t="s">
        <v>8145</v>
      </c>
      <c r="H1534" s="8" t="s">
        <v>8019</v>
      </c>
      <c r="I1534" s="8" t="str">
        <f>HYPERLINK("http://www.calzaturificiob2.it/","www.calzaturificiob2.it")</f>
        <v>www.calzaturificiob2.it</v>
      </c>
      <c r="J1534" s="10">
        <v>3372.16</v>
      </c>
      <c r="K1534" s="10">
        <v>3372.16</v>
      </c>
      <c r="L1534" s="10">
        <v>3701.1</v>
      </c>
      <c r="M1534" s="10">
        <v>177.74</v>
      </c>
      <c r="N1534" s="10">
        <v>177.74</v>
      </c>
      <c r="O1534" s="10">
        <v>125.842</v>
      </c>
      <c r="P1534" s="15" t="s">
        <v>8005</v>
      </c>
      <c r="Q1534" s="15" t="s">
        <v>8005</v>
      </c>
      <c r="R1534" s="10">
        <v>18</v>
      </c>
    </row>
    <row r="1535" spans="1:18" ht="17" customHeight="1" x14ac:dyDescent="0.15">
      <c r="A1535" s="11" t="s">
        <v>8146</v>
      </c>
      <c r="B1535" s="1" t="s">
        <v>8147</v>
      </c>
      <c r="C1535" s="11" t="s">
        <v>8148</v>
      </c>
      <c r="D1535" s="11" t="s">
        <v>8148</v>
      </c>
      <c r="E1535" s="11" t="s">
        <v>8149</v>
      </c>
      <c r="F1535" s="11" t="s">
        <v>7995</v>
      </c>
      <c r="G1535" s="11" t="s">
        <v>7996</v>
      </c>
      <c r="H1535" s="11" t="s">
        <v>7997</v>
      </c>
      <c r="I1535" s="11" t="str">
        <f>HYPERLINK("http://www.perpel.com/","www.perpel.com")</f>
        <v>www.perpel.com</v>
      </c>
      <c r="J1535" s="12">
        <v>2694.1210000000001</v>
      </c>
      <c r="K1535" s="12">
        <v>2694.1210000000001</v>
      </c>
      <c r="L1535" s="13">
        <v>3701.085</v>
      </c>
      <c r="M1535" s="12">
        <v>-50.314</v>
      </c>
      <c r="N1535" s="12">
        <v>-50.314</v>
      </c>
      <c r="O1535" s="12">
        <v>113.669</v>
      </c>
      <c r="P1535" s="12">
        <v>19</v>
      </c>
      <c r="Q1535" s="12">
        <v>19</v>
      </c>
      <c r="R1535" s="12">
        <v>20</v>
      </c>
    </row>
    <row r="1536" spans="1:18" ht="17" customHeight="1" x14ac:dyDescent="0.15">
      <c r="A1536" s="8" t="s">
        <v>8150</v>
      </c>
      <c r="B1536" s="9" t="s">
        <v>8151</v>
      </c>
      <c r="C1536" s="8" t="s">
        <v>8152</v>
      </c>
      <c r="D1536" s="8" t="s">
        <v>8152</v>
      </c>
      <c r="E1536" s="8" t="s">
        <v>8153</v>
      </c>
      <c r="F1536" s="8" t="s">
        <v>7988</v>
      </c>
      <c r="G1536" s="8" t="s">
        <v>8154</v>
      </c>
      <c r="H1536" s="8" t="s">
        <v>8087</v>
      </c>
      <c r="I1536" s="8" t="str">
        <f>HYPERLINK("http://www.lady-shoes.it/","www.lady-shoes.it")</f>
        <v>www.lady-shoes.it</v>
      </c>
      <c r="J1536" s="10">
        <v>3911.0830000000001</v>
      </c>
      <c r="K1536" s="10">
        <v>3911.0830000000001</v>
      </c>
      <c r="L1536" s="10">
        <v>3693.9140000000002</v>
      </c>
      <c r="M1536" s="10">
        <v>20.866</v>
      </c>
      <c r="N1536" s="10">
        <v>20.866</v>
      </c>
      <c r="O1536" s="10">
        <v>49.944000000000003</v>
      </c>
      <c r="P1536" s="15" t="s">
        <v>8005</v>
      </c>
      <c r="Q1536" s="15" t="s">
        <v>8005</v>
      </c>
      <c r="R1536" s="10">
        <v>14</v>
      </c>
    </row>
    <row r="1537" spans="1:18" ht="29.5" customHeight="1" x14ac:dyDescent="0.15">
      <c r="A1537" s="11" t="s">
        <v>8155</v>
      </c>
      <c r="B1537" s="1" t="s">
        <v>8156</v>
      </c>
      <c r="C1537" s="11" t="s">
        <v>8157</v>
      </c>
      <c r="D1537" s="11" t="s">
        <v>8157</v>
      </c>
      <c r="E1537" s="11" t="s">
        <v>8158</v>
      </c>
      <c r="F1537" s="11" t="s">
        <v>8159</v>
      </c>
      <c r="G1537" s="11" t="s">
        <v>8160</v>
      </c>
      <c r="H1537" s="11" t="s">
        <v>8161</v>
      </c>
      <c r="I1537" s="11" t="str">
        <f>HYPERLINK("http://www.piodusini.it/","www.piodusini.it")</f>
        <v>www.piodusini.it</v>
      </c>
      <c r="J1537" s="12">
        <v>4415.5370000000003</v>
      </c>
      <c r="K1537" s="12">
        <v>4415.5370000000003</v>
      </c>
      <c r="L1537" s="13">
        <v>3691.2730000000001</v>
      </c>
      <c r="M1537" s="12">
        <v>123.4</v>
      </c>
      <c r="N1537" s="12">
        <v>123.4</v>
      </c>
      <c r="O1537" s="12">
        <v>55.03</v>
      </c>
      <c r="P1537" s="12">
        <v>8</v>
      </c>
      <c r="Q1537" s="12">
        <v>8</v>
      </c>
      <c r="R1537" s="12">
        <v>7</v>
      </c>
    </row>
    <row r="1538" spans="1:18" ht="17" customHeight="1" x14ac:dyDescent="0.15">
      <c r="A1538" s="8" t="s">
        <v>8162</v>
      </c>
      <c r="B1538" s="9" t="s">
        <v>8163</v>
      </c>
      <c r="C1538" s="8" t="s">
        <v>8164</v>
      </c>
      <c r="D1538" s="8" t="s">
        <v>8164</v>
      </c>
      <c r="E1538" s="8" t="s">
        <v>8165</v>
      </c>
      <c r="F1538" s="8" t="s">
        <v>8159</v>
      </c>
      <c r="G1538" s="8" t="s">
        <v>8166</v>
      </c>
      <c r="H1538" s="8" t="s">
        <v>8167</v>
      </c>
      <c r="I1538" s="8" t="str">
        <f>HYPERLINK("http://www.zetapelli.it/","www.zetapelli.it")</f>
        <v>www.zetapelli.it</v>
      </c>
      <c r="J1538" s="10">
        <v>3047.181</v>
      </c>
      <c r="K1538" s="10">
        <v>3047.181</v>
      </c>
      <c r="L1538" s="10">
        <v>3689.9050000000002</v>
      </c>
      <c r="M1538" s="10">
        <v>30.048999999999999</v>
      </c>
      <c r="N1538" s="10">
        <v>30.048999999999999</v>
      </c>
      <c r="O1538" s="10">
        <v>148.477</v>
      </c>
      <c r="P1538" s="10">
        <v>6</v>
      </c>
      <c r="Q1538" s="10">
        <v>6</v>
      </c>
      <c r="R1538" s="10">
        <v>4</v>
      </c>
    </row>
    <row r="1539" spans="1:18" ht="17" customHeight="1" x14ac:dyDescent="0.15">
      <c r="A1539" s="11" t="s">
        <v>8168</v>
      </c>
      <c r="B1539" s="1" t="s">
        <v>8169</v>
      </c>
      <c r="C1539" s="11" t="s">
        <v>8170</v>
      </c>
      <c r="D1539" s="11" t="s">
        <v>8170</v>
      </c>
      <c r="E1539" s="11" t="s">
        <v>8171</v>
      </c>
      <c r="F1539" s="11" t="s">
        <v>8172</v>
      </c>
      <c r="G1539" s="11" t="s">
        <v>8173</v>
      </c>
      <c r="H1539" s="11" t="s">
        <v>8174</v>
      </c>
      <c r="I1539" s="11" t="str">
        <f>HYPERLINK("http://www.sba-srl.com/","www.sba-srl.com")</f>
        <v>www.sba-srl.com</v>
      </c>
      <c r="J1539" s="12">
        <v>3658.4780000000001</v>
      </c>
      <c r="K1539" s="12">
        <v>3658.4780000000001</v>
      </c>
      <c r="L1539" s="13">
        <v>3689.8009999999999</v>
      </c>
      <c r="M1539" s="12">
        <v>64.884</v>
      </c>
      <c r="N1539" s="12">
        <v>64.884</v>
      </c>
      <c r="O1539" s="12">
        <v>67.876000000000005</v>
      </c>
      <c r="P1539" s="14" t="s">
        <v>8175</v>
      </c>
      <c r="Q1539" s="14" t="s">
        <v>8175</v>
      </c>
      <c r="R1539" s="12">
        <v>18</v>
      </c>
    </row>
    <row r="1540" spans="1:18" ht="17" customHeight="1" x14ac:dyDescent="0.15">
      <c r="A1540" s="8" t="s">
        <v>8176</v>
      </c>
      <c r="B1540" s="9" t="s">
        <v>8177</v>
      </c>
      <c r="C1540" s="8" t="s">
        <v>8178</v>
      </c>
      <c r="D1540" s="8" t="s">
        <v>8178</v>
      </c>
      <c r="E1540" s="8" t="s">
        <v>8179</v>
      </c>
      <c r="F1540" s="8" t="s">
        <v>8180</v>
      </c>
      <c r="G1540" s="8" t="s">
        <v>8181</v>
      </c>
      <c r="H1540" s="8" t="s">
        <v>8167</v>
      </c>
      <c r="I1540" s="8" t="str">
        <f>HYPERLINK("http://morgano.com/","morgano.com")</f>
        <v>morgano.com</v>
      </c>
      <c r="J1540" s="10">
        <v>3906.88</v>
      </c>
      <c r="K1540" s="10">
        <v>3906.88</v>
      </c>
      <c r="L1540" s="10">
        <v>3688.692</v>
      </c>
      <c r="M1540" s="10">
        <v>45.286999999999999</v>
      </c>
      <c r="N1540" s="10">
        <v>45.286999999999999</v>
      </c>
      <c r="O1540" s="10">
        <v>40.893999999999998</v>
      </c>
      <c r="P1540" s="10">
        <v>13</v>
      </c>
      <c r="Q1540" s="10">
        <v>13</v>
      </c>
      <c r="R1540" s="10">
        <v>13</v>
      </c>
    </row>
    <row r="1541" spans="1:18" ht="17" customHeight="1" x14ac:dyDescent="0.15">
      <c r="A1541" s="11" t="s">
        <v>8182</v>
      </c>
      <c r="B1541" s="1" t="s">
        <v>8183</v>
      </c>
      <c r="C1541" s="11" t="s">
        <v>8184</v>
      </c>
      <c r="D1541" s="11" t="s">
        <v>8184</v>
      </c>
      <c r="E1541" s="11" t="s">
        <v>8185</v>
      </c>
      <c r="F1541" s="11" t="s">
        <v>8186</v>
      </c>
      <c r="G1541" s="11" t="s">
        <v>8187</v>
      </c>
      <c r="H1541" s="11" t="s">
        <v>8188</v>
      </c>
      <c r="I1541" s="11" t="str">
        <f>HYPERLINK("http://egosrl.it/","egosrl.it")</f>
        <v>egosrl.it</v>
      </c>
      <c r="J1541" s="12">
        <v>3141.5790000000002</v>
      </c>
      <c r="K1541" s="12">
        <v>3141.5790000000002</v>
      </c>
      <c r="L1541" s="13">
        <v>3685.1460000000002</v>
      </c>
      <c r="M1541" s="12">
        <v>2.7</v>
      </c>
      <c r="N1541" s="12">
        <v>2.7</v>
      </c>
      <c r="O1541" s="12">
        <v>2.9</v>
      </c>
      <c r="P1541" s="12">
        <v>18</v>
      </c>
      <c r="Q1541" s="12">
        <v>18</v>
      </c>
      <c r="R1541" s="12">
        <v>17</v>
      </c>
    </row>
    <row r="1542" spans="1:18" ht="17" customHeight="1" x14ac:dyDescent="0.15">
      <c r="A1542" s="8" t="s">
        <v>8189</v>
      </c>
      <c r="B1542" s="9" t="s">
        <v>8190</v>
      </c>
      <c r="C1542" s="8" t="s">
        <v>8191</v>
      </c>
      <c r="D1542" s="8" t="s">
        <v>8191</v>
      </c>
      <c r="E1542" s="8" t="s">
        <v>8192</v>
      </c>
      <c r="F1542" s="8" t="s">
        <v>8193</v>
      </c>
      <c r="G1542" s="8" t="s">
        <v>8194</v>
      </c>
      <c r="H1542" s="8" t="s">
        <v>8195</v>
      </c>
      <c r="I1542" s="8" t="str">
        <f>HYPERLINK("http://www.lrlandi.it/","www.lrlandi.it")</f>
        <v>www.lrlandi.it</v>
      </c>
      <c r="J1542" s="10">
        <v>4382.759</v>
      </c>
      <c r="K1542" s="10">
        <v>4382.759</v>
      </c>
      <c r="L1542" s="10">
        <v>3678.5340000000001</v>
      </c>
      <c r="M1542" s="10">
        <v>56.179000000000002</v>
      </c>
      <c r="N1542" s="10">
        <v>56.179000000000002</v>
      </c>
      <c r="O1542" s="10">
        <v>10.301</v>
      </c>
      <c r="P1542" s="10">
        <v>14</v>
      </c>
      <c r="Q1542" s="10">
        <v>14</v>
      </c>
      <c r="R1542" s="10">
        <v>14</v>
      </c>
    </row>
    <row r="1543" spans="1:18" ht="17" customHeight="1" x14ac:dyDescent="0.15">
      <c r="A1543" s="11" t="s">
        <v>8196</v>
      </c>
      <c r="B1543" s="1" t="s">
        <v>8197</v>
      </c>
      <c r="C1543" s="11" t="s">
        <v>8198</v>
      </c>
      <c r="D1543" s="11" t="s">
        <v>8198</v>
      </c>
      <c r="E1543" s="11" t="s">
        <v>8199</v>
      </c>
      <c r="F1543" s="11" t="s">
        <v>8172</v>
      </c>
      <c r="G1543" s="11" t="s">
        <v>8200</v>
      </c>
      <c r="H1543" s="11" t="s">
        <v>8167</v>
      </c>
      <c r="I1543" s="11" t="str">
        <f>HYPERLINK("http://www.db-abbigliamento.it/","www.db-abbigliamento.it")</f>
        <v>www.db-abbigliamento.it</v>
      </c>
      <c r="J1543" s="12">
        <v>4462.2420000000002</v>
      </c>
      <c r="K1543" s="12">
        <v>4462.2420000000002</v>
      </c>
      <c r="L1543" s="13">
        <v>3674.75</v>
      </c>
      <c r="M1543" s="12">
        <v>910.07299999999998</v>
      </c>
      <c r="N1543" s="12">
        <v>910.07299999999998</v>
      </c>
      <c r="O1543" s="12">
        <v>220.26</v>
      </c>
      <c r="P1543" s="12">
        <v>10</v>
      </c>
      <c r="Q1543" s="12">
        <v>10</v>
      </c>
      <c r="R1543" s="12">
        <v>9</v>
      </c>
    </row>
    <row r="1544" spans="1:18" ht="17" customHeight="1" x14ac:dyDescent="0.15">
      <c r="A1544" s="8" t="s">
        <v>8201</v>
      </c>
      <c r="B1544" s="9" t="s">
        <v>8202</v>
      </c>
      <c r="C1544" s="8" t="s">
        <v>8203</v>
      </c>
      <c r="D1544" s="8" t="s">
        <v>8203</v>
      </c>
      <c r="E1544" s="8" t="s">
        <v>8204</v>
      </c>
      <c r="F1544" s="8" t="s">
        <v>8159</v>
      </c>
      <c r="G1544" s="8" t="s">
        <v>8166</v>
      </c>
      <c r="H1544" s="8" t="s">
        <v>8167</v>
      </c>
      <c r="I1544" s="8" t="str">
        <f>HYPERLINK("http://www.mabopell.it/","www.mabopell.it")</f>
        <v>www.mabopell.it</v>
      </c>
      <c r="J1544" s="10">
        <v>2964.4589999999998</v>
      </c>
      <c r="K1544" s="10">
        <v>2964.4589999999998</v>
      </c>
      <c r="L1544" s="10">
        <v>3674.2289999999998</v>
      </c>
      <c r="M1544" s="10">
        <v>-120.098</v>
      </c>
      <c r="N1544" s="10">
        <v>-120.098</v>
      </c>
      <c r="O1544" s="10">
        <v>15.846</v>
      </c>
      <c r="P1544" s="10">
        <v>13</v>
      </c>
      <c r="Q1544" s="10">
        <v>13</v>
      </c>
      <c r="R1544" s="10">
        <v>13</v>
      </c>
    </row>
    <row r="1545" spans="1:18" ht="17" customHeight="1" x14ac:dyDescent="0.15">
      <c r="A1545" s="11" t="s">
        <v>8205</v>
      </c>
      <c r="B1545" s="1" t="s">
        <v>8206</v>
      </c>
      <c r="C1545" s="11" t="s">
        <v>8207</v>
      </c>
      <c r="D1545" s="11" t="s">
        <v>8207</v>
      </c>
      <c r="E1545" s="11" t="s">
        <v>8208</v>
      </c>
      <c r="F1545" s="11" t="s">
        <v>8193</v>
      </c>
      <c r="G1545" s="11" t="s">
        <v>8209</v>
      </c>
      <c r="H1545" s="11" t="s">
        <v>8210</v>
      </c>
      <c r="I1545" s="11" t="str">
        <f>HYPERLINK("http://www.unicashop.it/","www.unicashop.it")</f>
        <v>www.unicashop.it</v>
      </c>
      <c r="J1545" s="12">
        <v>3804.1669999999999</v>
      </c>
      <c r="K1545" s="12">
        <v>3804.1669999999999</v>
      </c>
      <c r="L1545" s="13">
        <v>3673.7530000000002</v>
      </c>
      <c r="M1545" s="12">
        <v>8.4559999999999995</v>
      </c>
      <c r="N1545" s="12">
        <v>8.4559999999999995</v>
      </c>
      <c r="O1545" s="12">
        <v>20.263999999999999</v>
      </c>
      <c r="P1545" s="14" t="s">
        <v>8175</v>
      </c>
      <c r="Q1545" s="14" t="s">
        <v>8175</v>
      </c>
      <c r="R1545" s="12">
        <v>34</v>
      </c>
    </row>
    <row r="1546" spans="1:18" ht="17" customHeight="1" x14ac:dyDescent="0.15">
      <c r="A1546" s="8" t="s">
        <v>8211</v>
      </c>
      <c r="B1546" s="9" t="s">
        <v>8212</v>
      </c>
      <c r="C1546" s="8" t="s">
        <v>8213</v>
      </c>
      <c r="D1546" s="8" t="s">
        <v>8213</v>
      </c>
      <c r="E1546" s="8" t="s">
        <v>8214</v>
      </c>
      <c r="F1546" s="8" t="s">
        <v>8180</v>
      </c>
      <c r="G1546" s="8" t="s">
        <v>8215</v>
      </c>
      <c r="H1546" s="8" t="s">
        <v>8216</v>
      </c>
      <c r="I1546" s="8" t="str">
        <f>HYPERLINK("http://www.alanred.com/","www.alanred.com")</f>
        <v>www.alanred.com</v>
      </c>
      <c r="J1546" s="10">
        <v>3534.2629999999999</v>
      </c>
      <c r="K1546" s="10">
        <v>3534.2629999999999</v>
      </c>
      <c r="L1546" s="10">
        <v>3672.895</v>
      </c>
      <c r="M1546" s="10">
        <v>201.96700000000001</v>
      </c>
      <c r="N1546" s="10">
        <v>201.96700000000001</v>
      </c>
      <c r="O1546" s="10">
        <v>5.3070000000000004</v>
      </c>
      <c r="P1546" s="10">
        <v>15</v>
      </c>
      <c r="Q1546" s="10">
        <v>15</v>
      </c>
      <c r="R1546" s="10">
        <v>20</v>
      </c>
    </row>
    <row r="1547" spans="1:18" ht="17" customHeight="1" x14ac:dyDescent="0.15">
      <c r="A1547" s="11" t="s">
        <v>8217</v>
      </c>
      <c r="B1547" s="1" t="s">
        <v>8218</v>
      </c>
      <c r="C1547" s="11" t="s">
        <v>8219</v>
      </c>
      <c r="D1547" s="11" t="s">
        <v>8219</v>
      </c>
      <c r="E1547" s="11" t="s">
        <v>8220</v>
      </c>
      <c r="F1547" s="11" t="s">
        <v>8172</v>
      </c>
      <c r="G1547" s="11" t="s">
        <v>8209</v>
      </c>
      <c r="H1547" s="11" t="s">
        <v>8210</v>
      </c>
      <c r="I1547" s="11" t="str">
        <f>HYPERLINK("http://www.maisonnewclub.it/","www.maisonnewclub.it")</f>
        <v>www.maisonnewclub.it</v>
      </c>
      <c r="J1547" s="12">
        <v>1902.722</v>
      </c>
      <c r="K1547" s="12">
        <v>2909.482</v>
      </c>
      <c r="L1547" s="13">
        <v>3671.931</v>
      </c>
      <c r="M1547" s="12">
        <v>35.289000000000001</v>
      </c>
      <c r="N1547" s="12">
        <v>35.86</v>
      </c>
      <c r="O1547" s="12">
        <v>48.162999999999997</v>
      </c>
      <c r="P1547" s="12">
        <v>8</v>
      </c>
      <c r="Q1547" s="12">
        <v>10</v>
      </c>
      <c r="R1547" s="12">
        <v>10</v>
      </c>
    </row>
    <row r="1548" spans="1:18" ht="17" customHeight="1" x14ac:dyDescent="0.15">
      <c r="A1548" s="8" t="s">
        <v>8221</v>
      </c>
      <c r="B1548" s="9" t="s">
        <v>8222</v>
      </c>
      <c r="C1548" s="8" t="s">
        <v>8223</v>
      </c>
      <c r="D1548" s="8" t="s">
        <v>8223</v>
      </c>
      <c r="E1548" s="8" t="s">
        <v>8224</v>
      </c>
      <c r="F1548" s="8" t="s">
        <v>8225</v>
      </c>
      <c r="G1548" s="8" t="s">
        <v>8226</v>
      </c>
      <c r="H1548" s="8" t="s">
        <v>8174</v>
      </c>
      <c r="I1548" s="8" t="str">
        <f>HYPERLINK("http://www.flecs.com/","http://www.flecs.com")</f>
        <v>http://www.flecs.com</v>
      </c>
      <c r="J1548" s="10">
        <v>3807</v>
      </c>
      <c r="K1548" s="10">
        <v>3807</v>
      </c>
      <c r="L1548" s="10">
        <v>3670.9459999999999</v>
      </c>
      <c r="M1548" s="10">
        <v>116.136</v>
      </c>
      <c r="N1548" s="10">
        <v>116.136</v>
      </c>
      <c r="O1548" s="10">
        <v>101.73</v>
      </c>
      <c r="P1548" s="15" t="s">
        <v>8175</v>
      </c>
      <c r="Q1548" s="15" t="s">
        <v>8175</v>
      </c>
      <c r="R1548" s="10">
        <v>24</v>
      </c>
    </row>
    <row r="1549" spans="1:18" ht="17" customHeight="1" x14ac:dyDescent="0.15">
      <c r="A1549" s="11" t="s">
        <v>8227</v>
      </c>
      <c r="B1549" s="1" t="s">
        <v>8228</v>
      </c>
      <c r="C1549" s="11" t="s">
        <v>8229</v>
      </c>
      <c r="D1549" s="11" t="s">
        <v>8229</v>
      </c>
      <c r="E1549" s="11" t="s">
        <v>8230</v>
      </c>
      <c r="F1549" s="11" t="s">
        <v>8231</v>
      </c>
      <c r="G1549" s="11" t="s">
        <v>8209</v>
      </c>
      <c r="H1549" s="11" t="s">
        <v>8210</v>
      </c>
      <c r="I1549" s="11" t="str">
        <f>HYPERLINK("http://shop.leilieve.com/","shop.leilieve.com")</f>
        <v>shop.leilieve.com</v>
      </c>
      <c r="J1549" s="12">
        <v>3959.866</v>
      </c>
      <c r="K1549" s="12">
        <v>3959.866</v>
      </c>
      <c r="L1549" s="13">
        <v>3667.444</v>
      </c>
      <c r="M1549" s="12">
        <v>69.668999999999997</v>
      </c>
      <c r="N1549" s="12">
        <v>69.668999999999997</v>
      </c>
      <c r="O1549" s="12">
        <v>41.368000000000002</v>
      </c>
      <c r="P1549" s="14" t="s">
        <v>8175</v>
      </c>
      <c r="Q1549" s="14" t="s">
        <v>8175</v>
      </c>
      <c r="R1549" s="12">
        <v>12</v>
      </c>
    </row>
    <row r="1550" spans="1:18" ht="17" customHeight="1" x14ac:dyDescent="0.15">
      <c r="A1550" s="8" t="s">
        <v>8232</v>
      </c>
      <c r="B1550" s="9" t="s">
        <v>8233</v>
      </c>
      <c r="C1550" s="8" t="s">
        <v>8234</v>
      </c>
      <c r="D1550" s="8" t="s">
        <v>8234</v>
      </c>
      <c r="E1550" s="8" t="s">
        <v>8235</v>
      </c>
      <c r="F1550" s="8" t="s">
        <v>8180</v>
      </c>
      <c r="G1550" s="8" t="s">
        <v>8166</v>
      </c>
      <c r="H1550" s="8" t="s">
        <v>8167</v>
      </c>
      <c r="I1550" s="8" t="str">
        <f>HYPERLINK("http://www.artemaglia.com/","http://www.artemaglia.com")</f>
        <v>http://www.artemaglia.com</v>
      </c>
      <c r="J1550" s="10">
        <v>4416.8969999999999</v>
      </c>
      <c r="K1550" s="10">
        <v>4416.8969999999999</v>
      </c>
      <c r="L1550" s="10">
        <v>3666.7950000000001</v>
      </c>
      <c r="M1550" s="10">
        <v>370.24599999999998</v>
      </c>
      <c r="N1550" s="10">
        <v>370.24599999999998</v>
      </c>
      <c r="O1550" s="10">
        <v>382.65100000000001</v>
      </c>
      <c r="P1550" s="10">
        <v>19</v>
      </c>
      <c r="Q1550" s="10">
        <v>19</v>
      </c>
      <c r="R1550" s="10">
        <v>17</v>
      </c>
    </row>
    <row r="1551" spans="1:18" ht="17" customHeight="1" x14ac:dyDescent="0.15">
      <c r="A1551" s="11" t="s">
        <v>8236</v>
      </c>
      <c r="B1551" s="1" t="s">
        <v>8237</v>
      </c>
      <c r="C1551" s="11" t="s">
        <v>8238</v>
      </c>
      <c r="D1551" s="11" t="s">
        <v>8238</v>
      </c>
      <c r="E1551" s="11" t="s">
        <v>8239</v>
      </c>
      <c r="F1551" s="11" t="s">
        <v>8180</v>
      </c>
      <c r="G1551" s="11" t="s">
        <v>8194</v>
      </c>
      <c r="H1551" s="11" t="s">
        <v>8195</v>
      </c>
      <c r="I1551" s="11" t="str">
        <f>HYPERLINK("http://www.bonapartemaglierie.it/","www.bonapartemaglierie.it")</f>
        <v>www.bonapartemaglierie.it</v>
      </c>
      <c r="J1551" s="12">
        <v>2837.1660000000002</v>
      </c>
      <c r="K1551" s="12">
        <v>2837.1660000000002</v>
      </c>
      <c r="L1551" s="13">
        <v>3664.4580000000001</v>
      </c>
      <c r="M1551" s="12">
        <v>120</v>
      </c>
      <c r="N1551" s="12">
        <v>120</v>
      </c>
      <c r="O1551" s="12">
        <v>324.85500000000002</v>
      </c>
      <c r="P1551" s="14" t="s">
        <v>8175</v>
      </c>
      <c r="Q1551" s="14" t="s">
        <v>8175</v>
      </c>
      <c r="R1551" s="12">
        <v>10</v>
      </c>
    </row>
    <row r="1552" spans="1:18" ht="17" customHeight="1" x14ac:dyDescent="0.15">
      <c r="A1552" s="8" t="s">
        <v>8240</v>
      </c>
      <c r="B1552" s="9" t="s">
        <v>8241</v>
      </c>
      <c r="C1552" s="8" t="s">
        <v>8242</v>
      </c>
      <c r="D1552" s="8" t="s">
        <v>8242</v>
      </c>
      <c r="E1552" s="8" t="s">
        <v>8243</v>
      </c>
      <c r="F1552" s="8" t="s">
        <v>8172</v>
      </c>
      <c r="G1552" s="8" t="s">
        <v>8244</v>
      </c>
      <c r="H1552" s="8" t="s">
        <v>8216</v>
      </c>
      <c r="I1552" s="8" t="str">
        <f>HYPERLINK("http://www.stecolflex.it/","www.stecolflex.it")</f>
        <v>www.stecolflex.it</v>
      </c>
      <c r="J1552" s="10">
        <v>3337.9749999999999</v>
      </c>
      <c r="K1552" s="10">
        <v>3337.9749999999999</v>
      </c>
      <c r="L1552" s="10">
        <v>3662.8690000000001</v>
      </c>
      <c r="M1552" s="10">
        <v>108.36799999999999</v>
      </c>
      <c r="N1552" s="10">
        <v>108.36799999999999</v>
      </c>
      <c r="O1552" s="10">
        <v>327.20400000000001</v>
      </c>
      <c r="P1552" s="10">
        <v>12</v>
      </c>
      <c r="Q1552" s="10">
        <v>12</v>
      </c>
      <c r="R1552" s="10">
        <v>13</v>
      </c>
    </row>
    <row r="1553" spans="1:18" ht="17" customHeight="1" x14ac:dyDescent="0.15">
      <c r="A1553" s="11" t="s">
        <v>8245</v>
      </c>
      <c r="B1553" s="1" t="s">
        <v>8246</v>
      </c>
      <c r="C1553" s="11" t="s">
        <v>8247</v>
      </c>
      <c r="D1553" s="11" t="s">
        <v>8247</v>
      </c>
      <c r="E1553" s="11" t="s">
        <v>8248</v>
      </c>
      <c r="F1553" s="11" t="s">
        <v>8193</v>
      </c>
      <c r="G1553" s="11" t="s">
        <v>8249</v>
      </c>
      <c r="H1553" s="11" t="s">
        <v>8195</v>
      </c>
      <c r="I1553" s="11" t="str">
        <f>HYPERLINK("http://jinco.it/","jinco.it")</f>
        <v>jinco.it</v>
      </c>
      <c r="J1553" s="12">
        <v>3724.5129999999999</v>
      </c>
      <c r="K1553" s="12">
        <v>3724.5129999999999</v>
      </c>
      <c r="L1553" s="13">
        <v>3658.5680000000002</v>
      </c>
      <c r="M1553" s="12">
        <v>77.680000000000007</v>
      </c>
      <c r="N1553" s="12">
        <v>77.680000000000007</v>
      </c>
      <c r="O1553" s="12">
        <v>55.765999999999998</v>
      </c>
      <c r="P1553" s="12">
        <v>14</v>
      </c>
      <c r="Q1553" s="12">
        <v>14</v>
      </c>
      <c r="R1553" s="12">
        <v>12</v>
      </c>
    </row>
    <row r="1554" spans="1:18" ht="29.5" customHeight="1" x14ac:dyDescent="0.15">
      <c r="A1554" s="8" t="s">
        <v>8250</v>
      </c>
      <c r="B1554" s="9" t="s">
        <v>8251</v>
      </c>
      <c r="C1554" s="8" t="s">
        <v>8252</v>
      </c>
      <c r="D1554" s="8" t="s">
        <v>8252</v>
      </c>
      <c r="E1554" s="8" t="s">
        <v>8253</v>
      </c>
      <c r="F1554" s="8" t="s">
        <v>8186</v>
      </c>
      <c r="G1554" s="8" t="s">
        <v>8254</v>
      </c>
      <c r="H1554" s="8" t="s">
        <v>8255</v>
      </c>
      <c r="I1554" s="8" t="str">
        <f>HYPERLINK("http://www.mediterraneopelle.com/","www.mediterraneopelle.com")</f>
        <v>www.mediterraneopelle.com</v>
      </c>
      <c r="J1554" s="10">
        <v>4194.82</v>
      </c>
      <c r="K1554" s="10">
        <v>4194.82</v>
      </c>
      <c r="L1554" s="10">
        <v>3656.2260000000001</v>
      </c>
      <c r="M1554" s="10">
        <v>46.427</v>
      </c>
      <c r="N1554" s="10">
        <v>46.427</v>
      </c>
      <c r="O1554" s="10">
        <v>22.53</v>
      </c>
      <c r="P1554" s="10">
        <v>13</v>
      </c>
      <c r="Q1554" s="10">
        <v>13</v>
      </c>
      <c r="R1554" s="10">
        <v>13</v>
      </c>
    </row>
    <row r="1555" spans="1:18" ht="29.5" customHeight="1" x14ac:dyDescent="0.15">
      <c r="A1555" s="11" t="s">
        <v>8256</v>
      </c>
      <c r="B1555" s="1" t="s">
        <v>8257</v>
      </c>
      <c r="C1555" s="11" t="s">
        <v>8258</v>
      </c>
      <c r="D1555" s="11" t="s">
        <v>8258</v>
      </c>
      <c r="E1555" s="11" t="s">
        <v>8259</v>
      </c>
      <c r="F1555" s="11" t="s">
        <v>8260</v>
      </c>
      <c r="G1555" s="11" t="s">
        <v>8261</v>
      </c>
      <c r="H1555" s="11" t="s">
        <v>8210</v>
      </c>
      <c r="I1555" s="11" t="str">
        <f>HYPERLINK("http://www.magisrl.it/","www.magisrl.it")</f>
        <v>www.magisrl.it</v>
      </c>
      <c r="J1555" s="12">
        <v>3224.4270000000001</v>
      </c>
      <c r="K1555" s="12">
        <v>3224.4270000000001</v>
      </c>
      <c r="L1555" s="13">
        <v>3643.2</v>
      </c>
      <c r="M1555" s="12">
        <v>47.822000000000003</v>
      </c>
      <c r="N1555" s="12">
        <v>47.822000000000003</v>
      </c>
      <c r="O1555" s="12">
        <v>146.191</v>
      </c>
      <c r="P1555" s="12">
        <v>8</v>
      </c>
      <c r="Q1555" s="12">
        <v>8</v>
      </c>
      <c r="R1555" s="12">
        <v>11</v>
      </c>
    </row>
    <row r="1556" spans="1:18" ht="17" customHeight="1" x14ac:dyDescent="0.15">
      <c r="A1556" s="8" t="s">
        <v>8262</v>
      </c>
      <c r="B1556" s="9" t="s">
        <v>8263</v>
      </c>
      <c r="C1556" s="8" t="s">
        <v>8264</v>
      </c>
      <c r="D1556" s="8" t="s">
        <v>8264</v>
      </c>
      <c r="E1556" s="8" t="s">
        <v>8265</v>
      </c>
      <c r="F1556" s="8" t="s">
        <v>8266</v>
      </c>
      <c r="G1556" s="8" t="s">
        <v>8267</v>
      </c>
      <c r="H1556" s="8" t="s">
        <v>8255</v>
      </c>
      <c r="I1556" s="8" t="str">
        <f>HYPERLINK("http://www.marimastyle.it/","www.marimastyle.it")</f>
        <v>www.marimastyle.it</v>
      </c>
      <c r="J1556" s="10">
        <v>4368.0919999999996</v>
      </c>
      <c r="K1556" s="10">
        <v>4368.0919999999996</v>
      </c>
      <c r="L1556" s="10">
        <v>3642.4110000000001</v>
      </c>
      <c r="M1556" s="10">
        <v>144.517</v>
      </c>
      <c r="N1556" s="10">
        <v>144.517</v>
      </c>
      <c r="O1556" s="10">
        <v>143.78200000000001</v>
      </c>
      <c r="P1556" s="10">
        <v>38</v>
      </c>
      <c r="Q1556" s="10">
        <v>38</v>
      </c>
      <c r="R1556" s="10">
        <v>34</v>
      </c>
    </row>
    <row r="1557" spans="1:18" ht="17" customHeight="1" x14ac:dyDescent="0.15">
      <c r="A1557" s="11" t="s">
        <v>8268</v>
      </c>
      <c r="B1557" s="1" t="s">
        <v>8269</v>
      </c>
      <c r="C1557" s="11" t="s">
        <v>8270</v>
      </c>
      <c r="D1557" s="11" t="s">
        <v>8270</v>
      </c>
      <c r="E1557" s="11" t="s">
        <v>8271</v>
      </c>
      <c r="F1557" s="11" t="s">
        <v>8266</v>
      </c>
      <c r="G1557" s="11" t="s">
        <v>8272</v>
      </c>
      <c r="H1557" s="11" t="s">
        <v>8216</v>
      </c>
      <c r="I1557" s="11" t="str">
        <f>HYPERLINK("http://www.redhill.it/","www.redhill.it")</f>
        <v>www.redhill.it</v>
      </c>
      <c r="J1557" s="12">
        <v>3312.491</v>
      </c>
      <c r="K1557" s="12">
        <v>3312.491</v>
      </c>
      <c r="L1557" s="13">
        <v>3640.4780000000001</v>
      </c>
      <c r="M1557" s="12">
        <v>1111.6849999999999</v>
      </c>
      <c r="N1557" s="12">
        <v>1111.6849999999999</v>
      </c>
      <c r="O1557" s="12">
        <v>867.71199999999999</v>
      </c>
      <c r="P1557" s="12">
        <v>15</v>
      </c>
      <c r="Q1557" s="12">
        <v>15</v>
      </c>
      <c r="R1557" s="12">
        <v>15</v>
      </c>
    </row>
    <row r="1558" spans="1:18" ht="29.5" customHeight="1" x14ac:dyDescent="0.15">
      <c r="A1558" s="8" t="s">
        <v>8273</v>
      </c>
      <c r="B1558" s="9" t="s">
        <v>8274</v>
      </c>
      <c r="C1558" s="8" t="s">
        <v>8275</v>
      </c>
      <c r="D1558" s="8" t="s">
        <v>8275</v>
      </c>
      <c r="E1558" s="8" t="s">
        <v>8276</v>
      </c>
      <c r="F1558" s="8" t="s">
        <v>8186</v>
      </c>
      <c r="G1558" s="8" t="s">
        <v>8200</v>
      </c>
      <c r="H1558" s="8" t="s">
        <v>8167</v>
      </c>
      <c r="I1558" s="8" t="str">
        <f>HYPERLINK("http://andreadelvecchio.com/","andreadelvecchio.com")</f>
        <v>andreadelvecchio.com</v>
      </c>
      <c r="J1558" s="10">
        <v>4177.5079999999998</v>
      </c>
      <c r="K1558" s="10">
        <v>4177.5079999999998</v>
      </c>
      <c r="L1558" s="10">
        <v>3637.6610000000001</v>
      </c>
      <c r="M1558" s="10">
        <v>549.02200000000005</v>
      </c>
      <c r="N1558" s="10">
        <v>549.02200000000005</v>
      </c>
      <c r="O1558" s="10">
        <v>164.51900000000001</v>
      </c>
      <c r="P1558" s="10">
        <v>26</v>
      </c>
      <c r="Q1558" s="10">
        <v>26</v>
      </c>
      <c r="R1558" s="10">
        <v>25</v>
      </c>
    </row>
    <row r="1559" spans="1:18" ht="17" customHeight="1" x14ac:dyDescent="0.15">
      <c r="A1559" s="11" t="s">
        <v>8277</v>
      </c>
      <c r="B1559" s="1" t="s">
        <v>8278</v>
      </c>
      <c r="C1559" s="11" t="s">
        <v>8279</v>
      </c>
      <c r="D1559" s="11" t="s">
        <v>8279</v>
      </c>
      <c r="E1559" s="11" t="s">
        <v>8280</v>
      </c>
      <c r="F1559" s="11" t="s">
        <v>8193</v>
      </c>
      <c r="G1559" s="11" t="s">
        <v>8281</v>
      </c>
      <c r="H1559" s="11" t="s">
        <v>8282</v>
      </c>
      <c r="I1559" s="11" t="str">
        <f>HYPERLINK("http://www.maatconfezioni.com/","www.maatconfezioni.com")</f>
        <v>www.maatconfezioni.com</v>
      </c>
      <c r="J1559" s="12">
        <v>3985.32</v>
      </c>
      <c r="K1559" s="12">
        <v>3985.32</v>
      </c>
      <c r="L1559" s="13">
        <v>3636.28</v>
      </c>
      <c r="M1559" s="12">
        <v>30.776</v>
      </c>
      <c r="N1559" s="12">
        <v>30.776</v>
      </c>
      <c r="O1559" s="12">
        <v>111.562</v>
      </c>
      <c r="P1559" s="12">
        <v>91</v>
      </c>
      <c r="Q1559" s="12">
        <v>91</v>
      </c>
      <c r="R1559" s="12">
        <v>83</v>
      </c>
    </row>
    <row r="1560" spans="1:18" ht="17" customHeight="1" x14ac:dyDescent="0.15">
      <c r="A1560" s="8" t="s">
        <v>8283</v>
      </c>
      <c r="B1560" s="9" t="s">
        <v>8284</v>
      </c>
      <c r="C1560" s="8" t="s">
        <v>8285</v>
      </c>
      <c r="D1560" s="8" t="s">
        <v>8285</v>
      </c>
      <c r="E1560" s="8" t="s">
        <v>8286</v>
      </c>
      <c r="F1560" s="8" t="s">
        <v>8193</v>
      </c>
      <c r="G1560" s="8" t="s">
        <v>8173</v>
      </c>
      <c r="H1560" s="8" t="s">
        <v>8174</v>
      </c>
      <c r="I1560" s="8" t="str">
        <f>HYPERLINK("http://www.rweitaly.com/","www.rweitaly.com")</f>
        <v>www.rweitaly.com</v>
      </c>
      <c r="J1560" s="10">
        <v>3338.2449999999999</v>
      </c>
      <c r="K1560" s="10">
        <v>3338.2449999999999</v>
      </c>
      <c r="L1560" s="10">
        <v>3635.5949999999998</v>
      </c>
      <c r="M1560" s="10">
        <v>-15.817</v>
      </c>
      <c r="N1560" s="10">
        <v>-15.817</v>
      </c>
      <c r="O1560" s="10">
        <v>31.047000000000001</v>
      </c>
      <c r="P1560" s="10">
        <v>23</v>
      </c>
      <c r="Q1560" s="10">
        <v>23</v>
      </c>
      <c r="R1560" s="10">
        <v>24</v>
      </c>
    </row>
    <row r="1561" spans="1:18" ht="17" customHeight="1" x14ac:dyDescent="0.15">
      <c r="A1561" s="11" t="s">
        <v>8287</v>
      </c>
      <c r="B1561" s="1" t="s">
        <v>8288</v>
      </c>
      <c r="C1561" s="11" t="s">
        <v>8289</v>
      </c>
      <c r="D1561" s="11" t="s">
        <v>8289</v>
      </c>
      <c r="E1561" s="11" t="s">
        <v>8290</v>
      </c>
      <c r="F1561" s="11" t="s">
        <v>8172</v>
      </c>
      <c r="G1561" s="11" t="s">
        <v>8249</v>
      </c>
      <c r="H1561" s="11" t="s">
        <v>8195</v>
      </c>
      <c r="I1561" s="11" t="str">
        <f>HYPERLINK("http://timiamib2b.com/","timiamib2b.com")</f>
        <v>timiamib2b.com</v>
      </c>
      <c r="J1561" s="12">
        <v>1770.123</v>
      </c>
      <c r="K1561" s="12">
        <v>1770.123</v>
      </c>
      <c r="L1561" s="13">
        <v>3635.192</v>
      </c>
      <c r="M1561" s="12">
        <v>-143.44900000000001</v>
      </c>
      <c r="N1561" s="12">
        <v>-143.44900000000001</v>
      </c>
      <c r="O1561" s="12">
        <v>34.926000000000002</v>
      </c>
      <c r="P1561" s="12">
        <v>6</v>
      </c>
      <c r="Q1561" s="12">
        <v>6</v>
      </c>
      <c r="R1561" s="12">
        <v>10</v>
      </c>
    </row>
    <row r="1562" spans="1:18" ht="17" customHeight="1" x14ac:dyDescent="0.15">
      <c r="A1562" s="8" t="s">
        <v>8291</v>
      </c>
      <c r="B1562" s="9" t="s">
        <v>8292</v>
      </c>
      <c r="C1562" s="8" t="s">
        <v>8293</v>
      </c>
      <c r="D1562" s="8" t="s">
        <v>8293</v>
      </c>
      <c r="E1562" s="8" t="s">
        <v>8294</v>
      </c>
      <c r="F1562" s="8" t="s">
        <v>8180</v>
      </c>
      <c r="G1562" s="8" t="s">
        <v>8272</v>
      </c>
      <c r="H1562" s="8" t="s">
        <v>8216</v>
      </c>
      <c r="I1562" s="8" t="str">
        <f>HYPERLINK("http://www.pareasons.it/","www.pareasons.it")</f>
        <v>www.pareasons.it</v>
      </c>
      <c r="J1562" s="10">
        <v>3128.2049999999999</v>
      </c>
      <c r="K1562" s="10">
        <v>3128.2049999999999</v>
      </c>
      <c r="L1562" s="10">
        <v>3626.3229999999999</v>
      </c>
      <c r="M1562" s="10">
        <v>667.96799999999996</v>
      </c>
      <c r="N1562" s="10">
        <v>667.96799999999996</v>
      </c>
      <c r="O1562" s="10">
        <v>787.20699999999999</v>
      </c>
      <c r="P1562" s="15" t="s">
        <v>8175</v>
      </c>
      <c r="Q1562" s="15" t="s">
        <v>8175</v>
      </c>
      <c r="R1562" s="10">
        <v>10</v>
      </c>
    </row>
    <row r="1563" spans="1:18" ht="94.25" customHeight="1" x14ac:dyDescent="0.15">
      <c r="A1563" s="11" t="s">
        <v>8295</v>
      </c>
      <c r="B1563" s="1" t="s">
        <v>8296</v>
      </c>
      <c r="C1563" s="11" t="s">
        <v>8297</v>
      </c>
      <c r="D1563" s="11" t="s">
        <v>8297</v>
      </c>
      <c r="E1563" s="11" t="s">
        <v>8298</v>
      </c>
      <c r="F1563" s="11" t="s">
        <v>8231</v>
      </c>
      <c r="G1563" s="11" t="s">
        <v>8299</v>
      </c>
      <c r="H1563" s="11" t="s">
        <v>8300</v>
      </c>
      <c r="I1563" s="11" t="str">
        <f>HYPERLINK("http://andralingerie.it/","andralingerie.it")</f>
        <v>andralingerie.it</v>
      </c>
      <c r="J1563" s="12">
        <v>2981.7159999999999</v>
      </c>
      <c r="K1563" s="12">
        <v>2981.7159999999999</v>
      </c>
      <c r="L1563" s="13">
        <v>3625.55</v>
      </c>
      <c r="M1563" s="12">
        <v>48.555999999999997</v>
      </c>
      <c r="N1563" s="12">
        <v>48.555999999999997</v>
      </c>
      <c r="O1563" s="12">
        <v>106.943</v>
      </c>
      <c r="P1563" s="12">
        <v>21</v>
      </c>
      <c r="Q1563" s="12">
        <v>21</v>
      </c>
      <c r="R1563" s="12">
        <v>23</v>
      </c>
    </row>
    <row r="1564" spans="1:18" ht="17" customHeight="1" x14ac:dyDescent="0.15">
      <c r="A1564" s="8" t="s">
        <v>8301</v>
      </c>
      <c r="B1564" s="9" t="s">
        <v>8302</v>
      </c>
      <c r="C1564" s="8" t="s">
        <v>8303</v>
      </c>
      <c r="D1564" s="8" t="s">
        <v>8303</v>
      </c>
      <c r="E1564" s="8" t="s">
        <v>8304</v>
      </c>
      <c r="F1564" s="8" t="s">
        <v>8186</v>
      </c>
      <c r="G1564" s="8" t="s">
        <v>8209</v>
      </c>
      <c r="H1564" s="8" t="s">
        <v>8210</v>
      </c>
      <c r="I1564" s="8" t="str">
        <f>HYPERLINK("http://www.schedoni.com/","www.schedoni.com")</f>
        <v>www.schedoni.com</v>
      </c>
      <c r="J1564" s="10">
        <v>5961.634</v>
      </c>
      <c r="K1564" s="10">
        <v>5961.634</v>
      </c>
      <c r="L1564" s="10">
        <v>3621.9349999999999</v>
      </c>
      <c r="M1564" s="10">
        <v>787.53800000000001</v>
      </c>
      <c r="N1564" s="10">
        <v>787.53800000000001</v>
      </c>
      <c r="O1564" s="10">
        <v>340.048</v>
      </c>
      <c r="P1564" s="10">
        <v>26</v>
      </c>
      <c r="Q1564" s="10">
        <v>26</v>
      </c>
      <c r="R1564" s="10">
        <v>26</v>
      </c>
    </row>
    <row r="1565" spans="1:18" ht="17" customHeight="1" x14ac:dyDescent="0.15">
      <c r="A1565" s="11" t="s">
        <v>8305</v>
      </c>
      <c r="B1565" s="1" t="s">
        <v>8306</v>
      </c>
      <c r="C1565" s="11" t="s">
        <v>8307</v>
      </c>
      <c r="D1565" s="11" t="s">
        <v>8307</v>
      </c>
      <c r="E1565" s="11" t="s">
        <v>8308</v>
      </c>
      <c r="F1565" s="11" t="s">
        <v>8172</v>
      </c>
      <c r="G1565" s="11" t="s">
        <v>8173</v>
      </c>
      <c r="H1565" s="11" t="s">
        <v>8174</v>
      </c>
      <c r="I1565" s="11" t="str">
        <f>HYPERLINK("http://www.miansrl.com/","www.miansrl.com")</f>
        <v>www.miansrl.com</v>
      </c>
      <c r="J1565" s="12">
        <v>4426.3159999999998</v>
      </c>
      <c r="K1565" s="12">
        <v>4426.3159999999998</v>
      </c>
      <c r="L1565" s="13">
        <v>3618.788</v>
      </c>
      <c r="M1565" s="12">
        <v>137.78700000000001</v>
      </c>
      <c r="N1565" s="12">
        <v>137.78700000000001</v>
      </c>
      <c r="O1565" s="12">
        <v>128.636</v>
      </c>
      <c r="P1565" s="14" t="s">
        <v>8175</v>
      </c>
      <c r="Q1565" s="14" t="s">
        <v>8175</v>
      </c>
      <c r="R1565" s="12">
        <v>11</v>
      </c>
    </row>
    <row r="1566" spans="1:18" ht="29.5" customHeight="1" x14ac:dyDescent="0.15">
      <c r="A1566" s="8" t="s">
        <v>8309</v>
      </c>
      <c r="B1566" s="9" t="s">
        <v>8310</v>
      </c>
      <c r="C1566" s="8" t="s">
        <v>8311</v>
      </c>
      <c r="D1566" s="8" t="s">
        <v>8311</v>
      </c>
      <c r="E1566" s="8" t="s">
        <v>8312</v>
      </c>
      <c r="F1566" s="8" t="s">
        <v>8225</v>
      </c>
      <c r="G1566" s="8" t="s">
        <v>8173</v>
      </c>
      <c r="H1566" s="8" t="s">
        <v>8174</v>
      </c>
      <c r="I1566" s="8" t="str">
        <f>HYPERLINK("http://www.artigianascarpe.com/","www.artigianascarpe.com")</f>
        <v>www.artigianascarpe.com</v>
      </c>
      <c r="J1566" s="10">
        <v>3323.444</v>
      </c>
      <c r="K1566" s="10">
        <v>3323.444</v>
      </c>
      <c r="L1566" s="10">
        <v>3613.7220000000002</v>
      </c>
      <c r="M1566" s="10">
        <v>-621.06899999999996</v>
      </c>
      <c r="N1566" s="10">
        <v>-621.06899999999996</v>
      </c>
      <c r="O1566" s="10">
        <v>25.010999999999999</v>
      </c>
      <c r="P1566" s="10">
        <v>21</v>
      </c>
      <c r="Q1566" s="10">
        <v>21</v>
      </c>
      <c r="R1566" s="10">
        <v>21</v>
      </c>
    </row>
    <row r="1567" spans="1:18" ht="17" customHeight="1" x14ac:dyDescent="0.15">
      <c r="A1567" s="11" t="s">
        <v>8313</v>
      </c>
      <c r="B1567" s="1" t="s">
        <v>8314</v>
      </c>
      <c r="C1567" s="11" t="s">
        <v>8315</v>
      </c>
      <c r="D1567" s="11" t="s">
        <v>8315</v>
      </c>
      <c r="E1567" s="11" t="s">
        <v>8316</v>
      </c>
      <c r="F1567" s="11" t="s">
        <v>8193</v>
      </c>
      <c r="G1567" s="11" t="s">
        <v>8317</v>
      </c>
      <c r="H1567" s="11" t="s">
        <v>8318</v>
      </c>
      <c r="I1567" s="11" t="str">
        <f>HYPERLINK("http://www.3ffashionservice.it/","www.3ffashionservice.it")</f>
        <v>www.3ffashionservice.it</v>
      </c>
      <c r="J1567" s="12">
        <v>3961.761</v>
      </c>
      <c r="K1567" s="12">
        <v>3961.761</v>
      </c>
      <c r="L1567" s="13">
        <v>3612.3490000000002</v>
      </c>
      <c r="M1567" s="12">
        <v>59.002000000000002</v>
      </c>
      <c r="N1567" s="12">
        <v>59.002000000000002</v>
      </c>
      <c r="O1567" s="12">
        <v>106.111</v>
      </c>
      <c r="P1567" s="12">
        <v>13</v>
      </c>
      <c r="Q1567" s="12">
        <v>13</v>
      </c>
      <c r="R1567" s="12">
        <v>12</v>
      </c>
    </row>
    <row r="1568" spans="1:18" ht="29.5" customHeight="1" x14ac:dyDescent="0.15">
      <c r="A1568" s="8" t="s">
        <v>8319</v>
      </c>
      <c r="B1568" s="9" t="s">
        <v>8320</v>
      </c>
      <c r="C1568" s="8" t="s">
        <v>8321</v>
      </c>
      <c r="D1568" s="8" t="s">
        <v>8321</v>
      </c>
      <c r="E1568" s="8" t="s">
        <v>8322</v>
      </c>
      <c r="F1568" s="8" t="s">
        <v>8172</v>
      </c>
      <c r="G1568" s="8" t="s">
        <v>8209</v>
      </c>
      <c r="H1568" s="8" t="s">
        <v>8210</v>
      </c>
      <c r="I1568" s="8" t="str">
        <f>HYPERLINK("http://shop.maskott.it/","shop.maskott.it")</f>
        <v>shop.maskott.it</v>
      </c>
      <c r="J1568" s="10">
        <v>3007.01</v>
      </c>
      <c r="K1568" s="10">
        <v>4464.0739999999996</v>
      </c>
      <c r="L1568" s="10">
        <v>3605.058</v>
      </c>
      <c r="M1568" s="10">
        <v>30.821000000000002</v>
      </c>
      <c r="N1568" s="10">
        <v>72.887</v>
      </c>
      <c r="O1568" s="10">
        <v>78.191000000000003</v>
      </c>
      <c r="P1568" s="10">
        <v>4</v>
      </c>
      <c r="Q1568" s="10">
        <v>7</v>
      </c>
      <c r="R1568" s="10">
        <v>6</v>
      </c>
    </row>
    <row r="1569" spans="1:18" ht="17" customHeight="1" x14ac:dyDescent="0.15">
      <c r="A1569" s="11" t="s">
        <v>8323</v>
      </c>
      <c r="B1569" s="1" t="s">
        <v>8324</v>
      </c>
      <c r="C1569" s="11" t="s">
        <v>8325</v>
      </c>
      <c r="D1569" s="11" t="s">
        <v>8325</v>
      </c>
      <c r="E1569" s="11" t="s">
        <v>8326</v>
      </c>
      <c r="F1569" s="11" t="s">
        <v>8327</v>
      </c>
      <c r="G1569" s="11" t="s">
        <v>8328</v>
      </c>
      <c r="H1569" s="11" t="s">
        <v>8329</v>
      </c>
      <c r="I1569" s="11" t="str">
        <f>HYPERLINK("http://www.mgk.it/","www.mgk.it")</f>
        <v>www.mgk.it</v>
      </c>
      <c r="J1569" s="12">
        <v>5374.3410000000003</v>
      </c>
      <c r="K1569" s="12">
        <v>5374.3410000000003</v>
      </c>
      <c r="L1569" s="13">
        <v>3602.7890000000002</v>
      </c>
      <c r="M1569" s="12">
        <v>35.505000000000003</v>
      </c>
      <c r="N1569" s="12">
        <v>35.505000000000003</v>
      </c>
      <c r="O1569" s="12">
        <v>19.338999999999999</v>
      </c>
      <c r="P1569" s="12">
        <v>6</v>
      </c>
      <c r="Q1569" s="12">
        <v>6</v>
      </c>
      <c r="R1569" s="12">
        <v>6</v>
      </c>
    </row>
    <row r="1570" spans="1:18" ht="17" customHeight="1" x14ac:dyDescent="0.15">
      <c r="A1570" s="8" t="s">
        <v>8330</v>
      </c>
      <c r="B1570" s="9" t="s">
        <v>8331</v>
      </c>
      <c r="C1570" s="8" t="s">
        <v>8332</v>
      </c>
      <c r="D1570" s="8" t="s">
        <v>8332</v>
      </c>
      <c r="E1570" s="8" t="s">
        <v>8333</v>
      </c>
      <c r="F1570" s="8" t="s">
        <v>8334</v>
      </c>
      <c r="G1570" s="8" t="s">
        <v>8335</v>
      </c>
      <c r="H1570" s="8" t="s">
        <v>8336</v>
      </c>
      <c r="I1570" s="8" t="str">
        <f>HYPERLINK("http://www.richmansrl.com/","www.richmansrl.com")</f>
        <v>www.richmansrl.com</v>
      </c>
      <c r="J1570" s="10">
        <v>3601.2809999999999</v>
      </c>
      <c r="K1570" s="15" t="s">
        <v>8337</v>
      </c>
      <c r="L1570" s="10">
        <v>3601.2809999999999</v>
      </c>
      <c r="M1570" s="10">
        <v>-360.29700000000003</v>
      </c>
      <c r="N1570" s="15" t="s">
        <v>8337</v>
      </c>
      <c r="O1570" s="10">
        <v>-360.29700000000003</v>
      </c>
      <c r="P1570" s="10">
        <v>6</v>
      </c>
      <c r="Q1570" s="15" t="s">
        <v>8337</v>
      </c>
      <c r="R1570" s="10">
        <v>6</v>
      </c>
    </row>
    <row r="1571" spans="1:18" ht="17" customHeight="1" x14ac:dyDescent="0.15">
      <c r="A1571" s="11" t="s">
        <v>8338</v>
      </c>
      <c r="B1571" s="1" t="s">
        <v>8339</v>
      </c>
      <c r="C1571" s="11" t="s">
        <v>8340</v>
      </c>
      <c r="D1571" s="11" t="s">
        <v>8340</v>
      </c>
      <c r="E1571" s="11" t="s">
        <v>8341</v>
      </c>
      <c r="F1571" s="11" t="s">
        <v>8342</v>
      </c>
      <c r="G1571" s="11" t="s">
        <v>8343</v>
      </c>
      <c r="H1571" s="11" t="s">
        <v>8344</v>
      </c>
      <c r="I1571" s="11" t="str">
        <f>HYPERLINK("http://www.lfgroup.it/","www.lfgroup.it")</f>
        <v>www.lfgroup.it</v>
      </c>
      <c r="J1571" s="12">
        <v>4299.4830000000002</v>
      </c>
      <c r="K1571" s="12">
        <v>4299.4830000000002</v>
      </c>
      <c r="L1571" s="13">
        <v>3598.1149999999998</v>
      </c>
      <c r="M1571" s="12">
        <v>30.344999999999999</v>
      </c>
      <c r="N1571" s="12">
        <v>30.344999999999999</v>
      </c>
      <c r="O1571" s="12">
        <v>39.354999999999997</v>
      </c>
      <c r="P1571" s="12">
        <v>31</v>
      </c>
      <c r="Q1571" s="12">
        <v>31</v>
      </c>
      <c r="R1571" s="12">
        <v>27</v>
      </c>
    </row>
    <row r="1572" spans="1:18" ht="29.5" customHeight="1" x14ac:dyDescent="0.15">
      <c r="A1572" s="8" t="s">
        <v>8345</v>
      </c>
      <c r="B1572" s="9" t="s">
        <v>8346</v>
      </c>
      <c r="C1572" s="8" t="s">
        <v>8347</v>
      </c>
      <c r="D1572" s="8" t="s">
        <v>8347</v>
      </c>
      <c r="E1572" s="8" t="s">
        <v>8348</v>
      </c>
      <c r="F1572" s="8" t="s">
        <v>8349</v>
      </c>
      <c r="G1572" s="8" t="s">
        <v>8350</v>
      </c>
      <c r="H1572" s="8" t="s">
        <v>8351</v>
      </c>
      <c r="I1572" s="8" t="str">
        <f>HYPERLINK("http://www.lapetitemaison.shoes/","www.lapetitemaison.shoes")</f>
        <v>www.lapetitemaison.shoes</v>
      </c>
      <c r="J1572" s="10">
        <v>4201.0309999999999</v>
      </c>
      <c r="K1572" s="10">
        <v>4201.0309999999999</v>
      </c>
      <c r="L1572" s="10">
        <v>3597.3919999999998</v>
      </c>
      <c r="M1572" s="10">
        <v>20.855</v>
      </c>
      <c r="N1572" s="10">
        <v>20.855</v>
      </c>
      <c r="O1572" s="10">
        <v>56.073</v>
      </c>
      <c r="P1572" s="10">
        <v>27</v>
      </c>
      <c r="Q1572" s="10">
        <v>27</v>
      </c>
      <c r="R1572" s="10">
        <v>24</v>
      </c>
    </row>
    <row r="1573" spans="1:18" ht="17" customHeight="1" x14ac:dyDescent="0.15">
      <c r="A1573" s="11" t="s">
        <v>8352</v>
      </c>
      <c r="B1573" s="1" t="s">
        <v>8353</v>
      </c>
      <c r="C1573" s="11" t="s">
        <v>8354</v>
      </c>
      <c r="D1573" s="11" t="s">
        <v>8354</v>
      </c>
      <c r="E1573" s="11" t="s">
        <v>8355</v>
      </c>
      <c r="F1573" s="11" t="s">
        <v>8334</v>
      </c>
      <c r="G1573" s="11" t="s">
        <v>8356</v>
      </c>
      <c r="H1573" s="11" t="s">
        <v>8344</v>
      </c>
      <c r="I1573" s="11" t="str">
        <f>HYPERLINK("http://www.ceamaglierie.it/","www.ceamaglierie.it")</f>
        <v>www.ceamaglierie.it</v>
      </c>
      <c r="J1573" s="12">
        <v>4085.6909999999998</v>
      </c>
      <c r="K1573" s="12">
        <v>4085.6909999999998</v>
      </c>
      <c r="L1573" s="13">
        <v>3596.7249999999999</v>
      </c>
      <c r="M1573" s="12">
        <v>175.87299999999999</v>
      </c>
      <c r="N1573" s="12">
        <v>175.87299999999999</v>
      </c>
      <c r="O1573" s="12">
        <v>122.64</v>
      </c>
      <c r="P1573" s="12">
        <v>5</v>
      </c>
      <c r="Q1573" s="12">
        <v>5</v>
      </c>
      <c r="R1573" s="12">
        <v>5</v>
      </c>
    </row>
    <row r="1574" spans="1:18" ht="17" customHeight="1" x14ac:dyDescent="0.15">
      <c r="A1574" s="8" t="s">
        <v>8357</v>
      </c>
      <c r="B1574" s="9" t="s">
        <v>8358</v>
      </c>
      <c r="C1574" s="8" t="s">
        <v>8359</v>
      </c>
      <c r="D1574" s="8" t="s">
        <v>8359</v>
      </c>
      <c r="E1574" s="8" t="s">
        <v>8360</v>
      </c>
      <c r="F1574" s="8" t="s">
        <v>8327</v>
      </c>
      <c r="G1574" s="8" t="s">
        <v>8361</v>
      </c>
      <c r="H1574" s="8" t="s">
        <v>8344</v>
      </c>
      <c r="I1574" s="8" t="str">
        <f>HYPERLINK("http://www.spaldingbros.com/","www.spaldingbros.com")</f>
        <v>www.spaldingbros.com</v>
      </c>
      <c r="J1574" s="10">
        <v>3744.2249999999999</v>
      </c>
      <c r="K1574" s="10">
        <v>3744.2249999999999</v>
      </c>
      <c r="L1574" s="10">
        <v>3589.6619999999998</v>
      </c>
      <c r="M1574" s="10">
        <v>10.137</v>
      </c>
      <c r="N1574" s="10">
        <v>10.137</v>
      </c>
      <c r="O1574" s="10">
        <v>18.158000000000001</v>
      </c>
      <c r="P1574" s="10">
        <v>7</v>
      </c>
      <c r="Q1574" s="10">
        <v>7</v>
      </c>
      <c r="R1574" s="10">
        <v>7</v>
      </c>
    </row>
    <row r="1575" spans="1:18" ht="17" customHeight="1" x14ac:dyDescent="0.15">
      <c r="A1575" s="11" t="s">
        <v>8362</v>
      </c>
      <c r="B1575" s="1" t="s">
        <v>8363</v>
      </c>
      <c r="C1575" s="11" t="s">
        <v>8364</v>
      </c>
      <c r="D1575" s="11" t="s">
        <v>8364</v>
      </c>
      <c r="E1575" s="11" t="s">
        <v>8365</v>
      </c>
      <c r="F1575" s="11" t="s">
        <v>8366</v>
      </c>
      <c r="G1575" s="11" t="s">
        <v>8367</v>
      </c>
      <c r="H1575" s="11" t="s">
        <v>8351</v>
      </c>
      <c r="I1575" s="11" t="str">
        <f>HYPERLINK("http://www.tesihats.com/","www.tesihats.com")</f>
        <v>www.tesihats.com</v>
      </c>
      <c r="J1575" s="12">
        <v>2485.9059999999999</v>
      </c>
      <c r="K1575" s="12">
        <v>2485.9059999999999</v>
      </c>
      <c r="L1575" s="13">
        <v>3581.0970000000002</v>
      </c>
      <c r="M1575" s="12">
        <v>-106.967</v>
      </c>
      <c r="N1575" s="12">
        <v>-106.967</v>
      </c>
      <c r="O1575" s="12">
        <v>476.97800000000001</v>
      </c>
      <c r="P1575" s="14" t="s">
        <v>8337</v>
      </c>
      <c r="Q1575" s="14" t="s">
        <v>8337</v>
      </c>
      <c r="R1575" s="12">
        <v>17</v>
      </c>
    </row>
    <row r="1576" spans="1:18" ht="17" customHeight="1" x14ac:dyDescent="0.15">
      <c r="A1576" s="8" t="s">
        <v>8368</v>
      </c>
      <c r="B1576" s="9" t="s">
        <v>8369</v>
      </c>
      <c r="C1576" s="8" t="s">
        <v>8370</v>
      </c>
      <c r="D1576" s="8" t="s">
        <v>8370</v>
      </c>
      <c r="E1576" s="8" t="s">
        <v>8371</v>
      </c>
      <c r="F1576" s="8" t="s">
        <v>8366</v>
      </c>
      <c r="G1576" s="8" t="s">
        <v>8356</v>
      </c>
      <c r="H1576" s="8" t="s">
        <v>8344</v>
      </c>
      <c r="I1576" s="8" t="str">
        <f>HYPERLINK("http://arovescio.com/","arovescio.com")</f>
        <v>arovescio.com</v>
      </c>
      <c r="J1576" s="10">
        <v>5295.259</v>
      </c>
      <c r="K1576" s="10">
        <v>5295.259</v>
      </c>
      <c r="L1576" s="10">
        <v>3569.3809999999999</v>
      </c>
      <c r="M1576" s="10">
        <v>250.23400000000001</v>
      </c>
      <c r="N1576" s="10">
        <v>250.23400000000001</v>
      </c>
      <c r="O1576" s="10">
        <v>163.37700000000001</v>
      </c>
      <c r="P1576" s="10">
        <v>5</v>
      </c>
      <c r="Q1576" s="10">
        <v>5</v>
      </c>
      <c r="R1576" s="10">
        <v>5</v>
      </c>
    </row>
    <row r="1577" spans="1:18" ht="17" customHeight="1" x14ac:dyDescent="0.15">
      <c r="A1577" s="11" t="s">
        <v>8372</v>
      </c>
      <c r="B1577" s="1" t="s">
        <v>8373</v>
      </c>
      <c r="C1577" s="11" t="s">
        <v>8374</v>
      </c>
      <c r="D1577" s="11" t="s">
        <v>8374</v>
      </c>
      <c r="E1577" s="11" t="s">
        <v>8375</v>
      </c>
      <c r="F1577" s="11" t="s">
        <v>8349</v>
      </c>
      <c r="G1577" s="11" t="s">
        <v>8376</v>
      </c>
      <c r="H1577" s="11" t="s">
        <v>8377</v>
      </c>
      <c r="I1577" s="11" t="str">
        <f>HYPERLINK("http://www.guglielmorotta.it/","www.guglielmorotta.it")</f>
        <v>www.guglielmorotta.it</v>
      </c>
      <c r="J1577" s="12">
        <v>3991.4180000000001</v>
      </c>
      <c r="K1577" s="12">
        <v>3905.1030000000001</v>
      </c>
      <c r="L1577" s="13">
        <v>3567.3629999999998</v>
      </c>
      <c r="M1577" s="12">
        <v>274.50900000000001</v>
      </c>
      <c r="N1577" s="12">
        <v>179.179</v>
      </c>
      <c r="O1577" s="12">
        <v>51.402000000000001</v>
      </c>
      <c r="P1577" s="12">
        <v>33</v>
      </c>
      <c r="Q1577" s="12">
        <v>29</v>
      </c>
      <c r="R1577" s="12">
        <v>28</v>
      </c>
    </row>
    <row r="1578" spans="1:18" ht="17" customHeight="1" x14ac:dyDescent="0.15">
      <c r="A1578" s="8" t="s">
        <v>8378</v>
      </c>
      <c r="B1578" s="9" t="s">
        <v>8379</v>
      </c>
      <c r="C1578" s="8" t="s">
        <v>8380</v>
      </c>
      <c r="D1578" s="8" t="s">
        <v>8380</v>
      </c>
      <c r="E1578" s="8" t="s">
        <v>8381</v>
      </c>
      <c r="F1578" s="8" t="s">
        <v>8382</v>
      </c>
      <c r="G1578" s="8" t="s">
        <v>8367</v>
      </c>
      <c r="H1578" s="8" t="s">
        <v>8351</v>
      </c>
      <c r="I1578" s="8" t="str">
        <f>HYPERLINK("http://www.coccode.com/","www.coccode.com")</f>
        <v>www.coccode.com</v>
      </c>
      <c r="J1578" s="10">
        <v>3683.4549999999999</v>
      </c>
      <c r="K1578" s="10">
        <v>3683.4549999999999</v>
      </c>
      <c r="L1578" s="10">
        <v>3567.15</v>
      </c>
      <c r="M1578" s="10">
        <v>0.90500000000000003</v>
      </c>
      <c r="N1578" s="10">
        <v>0.90500000000000003</v>
      </c>
      <c r="O1578" s="10">
        <v>6.9630000000000001</v>
      </c>
      <c r="P1578" s="10">
        <v>11</v>
      </c>
      <c r="Q1578" s="10">
        <v>11</v>
      </c>
      <c r="R1578" s="10">
        <v>10</v>
      </c>
    </row>
    <row r="1579" spans="1:18" ht="17" customHeight="1" x14ac:dyDescent="0.15">
      <c r="A1579" s="11" t="s">
        <v>8383</v>
      </c>
      <c r="B1579" s="1" t="s">
        <v>8384</v>
      </c>
      <c r="C1579" s="11" t="s">
        <v>8385</v>
      </c>
      <c r="D1579" s="11" t="s">
        <v>8385</v>
      </c>
      <c r="E1579" s="11" t="s">
        <v>8386</v>
      </c>
      <c r="F1579" s="11" t="s">
        <v>8349</v>
      </c>
      <c r="G1579" s="11" t="s">
        <v>8387</v>
      </c>
      <c r="H1579" s="11" t="s">
        <v>8388</v>
      </c>
      <c r="I1579" s="11" t="str">
        <f>HYPERLINK("http://www.mot-cle.it/","www.mot-cle.it")</f>
        <v>www.mot-cle.it</v>
      </c>
      <c r="J1579" s="12">
        <v>3742.3629999999998</v>
      </c>
      <c r="K1579" s="12">
        <v>3742.3629999999998</v>
      </c>
      <c r="L1579" s="13">
        <v>3565.8530000000001</v>
      </c>
      <c r="M1579" s="12">
        <v>54.713000000000001</v>
      </c>
      <c r="N1579" s="12">
        <v>54.713000000000001</v>
      </c>
      <c r="O1579" s="12">
        <v>0.92600000000000005</v>
      </c>
      <c r="P1579" s="12">
        <v>21</v>
      </c>
      <c r="Q1579" s="12">
        <v>21</v>
      </c>
      <c r="R1579" s="12">
        <v>25</v>
      </c>
    </row>
    <row r="1580" spans="1:18" ht="17" customHeight="1" x14ac:dyDescent="0.15">
      <c r="A1580" s="8" t="s">
        <v>8389</v>
      </c>
      <c r="B1580" s="9" t="s">
        <v>8390</v>
      </c>
      <c r="C1580" s="8" t="s">
        <v>8391</v>
      </c>
      <c r="D1580" s="8" t="s">
        <v>8391</v>
      </c>
      <c r="E1580" s="8" t="s">
        <v>8392</v>
      </c>
      <c r="F1580" s="8" t="s">
        <v>8334</v>
      </c>
      <c r="G1580" s="8" t="s">
        <v>8367</v>
      </c>
      <c r="H1580" s="8" t="s">
        <v>8351</v>
      </c>
      <c r="I1580" s="8" t="str">
        <f>HYPERLINK("http://brunomanetti.it/","brunomanetti.it")</f>
        <v>brunomanetti.it</v>
      </c>
      <c r="J1580" s="10">
        <v>4487.6469999999999</v>
      </c>
      <c r="K1580" s="10">
        <v>4487.6469999999999</v>
      </c>
      <c r="L1580" s="10">
        <v>3565.3519999999999</v>
      </c>
      <c r="M1580" s="10">
        <v>60.459000000000003</v>
      </c>
      <c r="N1580" s="10">
        <v>60.459000000000003</v>
      </c>
      <c r="O1580" s="10">
        <v>66.069999999999993</v>
      </c>
      <c r="P1580" s="10">
        <v>23</v>
      </c>
      <c r="Q1580" s="10">
        <v>23</v>
      </c>
      <c r="R1580" s="10">
        <v>22</v>
      </c>
    </row>
    <row r="1581" spans="1:18" ht="29.5" customHeight="1" x14ac:dyDescent="0.15">
      <c r="A1581" s="11" t="s">
        <v>8393</v>
      </c>
      <c r="B1581" s="1" t="s">
        <v>8394</v>
      </c>
      <c r="C1581" s="11" t="s">
        <v>8395</v>
      </c>
      <c r="D1581" s="11" t="s">
        <v>8395</v>
      </c>
      <c r="E1581" s="11" t="s">
        <v>8396</v>
      </c>
      <c r="F1581" s="11" t="s">
        <v>8342</v>
      </c>
      <c r="G1581" s="11" t="s">
        <v>8397</v>
      </c>
      <c r="H1581" s="11" t="s">
        <v>8398</v>
      </c>
      <c r="I1581" s="11" t="str">
        <f>HYPERLINK("http://www.altamanifatturasaldi.it/","www.altamanifatturasaldi.it")</f>
        <v>www.altamanifatturasaldi.it</v>
      </c>
      <c r="J1581" s="12">
        <v>3957.97</v>
      </c>
      <c r="K1581" s="12">
        <v>3957.97</v>
      </c>
      <c r="L1581" s="13">
        <v>3563.9580000000001</v>
      </c>
      <c r="M1581" s="12">
        <v>11.872</v>
      </c>
      <c r="N1581" s="12">
        <v>11.872</v>
      </c>
      <c r="O1581" s="12">
        <v>8.3780000000000001</v>
      </c>
      <c r="P1581" s="12">
        <v>84</v>
      </c>
      <c r="Q1581" s="12">
        <v>84</v>
      </c>
      <c r="R1581" s="12">
        <v>48</v>
      </c>
    </row>
    <row r="1582" spans="1:18" ht="29.5" customHeight="1" x14ac:dyDescent="0.15">
      <c r="A1582" s="8" t="s">
        <v>8399</v>
      </c>
      <c r="B1582" s="9" t="s">
        <v>8400</v>
      </c>
      <c r="C1582" s="8" t="s">
        <v>8401</v>
      </c>
      <c r="D1582" s="8" t="s">
        <v>8401</v>
      </c>
      <c r="E1582" s="8" t="s">
        <v>8402</v>
      </c>
      <c r="F1582" s="8" t="s">
        <v>8403</v>
      </c>
      <c r="G1582" s="8" t="s">
        <v>8404</v>
      </c>
      <c r="H1582" s="8" t="s">
        <v>8388</v>
      </c>
      <c r="I1582" s="8" t="str">
        <f>HYPERLINK("http://www.accoppiaturariccardo.it/","www.accoppiaturariccardo.it")</f>
        <v>www.accoppiaturariccardo.it</v>
      </c>
      <c r="J1582" s="10">
        <v>3521.4630000000002</v>
      </c>
      <c r="K1582" s="10">
        <v>3521.4630000000002</v>
      </c>
      <c r="L1582" s="10">
        <v>3563.67</v>
      </c>
      <c r="M1582" s="10">
        <v>60.23</v>
      </c>
      <c r="N1582" s="10">
        <v>60.23</v>
      </c>
      <c r="O1582" s="10">
        <v>67.119</v>
      </c>
      <c r="P1582" s="10">
        <v>15</v>
      </c>
      <c r="Q1582" s="10">
        <v>15</v>
      </c>
      <c r="R1582" s="10">
        <v>15</v>
      </c>
    </row>
    <row r="1583" spans="1:18" ht="17" customHeight="1" x14ac:dyDescent="0.15">
      <c r="A1583" s="11" t="s">
        <v>8405</v>
      </c>
      <c r="B1583" s="1" t="s">
        <v>8406</v>
      </c>
      <c r="C1583" s="11" t="s">
        <v>8407</v>
      </c>
      <c r="D1583" s="11" t="s">
        <v>8407</v>
      </c>
      <c r="E1583" s="11" t="s">
        <v>8408</v>
      </c>
      <c r="F1583" s="11" t="s">
        <v>8409</v>
      </c>
      <c r="G1583" s="11" t="s">
        <v>8350</v>
      </c>
      <c r="H1583" s="11" t="s">
        <v>8351</v>
      </c>
      <c r="I1583" s="11" t="str">
        <f>HYPERLINK("http://www.benericettipolska.com/","www.benericettipolska.com")</f>
        <v>www.benericettipolska.com</v>
      </c>
      <c r="J1583" s="12">
        <v>2920.116</v>
      </c>
      <c r="K1583" s="12">
        <v>2920.116</v>
      </c>
      <c r="L1583" s="13">
        <v>3560.2179999999998</v>
      </c>
      <c r="M1583" s="12">
        <v>26.335000000000001</v>
      </c>
      <c r="N1583" s="12">
        <v>26.335000000000001</v>
      </c>
      <c r="O1583" s="12">
        <v>28.42</v>
      </c>
      <c r="P1583" s="14" t="s">
        <v>8337</v>
      </c>
      <c r="Q1583" s="14" t="s">
        <v>8337</v>
      </c>
      <c r="R1583" s="12">
        <v>5</v>
      </c>
    </row>
    <row r="1584" spans="1:18" ht="17" customHeight="1" x14ac:dyDescent="0.15">
      <c r="A1584" s="8" t="s">
        <v>8410</v>
      </c>
      <c r="B1584" s="9" t="s">
        <v>8411</v>
      </c>
      <c r="C1584" s="8" t="s">
        <v>8412</v>
      </c>
      <c r="D1584" s="8" t="s">
        <v>8412</v>
      </c>
      <c r="E1584" s="8" t="s">
        <v>8413</v>
      </c>
      <c r="F1584" s="8" t="s">
        <v>8334</v>
      </c>
      <c r="G1584" s="8" t="s">
        <v>8367</v>
      </c>
      <c r="H1584" s="8" t="s">
        <v>8351</v>
      </c>
      <c r="I1584" s="8" t="str">
        <f>HYPERLINK("http://www.maglificioessepi.com/","www.maglificioessepi.com")</f>
        <v>www.maglificioessepi.com</v>
      </c>
      <c r="J1584" s="10">
        <v>3420.6190000000001</v>
      </c>
      <c r="K1584" s="10">
        <v>3420.6190000000001</v>
      </c>
      <c r="L1584" s="10">
        <v>3557.08</v>
      </c>
      <c r="M1584" s="10">
        <v>154.75899999999999</v>
      </c>
      <c r="N1584" s="10">
        <v>154.75899999999999</v>
      </c>
      <c r="O1584" s="10">
        <v>111.361</v>
      </c>
      <c r="P1584" s="10">
        <v>10</v>
      </c>
      <c r="Q1584" s="10">
        <v>10</v>
      </c>
      <c r="R1584" s="10">
        <v>9</v>
      </c>
    </row>
    <row r="1585" spans="1:18" ht="17" customHeight="1" x14ac:dyDescent="0.15">
      <c r="A1585" s="11" t="s">
        <v>8414</v>
      </c>
      <c r="B1585" s="1" t="s">
        <v>8415</v>
      </c>
      <c r="C1585" s="11" t="s">
        <v>8416</v>
      </c>
      <c r="D1585" s="11" t="s">
        <v>8416</v>
      </c>
      <c r="E1585" s="11" t="s">
        <v>8417</v>
      </c>
      <c r="F1585" s="11" t="s">
        <v>8418</v>
      </c>
      <c r="G1585" s="11" t="s">
        <v>8419</v>
      </c>
      <c r="H1585" s="11" t="s">
        <v>8420</v>
      </c>
      <c r="I1585" s="11" t="str">
        <f>HYPERLINK("http://www.gruppomarica.it/","www.gruppomarica.it")</f>
        <v>www.gruppomarica.it</v>
      </c>
      <c r="J1585" s="12">
        <v>3444.0160000000001</v>
      </c>
      <c r="K1585" s="12">
        <v>3444.0160000000001</v>
      </c>
      <c r="L1585" s="13">
        <v>3556.0410000000002</v>
      </c>
      <c r="M1585" s="12">
        <v>31.491</v>
      </c>
      <c r="N1585" s="12">
        <v>31.491</v>
      </c>
      <c r="O1585" s="12">
        <v>128.93100000000001</v>
      </c>
      <c r="P1585" s="14" t="s">
        <v>8337</v>
      </c>
      <c r="Q1585" s="14" t="s">
        <v>8337</v>
      </c>
      <c r="R1585" s="12">
        <v>11</v>
      </c>
    </row>
    <row r="1586" spans="1:18" ht="17" customHeight="1" x14ac:dyDescent="0.15">
      <c r="A1586" s="8" t="s">
        <v>8421</v>
      </c>
      <c r="B1586" s="9" t="s">
        <v>8422</v>
      </c>
      <c r="C1586" s="8" t="s">
        <v>8423</v>
      </c>
      <c r="D1586" s="8" t="s">
        <v>8423</v>
      </c>
      <c r="E1586" s="8" t="s">
        <v>8424</v>
      </c>
      <c r="F1586" s="8" t="s">
        <v>8342</v>
      </c>
      <c r="G1586" s="8" t="s">
        <v>8425</v>
      </c>
      <c r="H1586" s="8" t="s">
        <v>8426</v>
      </c>
      <c r="I1586" s="8" t="str">
        <f>HYPERLINK("http://www.andreaversali.it/","www.andreaversali.it")</f>
        <v>www.andreaversali.it</v>
      </c>
      <c r="J1586" s="10">
        <v>4604.6040000000003</v>
      </c>
      <c r="K1586" s="10">
        <v>4604.6040000000003</v>
      </c>
      <c r="L1586" s="10">
        <v>3546.1260000000002</v>
      </c>
      <c r="M1586" s="10">
        <v>227.31399999999999</v>
      </c>
      <c r="N1586" s="10">
        <v>227.31399999999999</v>
      </c>
      <c r="O1586" s="10">
        <v>53.231000000000002</v>
      </c>
      <c r="P1586" s="10">
        <v>18</v>
      </c>
      <c r="Q1586" s="10">
        <v>18</v>
      </c>
      <c r="R1586" s="10">
        <v>15</v>
      </c>
    </row>
    <row r="1587" spans="1:18" ht="17" customHeight="1" x14ac:dyDescent="0.15">
      <c r="A1587" s="11" t="s">
        <v>8427</v>
      </c>
      <c r="B1587" s="1" t="s">
        <v>8428</v>
      </c>
      <c r="C1587" s="11" t="s">
        <v>8429</v>
      </c>
      <c r="D1587" s="11" t="s">
        <v>8429</v>
      </c>
      <c r="E1587" s="11" t="s">
        <v>8430</v>
      </c>
      <c r="F1587" s="11" t="s">
        <v>8409</v>
      </c>
      <c r="G1587" s="11" t="s">
        <v>8376</v>
      </c>
      <c r="H1587" s="11" t="s">
        <v>8377</v>
      </c>
      <c r="I1587" s="11" t="str">
        <f>HYPERLINK("http://www.greenleather.it/","www.greenleather.it")</f>
        <v>www.greenleather.it</v>
      </c>
      <c r="J1587" s="12">
        <v>3749.3609999999999</v>
      </c>
      <c r="K1587" s="12">
        <v>3749.3609999999999</v>
      </c>
      <c r="L1587" s="13">
        <v>3545.24</v>
      </c>
      <c r="M1587" s="12">
        <v>145.22</v>
      </c>
      <c r="N1587" s="12">
        <v>145.22</v>
      </c>
      <c r="O1587" s="12">
        <v>-261.52</v>
      </c>
      <c r="P1587" s="12">
        <v>26</v>
      </c>
      <c r="Q1587" s="12">
        <v>26</v>
      </c>
      <c r="R1587" s="12">
        <v>24</v>
      </c>
    </row>
    <row r="1588" spans="1:18" ht="17" customHeight="1" x14ac:dyDescent="0.15">
      <c r="A1588" s="8" t="s">
        <v>8431</v>
      </c>
      <c r="B1588" s="9" t="s">
        <v>8432</v>
      </c>
      <c r="C1588" s="8" t="s">
        <v>8433</v>
      </c>
      <c r="D1588" s="8" t="s">
        <v>8433</v>
      </c>
      <c r="E1588" s="8" t="s">
        <v>8434</v>
      </c>
      <c r="F1588" s="8" t="s">
        <v>8403</v>
      </c>
      <c r="G1588" s="8" t="s">
        <v>8387</v>
      </c>
      <c r="H1588" s="8" t="s">
        <v>8388</v>
      </c>
      <c r="I1588" s="8" t="str">
        <f>HYPERLINK("http://www.remattostyle.it/","www.remattostyle.it")</f>
        <v>www.remattostyle.it</v>
      </c>
      <c r="J1588" s="10">
        <v>4229.0309999999999</v>
      </c>
      <c r="K1588" s="10">
        <v>4229.0309999999999</v>
      </c>
      <c r="L1588" s="10">
        <v>3535.1680000000001</v>
      </c>
      <c r="M1588" s="10">
        <v>704.58100000000002</v>
      </c>
      <c r="N1588" s="10">
        <v>704.58100000000002</v>
      </c>
      <c r="O1588" s="10">
        <v>90.876999999999995</v>
      </c>
      <c r="P1588" s="10">
        <v>36</v>
      </c>
      <c r="Q1588" s="10">
        <v>36</v>
      </c>
      <c r="R1588" s="10">
        <v>36</v>
      </c>
    </row>
    <row r="1589" spans="1:18" ht="17" customHeight="1" x14ac:dyDescent="0.15">
      <c r="A1589" s="11" t="s">
        <v>8435</v>
      </c>
      <c r="B1589" s="1" t="s">
        <v>8436</v>
      </c>
      <c r="C1589" s="11" t="s">
        <v>8437</v>
      </c>
      <c r="D1589" s="11" t="s">
        <v>8437</v>
      </c>
      <c r="E1589" s="11" t="s">
        <v>8438</v>
      </c>
      <c r="F1589" s="11" t="s">
        <v>8409</v>
      </c>
      <c r="G1589" s="11" t="s">
        <v>8439</v>
      </c>
      <c r="H1589" s="11" t="s">
        <v>8377</v>
      </c>
      <c r="I1589" s="11" t="str">
        <f>HYPERLINK("http://www.conceriadallabarba.eu/","www.conceriadallabarba.eu")</f>
        <v>www.conceriadallabarba.eu</v>
      </c>
      <c r="J1589" s="12">
        <v>2273.3270000000002</v>
      </c>
      <c r="K1589" s="12">
        <v>2273.3270000000002</v>
      </c>
      <c r="L1589" s="13">
        <v>3534.7339999999999</v>
      </c>
      <c r="M1589" s="12">
        <v>-202.73599999999999</v>
      </c>
      <c r="N1589" s="12">
        <v>-202.73599999999999</v>
      </c>
      <c r="O1589" s="12">
        <v>-34.868000000000002</v>
      </c>
      <c r="P1589" s="12">
        <v>7</v>
      </c>
      <c r="Q1589" s="12">
        <v>7</v>
      </c>
      <c r="R1589" s="12">
        <v>11</v>
      </c>
    </row>
    <row r="1590" spans="1:18" ht="17" customHeight="1" x14ac:dyDescent="0.15">
      <c r="A1590" s="8" t="s">
        <v>8440</v>
      </c>
      <c r="B1590" s="9" t="s">
        <v>8441</v>
      </c>
      <c r="C1590" s="8" t="s">
        <v>8442</v>
      </c>
      <c r="D1590" s="8" t="s">
        <v>8442</v>
      </c>
      <c r="E1590" s="8" t="s">
        <v>8443</v>
      </c>
      <c r="F1590" s="8" t="s">
        <v>8342</v>
      </c>
      <c r="G1590" s="8" t="s">
        <v>8328</v>
      </c>
      <c r="H1590" s="8" t="s">
        <v>8329</v>
      </c>
      <c r="I1590" s="8" t="str">
        <f>HYPERLINK("http://www.luxurytina.com/","www.luxurytina.com")</f>
        <v>www.luxurytina.com</v>
      </c>
      <c r="J1590" s="10">
        <v>3572.3380000000002</v>
      </c>
      <c r="K1590" s="10">
        <v>3921.8629999999998</v>
      </c>
      <c r="L1590" s="10">
        <v>3534.5459999999998</v>
      </c>
      <c r="M1590" s="10">
        <v>20.204000000000001</v>
      </c>
      <c r="N1590" s="10">
        <v>7.6580000000000004</v>
      </c>
      <c r="O1590" s="10">
        <v>5.2050000000000001</v>
      </c>
      <c r="P1590" s="10">
        <v>15</v>
      </c>
      <c r="Q1590" s="10">
        <v>17</v>
      </c>
      <c r="R1590" s="10">
        <v>16</v>
      </c>
    </row>
    <row r="1591" spans="1:18" ht="17" customHeight="1" x14ac:dyDescent="0.15">
      <c r="A1591" s="11" t="s">
        <v>8444</v>
      </c>
      <c r="B1591" s="1" t="s">
        <v>8445</v>
      </c>
      <c r="C1591" s="11" t="s">
        <v>8446</v>
      </c>
      <c r="D1591" s="11" t="s">
        <v>8446</v>
      </c>
      <c r="E1591" s="11" t="s">
        <v>8447</v>
      </c>
      <c r="F1591" s="11" t="s">
        <v>8327</v>
      </c>
      <c r="G1591" s="11" t="s">
        <v>8367</v>
      </c>
      <c r="H1591" s="11" t="s">
        <v>8351</v>
      </c>
      <c r="I1591" s="11" t="str">
        <f>HYPERLINK("http://www.artepellettieri.it/","www.artepellettieri.it")</f>
        <v>www.artepellettieri.it</v>
      </c>
      <c r="J1591" s="12">
        <v>3486.6239999999998</v>
      </c>
      <c r="K1591" s="12">
        <v>3486.6239999999998</v>
      </c>
      <c r="L1591" s="13">
        <v>3532.7950000000001</v>
      </c>
      <c r="M1591" s="12">
        <v>96.924000000000007</v>
      </c>
      <c r="N1591" s="12">
        <v>96.924000000000007</v>
      </c>
      <c r="O1591" s="12">
        <v>25.010999999999999</v>
      </c>
      <c r="P1591" s="14" t="s">
        <v>8337</v>
      </c>
      <c r="Q1591" s="14" t="s">
        <v>8337</v>
      </c>
      <c r="R1591" s="12">
        <v>29</v>
      </c>
    </row>
    <row r="1592" spans="1:18" ht="17" customHeight="1" x14ac:dyDescent="0.15">
      <c r="A1592" s="8" t="s">
        <v>8448</v>
      </c>
      <c r="B1592" s="9" t="s">
        <v>8449</v>
      </c>
      <c r="C1592" s="8" t="s">
        <v>8450</v>
      </c>
      <c r="D1592" s="8" t="s">
        <v>8450</v>
      </c>
      <c r="E1592" s="8" t="s">
        <v>8451</v>
      </c>
      <c r="F1592" s="8" t="s">
        <v>8342</v>
      </c>
      <c r="G1592" s="8" t="s">
        <v>8452</v>
      </c>
      <c r="H1592" s="8" t="s">
        <v>8329</v>
      </c>
      <c r="I1592" s="8" t="str">
        <f>HYPERLINK("http://www.1-one.it/","www.1-one.it")</f>
        <v>www.1-one.it</v>
      </c>
      <c r="J1592" s="10">
        <v>4314.2169999999996</v>
      </c>
      <c r="K1592" s="10">
        <v>4314.2169999999996</v>
      </c>
      <c r="L1592" s="10">
        <v>3530.9540000000002</v>
      </c>
      <c r="M1592" s="10">
        <v>-28.628</v>
      </c>
      <c r="N1592" s="10">
        <v>-28.628</v>
      </c>
      <c r="O1592" s="10">
        <v>28.042999999999999</v>
      </c>
      <c r="P1592" s="10">
        <v>14</v>
      </c>
      <c r="Q1592" s="10">
        <v>14</v>
      </c>
      <c r="R1592" s="10">
        <v>15</v>
      </c>
    </row>
    <row r="1593" spans="1:18" ht="29.5" customHeight="1" x14ac:dyDescent="0.15">
      <c r="A1593" s="11" t="s">
        <v>8453</v>
      </c>
      <c r="B1593" s="1" t="s">
        <v>8454</v>
      </c>
      <c r="C1593" s="11" t="s">
        <v>8455</v>
      </c>
      <c r="D1593" s="11" t="s">
        <v>8455</v>
      </c>
      <c r="E1593" s="11" t="s">
        <v>8456</v>
      </c>
      <c r="F1593" s="11" t="s">
        <v>8366</v>
      </c>
      <c r="G1593" s="11" t="s">
        <v>8419</v>
      </c>
      <c r="H1593" s="11" t="s">
        <v>8420</v>
      </c>
      <c r="I1593" s="11" t="str">
        <f>HYPERLINK("http://imperocouture.com/","imperocouture.com")</f>
        <v>imperocouture.com</v>
      </c>
      <c r="J1593" s="12">
        <v>3230.9780000000001</v>
      </c>
      <c r="K1593" s="12">
        <v>3230.9780000000001</v>
      </c>
      <c r="L1593" s="13">
        <v>3529.857</v>
      </c>
      <c r="M1593" s="12">
        <v>13.205</v>
      </c>
      <c r="N1593" s="12">
        <v>13.205</v>
      </c>
      <c r="O1593" s="12">
        <v>61.53</v>
      </c>
      <c r="P1593" s="14" t="s">
        <v>8337</v>
      </c>
      <c r="Q1593" s="14" t="s">
        <v>8337</v>
      </c>
      <c r="R1593" s="14" t="s">
        <v>8337</v>
      </c>
    </row>
    <row r="1594" spans="1:18" ht="17" customHeight="1" x14ac:dyDescent="0.15">
      <c r="A1594" s="8" t="s">
        <v>8457</v>
      </c>
      <c r="B1594" s="9" t="s">
        <v>8458</v>
      </c>
      <c r="C1594" s="8" t="s">
        <v>8459</v>
      </c>
      <c r="D1594" s="8" t="s">
        <v>8459</v>
      </c>
      <c r="E1594" s="8" t="s">
        <v>8460</v>
      </c>
      <c r="F1594" s="8" t="s">
        <v>8349</v>
      </c>
      <c r="G1594" s="8" t="s">
        <v>8404</v>
      </c>
      <c r="H1594" s="8" t="s">
        <v>8388</v>
      </c>
      <c r="I1594" s="8" t="str">
        <f>HYPERLINK("http://www.koil.it/","www.koil.it")</f>
        <v>www.koil.it</v>
      </c>
      <c r="J1594" s="10">
        <v>4174.357</v>
      </c>
      <c r="K1594" s="10">
        <v>4174.357</v>
      </c>
      <c r="L1594" s="10">
        <v>3525.337</v>
      </c>
      <c r="M1594" s="10">
        <v>112.74299999999999</v>
      </c>
      <c r="N1594" s="10">
        <v>112.74299999999999</v>
      </c>
      <c r="O1594" s="10">
        <v>254.636</v>
      </c>
      <c r="P1594" s="15" t="s">
        <v>8337</v>
      </c>
      <c r="Q1594" s="15" t="s">
        <v>8337</v>
      </c>
      <c r="R1594" s="10">
        <v>19</v>
      </c>
    </row>
    <row r="1595" spans="1:18" ht="29.5" customHeight="1" x14ac:dyDescent="0.15">
      <c r="A1595" s="11" t="s">
        <v>8461</v>
      </c>
      <c r="B1595" s="1" t="s">
        <v>8462</v>
      </c>
      <c r="C1595" s="11" t="s">
        <v>8463</v>
      </c>
      <c r="D1595" s="11" t="s">
        <v>8463</v>
      </c>
      <c r="E1595" s="11" t="s">
        <v>8464</v>
      </c>
      <c r="F1595" s="11" t="s">
        <v>8366</v>
      </c>
      <c r="G1595" s="11" t="s">
        <v>8367</v>
      </c>
      <c r="H1595" s="11" t="s">
        <v>8351</v>
      </c>
      <c r="I1595" s="11" t="str">
        <f>HYPERLINK("http://www.phofirenze.com/","www.phofirenze.com")</f>
        <v>www.phofirenze.com</v>
      </c>
      <c r="J1595" s="12">
        <v>3691.6869999999999</v>
      </c>
      <c r="K1595" s="12">
        <v>4018.058</v>
      </c>
      <c r="L1595" s="13">
        <v>3525.2429999999999</v>
      </c>
      <c r="M1595" s="12">
        <v>308.46499999999997</v>
      </c>
      <c r="N1595" s="12">
        <v>264.63400000000001</v>
      </c>
      <c r="O1595" s="12">
        <v>212.97900000000001</v>
      </c>
      <c r="P1595" s="12">
        <v>14</v>
      </c>
      <c r="Q1595" s="12">
        <v>13</v>
      </c>
      <c r="R1595" s="12">
        <v>11</v>
      </c>
    </row>
    <row r="1596" spans="1:18" ht="29.5" customHeight="1" x14ac:dyDescent="0.15">
      <c r="A1596" s="8" t="s">
        <v>8465</v>
      </c>
      <c r="B1596" s="9" t="s">
        <v>8466</v>
      </c>
      <c r="C1596" s="8" t="s">
        <v>8467</v>
      </c>
      <c r="D1596" s="8" t="s">
        <v>8467</v>
      </c>
      <c r="E1596" s="8" t="s">
        <v>8468</v>
      </c>
      <c r="F1596" s="8" t="s">
        <v>8349</v>
      </c>
      <c r="G1596" s="8" t="s">
        <v>8404</v>
      </c>
      <c r="H1596" s="8" t="s">
        <v>8388</v>
      </c>
      <c r="I1596" s="8" t="str">
        <f>HYPERLINK("http://natude.it/","natude.it")</f>
        <v>natude.it</v>
      </c>
      <c r="J1596" s="10">
        <v>2751.46</v>
      </c>
      <c r="K1596" s="10">
        <v>2751.46</v>
      </c>
      <c r="L1596" s="10">
        <v>3524.297</v>
      </c>
      <c r="M1596" s="10">
        <v>9.2929999999999993</v>
      </c>
      <c r="N1596" s="10">
        <v>9.2929999999999993</v>
      </c>
      <c r="O1596" s="10">
        <v>67.156999999999996</v>
      </c>
      <c r="P1596" s="15" t="s">
        <v>8337</v>
      </c>
      <c r="Q1596" s="15" t="s">
        <v>8337</v>
      </c>
      <c r="R1596" s="10">
        <v>25</v>
      </c>
    </row>
    <row r="1597" spans="1:18" ht="17" customHeight="1" x14ac:dyDescent="0.15">
      <c r="A1597" s="11" t="s">
        <v>8469</v>
      </c>
      <c r="B1597" s="1" t="s">
        <v>8470</v>
      </c>
      <c r="C1597" s="11" t="s">
        <v>8471</v>
      </c>
      <c r="D1597" s="11" t="s">
        <v>8471</v>
      </c>
      <c r="E1597" s="11" t="s">
        <v>8472</v>
      </c>
      <c r="F1597" s="11" t="s">
        <v>8473</v>
      </c>
      <c r="G1597" s="11" t="s">
        <v>8439</v>
      </c>
      <c r="H1597" s="11" t="s">
        <v>8377</v>
      </c>
      <c r="I1597" s="11" t="str">
        <f>HYPERLINK("http://ravazzolo.com/","ravazzolo.com")</f>
        <v>ravazzolo.com</v>
      </c>
      <c r="J1597" s="12">
        <v>3836.922</v>
      </c>
      <c r="K1597" s="12">
        <v>3836.922</v>
      </c>
      <c r="L1597" s="13">
        <v>3521.971</v>
      </c>
      <c r="M1597" s="12">
        <v>50.417999999999999</v>
      </c>
      <c r="N1597" s="12">
        <v>50.417999999999999</v>
      </c>
      <c r="O1597" s="12">
        <v>73.917000000000002</v>
      </c>
      <c r="P1597" s="12">
        <v>42</v>
      </c>
      <c r="Q1597" s="12">
        <v>42</v>
      </c>
      <c r="R1597" s="12">
        <v>42</v>
      </c>
    </row>
    <row r="1598" spans="1:18" ht="17" customHeight="1" x14ac:dyDescent="0.15">
      <c r="A1598" s="8" t="s">
        <v>8474</v>
      </c>
      <c r="B1598" s="9" t="s">
        <v>8475</v>
      </c>
      <c r="C1598" s="8" t="s">
        <v>8476</v>
      </c>
      <c r="D1598" s="8" t="s">
        <v>8476</v>
      </c>
      <c r="E1598" s="8" t="s">
        <v>8477</v>
      </c>
      <c r="F1598" s="8" t="s">
        <v>8342</v>
      </c>
      <c r="G1598" s="8" t="s">
        <v>8478</v>
      </c>
      <c r="H1598" s="8" t="s">
        <v>8351</v>
      </c>
      <c r="I1598" s="8" t="str">
        <f>HYPERLINK("http://www.kikkamia.com/","www.kikkamia.com")</f>
        <v>www.kikkamia.com</v>
      </c>
      <c r="J1598" s="10">
        <v>4584.1729999999998</v>
      </c>
      <c r="K1598" s="10">
        <v>4584.1729999999998</v>
      </c>
      <c r="L1598" s="10">
        <v>3518.058</v>
      </c>
      <c r="M1598" s="10">
        <v>75.784000000000006</v>
      </c>
      <c r="N1598" s="10">
        <v>75.784000000000006</v>
      </c>
      <c r="O1598" s="10">
        <v>-4.8620000000000001</v>
      </c>
      <c r="P1598" s="10">
        <v>5</v>
      </c>
      <c r="Q1598" s="10">
        <v>5</v>
      </c>
      <c r="R1598" s="10">
        <v>5</v>
      </c>
    </row>
    <row r="1599" spans="1:18" ht="17" customHeight="1" x14ac:dyDescent="0.15">
      <c r="A1599" s="11" t="s">
        <v>8479</v>
      </c>
      <c r="B1599" s="1" t="s">
        <v>8480</v>
      </c>
      <c r="C1599" s="11" t="s">
        <v>8481</v>
      </c>
      <c r="D1599" s="11" t="s">
        <v>8481</v>
      </c>
      <c r="E1599" s="11" t="s">
        <v>8482</v>
      </c>
      <c r="F1599" s="11" t="s">
        <v>8483</v>
      </c>
      <c r="G1599" s="11" t="s">
        <v>8484</v>
      </c>
      <c r="H1599" s="11" t="s">
        <v>8344</v>
      </c>
      <c r="I1599" s="11" t="str">
        <f>HYPERLINK("http://www.maglificiodani.it/","www.maglificiodani.it")</f>
        <v>www.maglificiodani.it</v>
      </c>
      <c r="J1599" s="12">
        <v>4745.7929999999997</v>
      </c>
      <c r="K1599" s="12">
        <v>4745.7929999999997</v>
      </c>
      <c r="L1599" s="13">
        <v>3516.826</v>
      </c>
      <c r="M1599" s="12">
        <v>862.95100000000002</v>
      </c>
      <c r="N1599" s="12">
        <v>862.95100000000002</v>
      </c>
      <c r="O1599" s="12">
        <v>671.39200000000005</v>
      </c>
      <c r="P1599" s="12">
        <v>24</v>
      </c>
      <c r="Q1599" s="12">
        <v>24</v>
      </c>
      <c r="R1599" s="12">
        <v>22</v>
      </c>
    </row>
    <row r="1600" spans="1:18" ht="17" customHeight="1" x14ac:dyDescent="0.15">
      <c r="A1600" s="8" t="s">
        <v>8485</v>
      </c>
      <c r="B1600" s="9" t="s">
        <v>8486</v>
      </c>
      <c r="C1600" s="8" t="s">
        <v>8487</v>
      </c>
      <c r="D1600" s="8" t="s">
        <v>8487</v>
      </c>
      <c r="E1600" s="8" t="s">
        <v>8488</v>
      </c>
      <c r="F1600" s="8" t="s">
        <v>8327</v>
      </c>
      <c r="G1600" s="8" t="s">
        <v>8489</v>
      </c>
      <c r="H1600" s="8" t="s">
        <v>8329</v>
      </c>
      <c r="I1600" s="8" t="str">
        <f>HYPERLINK("http://www.mascapb.com/","www.mascapb.com")</f>
        <v>www.mascapb.com</v>
      </c>
      <c r="J1600" s="10">
        <v>3374.739</v>
      </c>
      <c r="K1600" s="10">
        <v>3374.739</v>
      </c>
      <c r="L1600" s="10">
        <v>3515.578</v>
      </c>
      <c r="M1600" s="10">
        <v>382.363</v>
      </c>
      <c r="N1600" s="10">
        <v>382.363</v>
      </c>
      <c r="O1600" s="10">
        <v>502.12400000000002</v>
      </c>
      <c r="P1600" s="10">
        <v>4</v>
      </c>
      <c r="Q1600" s="10">
        <v>4</v>
      </c>
      <c r="R1600" s="10">
        <v>5</v>
      </c>
    </row>
    <row r="1601" spans="1:18" ht="17" customHeight="1" x14ac:dyDescent="0.15">
      <c r="A1601" s="11" t="s">
        <v>8490</v>
      </c>
      <c r="B1601" s="1" t="s">
        <v>8491</v>
      </c>
      <c r="C1601" s="11" t="s">
        <v>8492</v>
      </c>
      <c r="D1601" s="11" t="s">
        <v>8492</v>
      </c>
      <c r="E1601" s="11" t="s">
        <v>8493</v>
      </c>
      <c r="F1601" s="11" t="s">
        <v>8494</v>
      </c>
      <c r="G1601" s="11" t="s">
        <v>8495</v>
      </c>
      <c r="H1601" s="11" t="s">
        <v>8496</v>
      </c>
      <c r="I1601" s="11" t="str">
        <f>HYPERLINK("http://www.caslam.it/","www.caslam.it")</f>
        <v>www.caslam.it</v>
      </c>
      <c r="J1601" s="12">
        <v>3426.6219999999998</v>
      </c>
      <c r="K1601" s="12">
        <v>3426.6219999999998</v>
      </c>
      <c r="L1601" s="13">
        <v>3506.7420000000002</v>
      </c>
      <c r="M1601" s="12">
        <v>8.1850000000000005</v>
      </c>
      <c r="N1601" s="12">
        <v>8.1850000000000005</v>
      </c>
      <c r="O1601" s="12">
        <v>8.3889999999999993</v>
      </c>
      <c r="P1601" s="12">
        <v>1</v>
      </c>
      <c r="Q1601" s="12">
        <v>1</v>
      </c>
      <c r="R1601" s="12">
        <v>0</v>
      </c>
    </row>
    <row r="1602" spans="1:18" ht="29.5" customHeight="1" x14ac:dyDescent="0.15">
      <c r="A1602" s="8" t="s">
        <v>8497</v>
      </c>
      <c r="B1602" s="9" t="s">
        <v>8498</v>
      </c>
      <c r="C1602" s="8" t="s">
        <v>8499</v>
      </c>
      <c r="D1602" s="8" t="s">
        <v>8500</v>
      </c>
      <c r="E1602" s="8" t="s">
        <v>8501</v>
      </c>
      <c r="F1602" s="8" t="s">
        <v>8502</v>
      </c>
      <c r="G1602" s="8" t="s">
        <v>8503</v>
      </c>
      <c r="H1602" s="8" t="s">
        <v>8504</v>
      </c>
      <c r="I1602" s="8" t="str">
        <f>HYPERLINK("http://hotelalbanifirenze.com/","hotelalbanifirenze.com")</f>
        <v>hotelalbanifirenze.com</v>
      </c>
      <c r="J1602" s="10">
        <v>5304.9160000000002</v>
      </c>
      <c r="K1602" s="10">
        <v>5304.9160000000002</v>
      </c>
      <c r="L1602" s="10">
        <v>3506.127</v>
      </c>
      <c r="M1602" s="10">
        <v>-116.788</v>
      </c>
      <c r="N1602" s="10">
        <v>-116.788</v>
      </c>
      <c r="O1602" s="10">
        <v>123.083</v>
      </c>
      <c r="P1602" s="10">
        <v>23</v>
      </c>
      <c r="Q1602" s="10">
        <v>23</v>
      </c>
      <c r="R1602" s="10">
        <v>29</v>
      </c>
    </row>
    <row r="1603" spans="1:18" ht="17" customHeight="1" x14ac:dyDescent="0.15">
      <c r="A1603" s="11" t="s">
        <v>8505</v>
      </c>
      <c r="B1603" s="1" t="s">
        <v>8506</v>
      </c>
      <c r="C1603" s="11" t="s">
        <v>8507</v>
      </c>
      <c r="D1603" s="11" t="s">
        <v>8507</v>
      </c>
      <c r="E1603" s="11" t="s">
        <v>8508</v>
      </c>
      <c r="F1603" s="11" t="s">
        <v>8509</v>
      </c>
      <c r="G1603" s="11" t="s">
        <v>8510</v>
      </c>
      <c r="H1603" s="11" t="s">
        <v>8511</v>
      </c>
      <c r="I1603" s="11" t="str">
        <f>HYPERLINK("http://www.pakerson.it/","www.pakerson.it")</f>
        <v>www.pakerson.it</v>
      </c>
      <c r="J1603" s="12">
        <v>4906.0959999999995</v>
      </c>
      <c r="K1603" s="12">
        <v>4906.0959999999995</v>
      </c>
      <c r="L1603" s="13">
        <v>3497.0369999999998</v>
      </c>
      <c r="M1603" s="12">
        <v>3.4340000000000002</v>
      </c>
      <c r="N1603" s="12">
        <v>3.4340000000000002</v>
      </c>
      <c r="O1603" s="12">
        <v>1.6639999999999999</v>
      </c>
      <c r="P1603" s="12">
        <v>32</v>
      </c>
      <c r="Q1603" s="12">
        <v>32</v>
      </c>
      <c r="R1603" s="12">
        <v>27</v>
      </c>
    </row>
    <row r="1604" spans="1:18" ht="17" customHeight="1" x14ac:dyDescent="0.15">
      <c r="A1604" s="8" t="s">
        <v>8512</v>
      </c>
      <c r="B1604" s="9" t="s">
        <v>8513</v>
      </c>
      <c r="C1604" s="8" t="s">
        <v>8514</v>
      </c>
      <c r="D1604" s="8" t="s">
        <v>8514</v>
      </c>
      <c r="E1604" s="8" t="s">
        <v>8515</v>
      </c>
      <c r="F1604" s="8" t="s">
        <v>8509</v>
      </c>
      <c r="G1604" s="8" t="s">
        <v>8516</v>
      </c>
      <c r="H1604" s="8" t="s">
        <v>8496</v>
      </c>
      <c r="I1604" s="8" t="str">
        <f>HYPERLINK("http://www.gemaxgroup.it/","www.gemaxgroup.it")</f>
        <v>www.gemaxgroup.it</v>
      </c>
      <c r="J1604" s="10">
        <v>1207.8019999999999</v>
      </c>
      <c r="K1604" s="10">
        <v>2048.1039999999998</v>
      </c>
      <c r="L1604" s="10">
        <v>3495.4650000000001</v>
      </c>
      <c r="M1604" s="10">
        <v>-1544.4570000000001</v>
      </c>
      <c r="N1604" s="10">
        <v>23.149000000000001</v>
      </c>
      <c r="O1604" s="10">
        <v>88.525999999999996</v>
      </c>
      <c r="P1604" s="10">
        <v>57</v>
      </c>
      <c r="Q1604" s="10">
        <v>90</v>
      </c>
      <c r="R1604" s="10">
        <v>106</v>
      </c>
    </row>
    <row r="1605" spans="1:18" ht="17" customHeight="1" x14ac:dyDescent="0.15">
      <c r="A1605" s="11" t="s">
        <v>8517</v>
      </c>
      <c r="B1605" s="1" t="s">
        <v>8518</v>
      </c>
      <c r="C1605" s="11" t="s">
        <v>8519</v>
      </c>
      <c r="D1605" s="11" t="s">
        <v>8519</v>
      </c>
      <c r="E1605" s="11" t="s">
        <v>8520</v>
      </c>
      <c r="F1605" s="11" t="s">
        <v>8521</v>
      </c>
      <c r="G1605" s="11" t="s">
        <v>8522</v>
      </c>
      <c r="H1605" s="11" t="s">
        <v>8523</v>
      </c>
      <c r="I1605" s="11" t="str">
        <f>HYPERLINK("http://www.calzificioargopi.com/","www.calzificioargopi.com")</f>
        <v>www.calzificioargopi.com</v>
      </c>
      <c r="J1605" s="12">
        <v>3910.8470000000002</v>
      </c>
      <c r="K1605" s="12">
        <v>3910.8470000000002</v>
      </c>
      <c r="L1605" s="13">
        <v>3494.8939999999998</v>
      </c>
      <c r="M1605" s="12">
        <v>-165.959</v>
      </c>
      <c r="N1605" s="12">
        <v>-165.959</v>
      </c>
      <c r="O1605" s="12">
        <v>82.671999999999997</v>
      </c>
      <c r="P1605" s="12">
        <v>18</v>
      </c>
      <c r="Q1605" s="12">
        <v>18</v>
      </c>
      <c r="R1605" s="12">
        <v>18</v>
      </c>
    </row>
    <row r="1606" spans="1:18" ht="17" customHeight="1" x14ac:dyDescent="0.15">
      <c r="A1606" s="8" t="s">
        <v>8524</v>
      </c>
      <c r="B1606" s="9" t="s">
        <v>8525</v>
      </c>
      <c r="C1606" s="8" t="s">
        <v>8526</v>
      </c>
      <c r="D1606" s="8" t="s">
        <v>8526</v>
      </c>
      <c r="E1606" s="8" t="s">
        <v>8527</v>
      </c>
      <c r="F1606" s="8" t="s">
        <v>8509</v>
      </c>
      <c r="G1606" s="8" t="s">
        <v>8528</v>
      </c>
      <c r="H1606" s="8" t="s">
        <v>8529</v>
      </c>
      <c r="I1606" s="8" t="str">
        <f>HYPERLINK("http://www.goldenfit.it/","www.goldenfit.it")</f>
        <v>www.goldenfit.it</v>
      </c>
      <c r="J1606" s="10">
        <v>3746.9949999999999</v>
      </c>
      <c r="K1606" s="10">
        <v>3746.9949999999999</v>
      </c>
      <c r="L1606" s="10">
        <v>3494.2979999999998</v>
      </c>
      <c r="M1606" s="10">
        <v>33.484999999999999</v>
      </c>
      <c r="N1606" s="10">
        <v>33.484999999999999</v>
      </c>
      <c r="O1606" s="10">
        <v>49.256999999999998</v>
      </c>
      <c r="P1606" s="10">
        <v>19</v>
      </c>
      <c r="Q1606" s="10">
        <v>19</v>
      </c>
      <c r="R1606" s="10">
        <v>19</v>
      </c>
    </row>
    <row r="1607" spans="1:18" ht="17" customHeight="1" x14ac:dyDescent="0.15">
      <c r="A1607" s="11" t="s">
        <v>8530</v>
      </c>
      <c r="B1607" s="1" t="s">
        <v>8531</v>
      </c>
      <c r="C1607" s="11" t="s">
        <v>8532</v>
      </c>
      <c r="D1607" s="11" t="s">
        <v>8532</v>
      </c>
      <c r="E1607" s="11" t="s">
        <v>8533</v>
      </c>
      <c r="F1607" s="11" t="s">
        <v>8534</v>
      </c>
      <c r="G1607" s="11" t="s">
        <v>8535</v>
      </c>
      <c r="H1607" s="11" t="s">
        <v>8523</v>
      </c>
      <c r="I1607" s="11" t="str">
        <f>HYPERLINK("http://www.carlopozzi.com/","www.carlopozzi.com")</f>
        <v>www.carlopozzi.com</v>
      </c>
      <c r="J1607" s="12">
        <v>3960.7170000000001</v>
      </c>
      <c r="K1607" s="12">
        <v>3960.7170000000001</v>
      </c>
      <c r="L1607" s="13">
        <v>3493.9850000000001</v>
      </c>
      <c r="M1607" s="12">
        <v>166.09299999999999</v>
      </c>
      <c r="N1607" s="12">
        <v>166.09299999999999</v>
      </c>
      <c r="O1607" s="12">
        <v>89.703000000000003</v>
      </c>
      <c r="P1607" s="12">
        <v>14</v>
      </c>
      <c r="Q1607" s="12">
        <v>14</v>
      </c>
      <c r="R1607" s="12">
        <v>14</v>
      </c>
    </row>
    <row r="1608" spans="1:18" ht="29.5" customHeight="1" x14ac:dyDescent="0.15">
      <c r="A1608" s="8" t="s">
        <v>8536</v>
      </c>
      <c r="B1608" s="9" t="s">
        <v>8537</v>
      </c>
      <c r="C1608" s="8" t="s">
        <v>8538</v>
      </c>
      <c r="D1608" s="8" t="s">
        <v>8538</v>
      </c>
      <c r="E1608" s="8" t="s">
        <v>8539</v>
      </c>
      <c r="F1608" s="8" t="s">
        <v>8509</v>
      </c>
      <c r="G1608" s="8" t="s">
        <v>8540</v>
      </c>
      <c r="H1608" s="8" t="s">
        <v>8529</v>
      </c>
      <c r="I1608" s="8" t="str">
        <f>HYPERLINK("http://elata.it/","elata.it")</f>
        <v>elata.it</v>
      </c>
      <c r="J1608" s="10">
        <v>3654.92</v>
      </c>
      <c r="K1608" s="10">
        <v>3654.92</v>
      </c>
      <c r="L1608" s="10">
        <v>3488.4549999999999</v>
      </c>
      <c r="M1608" s="10">
        <v>103.592</v>
      </c>
      <c r="N1608" s="10">
        <v>103.592</v>
      </c>
      <c r="O1608" s="10">
        <v>185.988</v>
      </c>
      <c r="P1608" s="15" t="s">
        <v>8541</v>
      </c>
      <c r="Q1608" s="15" t="s">
        <v>8541</v>
      </c>
      <c r="R1608" s="10">
        <v>45</v>
      </c>
    </row>
    <row r="1609" spans="1:18" ht="17" customHeight="1" x14ac:dyDescent="0.15">
      <c r="A1609" s="11" t="s">
        <v>8542</v>
      </c>
      <c r="B1609" s="1" t="s">
        <v>8543</v>
      </c>
      <c r="C1609" s="11" t="s">
        <v>8544</v>
      </c>
      <c r="D1609" s="11" t="s">
        <v>8544</v>
      </c>
      <c r="E1609" s="11" t="s">
        <v>8545</v>
      </c>
      <c r="F1609" s="11" t="s">
        <v>8546</v>
      </c>
      <c r="G1609" s="11" t="s">
        <v>8547</v>
      </c>
      <c r="H1609" s="11" t="s">
        <v>8548</v>
      </c>
      <c r="I1609" s="11" t="str">
        <f>HYPERLINK("http://andrewshoes.com/","andrewshoes.com")</f>
        <v>andrewshoes.com</v>
      </c>
      <c r="J1609" s="12">
        <v>4100.4610000000002</v>
      </c>
      <c r="K1609" s="12">
        <v>4100.4610000000002</v>
      </c>
      <c r="L1609" s="13">
        <v>3486.2620000000002</v>
      </c>
      <c r="M1609" s="12">
        <v>916.50800000000004</v>
      </c>
      <c r="N1609" s="12">
        <v>916.50800000000004</v>
      </c>
      <c r="O1609" s="12">
        <v>503.44799999999998</v>
      </c>
      <c r="P1609" s="12">
        <v>25</v>
      </c>
      <c r="Q1609" s="12">
        <v>25</v>
      </c>
      <c r="R1609" s="12">
        <v>22</v>
      </c>
    </row>
    <row r="1610" spans="1:18" ht="17" customHeight="1" x14ac:dyDescent="0.15">
      <c r="A1610" s="8" t="s">
        <v>8549</v>
      </c>
      <c r="B1610" s="9" t="s">
        <v>8550</v>
      </c>
      <c r="C1610" s="8" t="s">
        <v>8551</v>
      </c>
      <c r="D1610" s="8" t="s">
        <v>8551</v>
      </c>
      <c r="E1610" s="8" t="s">
        <v>8552</v>
      </c>
      <c r="F1610" s="8" t="s">
        <v>8553</v>
      </c>
      <c r="G1610" s="8" t="s">
        <v>8554</v>
      </c>
      <c r="H1610" s="8" t="s">
        <v>8555</v>
      </c>
      <c r="I1610" s="8" t="str">
        <f>HYPERLINK("http://myladysrl.it/","myladysrl.it")</f>
        <v>myladysrl.it</v>
      </c>
      <c r="J1610" s="10">
        <v>3387.5720000000001</v>
      </c>
      <c r="K1610" s="10">
        <v>3387.5720000000001</v>
      </c>
      <c r="L1610" s="10">
        <v>3479.1210000000001</v>
      </c>
      <c r="M1610" s="10">
        <v>794.274</v>
      </c>
      <c r="N1610" s="10">
        <v>794.274</v>
      </c>
      <c r="O1610" s="10">
        <v>840.07500000000005</v>
      </c>
      <c r="P1610" s="10">
        <v>12</v>
      </c>
      <c r="Q1610" s="10">
        <v>12</v>
      </c>
      <c r="R1610" s="10">
        <v>12</v>
      </c>
    </row>
    <row r="1611" spans="1:18" ht="17" customHeight="1" x14ac:dyDescent="0.15">
      <c r="A1611" s="11" t="s">
        <v>8556</v>
      </c>
      <c r="B1611" s="1" t="s">
        <v>8557</v>
      </c>
      <c r="C1611" s="11" t="s">
        <v>8558</v>
      </c>
      <c r="D1611" s="11" t="s">
        <v>8558</v>
      </c>
      <c r="E1611" s="11" t="s">
        <v>8559</v>
      </c>
      <c r="F1611" s="11" t="s">
        <v>8560</v>
      </c>
      <c r="G1611" s="11" t="s">
        <v>8561</v>
      </c>
      <c r="H1611" s="11" t="s">
        <v>8523</v>
      </c>
      <c r="I1611" s="11" t="str">
        <f>HYPERLINK("http://www.logistica-piacenza.it/","www.logistica-piacenza.it")</f>
        <v>www.logistica-piacenza.it</v>
      </c>
      <c r="J1611" s="12">
        <v>2932.4059999999999</v>
      </c>
      <c r="K1611" s="12">
        <v>2932.4059999999999</v>
      </c>
      <c r="L1611" s="13">
        <v>3474.1570000000002</v>
      </c>
      <c r="M1611" s="12">
        <v>2.415</v>
      </c>
      <c r="N1611" s="12">
        <v>2.415</v>
      </c>
      <c r="O1611" s="12">
        <v>6.8390000000000004</v>
      </c>
      <c r="P1611" s="12">
        <v>12</v>
      </c>
      <c r="Q1611" s="12">
        <v>12</v>
      </c>
      <c r="R1611" s="12">
        <v>13</v>
      </c>
    </row>
    <row r="1612" spans="1:18" ht="17" customHeight="1" x14ac:dyDescent="0.15">
      <c r="A1612" s="8" t="s">
        <v>8562</v>
      </c>
      <c r="B1612" s="9" t="s">
        <v>8563</v>
      </c>
      <c r="C1612" s="8" t="s">
        <v>8564</v>
      </c>
      <c r="D1612" s="8" t="s">
        <v>8564</v>
      </c>
      <c r="E1612" s="8" t="s">
        <v>8565</v>
      </c>
      <c r="F1612" s="8" t="s">
        <v>8566</v>
      </c>
      <c r="G1612" s="8" t="s">
        <v>8567</v>
      </c>
      <c r="H1612" s="8" t="s">
        <v>8548</v>
      </c>
      <c r="I1612" s="8" t="str">
        <f>HYPERLINK("http://www.pellicceriagianna.it/","www.pellicceriagianna.it")</f>
        <v>www.pellicceriagianna.it</v>
      </c>
      <c r="J1612" s="10">
        <v>1777.481</v>
      </c>
      <c r="K1612" s="10">
        <v>1777.481</v>
      </c>
      <c r="L1612" s="10">
        <v>3469.1410000000001</v>
      </c>
      <c r="M1612" s="10">
        <v>361.61599999999999</v>
      </c>
      <c r="N1612" s="10">
        <v>361.61599999999999</v>
      </c>
      <c r="O1612" s="10">
        <v>848.101</v>
      </c>
      <c r="P1612" s="10">
        <v>7</v>
      </c>
      <c r="Q1612" s="10">
        <v>7</v>
      </c>
      <c r="R1612" s="10">
        <v>7</v>
      </c>
    </row>
    <row r="1613" spans="1:18" ht="17" customHeight="1" x14ac:dyDescent="0.15">
      <c r="A1613" s="11" t="s">
        <v>8568</v>
      </c>
      <c r="B1613" s="1" t="s">
        <v>8569</v>
      </c>
      <c r="C1613" s="11" t="s">
        <v>8570</v>
      </c>
      <c r="D1613" s="11" t="s">
        <v>8570</v>
      </c>
      <c r="E1613" s="11" t="s">
        <v>8571</v>
      </c>
      <c r="F1613" s="11" t="s">
        <v>8509</v>
      </c>
      <c r="G1613" s="11" t="s">
        <v>8554</v>
      </c>
      <c r="H1613" s="11" t="s">
        <v>8555</v>
      </c>
      <c r="I1613" s="11" t="str">
        <f>HYPERLINK("http://www.lorenzishoes.it/","www.lorenzishoes.it")</f>
        <v>www.lorenzishoes.it</v>
      </c>
      <c r="J1613" s="12">
        <v>3638.5940000000001</v>
      </c>
      <c r="K1613" s="12">
        <v>3638.5940000000001</v>
      </c>
      <c r="L1613" s="13">
        <v>3466.45</v>
      </c>
      <c r="M1613" s="12">
        <v>51.701000000000001</v>
      </c>
      <c r="N1613" s="12">
        <v>51.701000000000001</v>
      </c>
      <c r="O1613" s="12">
        <v>3.9369999999999998</v>
      </c>
      <c r="P1613" s="12">
        <v>19</v>
      </c>
      <c r="Q1613" s="12">
        <v>19</v>
      </c>
      <c r="R1613" s="12">
        <v>19</v>
      </c>
    </row>
    <row r="1614" spans="1:18" ht="29.5" customHeight="1" x14ac:dyDescent="0.15">
      <c r="A1614" s="8" t="s">
        <v>8572</v>
      </c>
      <c r="B1614" s="9" t="s">
        <v>8573</v>
      </c>
      <c r="C1614" s="8" t="s">
        <v>8574</v>
      </c>
      <c r="D1614" s="8" t="s">
        <v>8574</v>
      </c>
      <c r="E1614" s="8" t="s">
        <v>8575</v>
      </c>
      <c r="F1614" s="8" t="s">
        <v>8502</v>
      </c>
      <c r="G1614" s="8" t="s">
        <v>8576</v>
      </c>
      <c r="H1614" s="8" t="s">
        <v>8555</v>
      </c>
      <c r="I1614" s="8" t="str">
        <f>HYPERLINK("http://www.taccaliti.com/","www.taccaliti.com")</f>
        <v>www.taccaliti.com</v>
      </c>
      <c r="J1614" s="10">
        <v>2998.1669999999999</v>
      </c>
      <c r="K1614" s="10">
        <v>2998.1669999999999</v>
      </c>
      <c r="L1614" s="10">
        <v>3456.5859999999998</v>
      </c>
      <c r="M1614" s="10">
        <v>21.337</v>
      </c>
      <c r="N1614" s="10">
        <v>21.337</v>
      </c>
      <c r="O1614" s="10">
        <v>79.566999999999993</v>
      </c>
      <c r="P1614" s="10">
        <v>39</v>
      </c>
      <c r="Q1614" s="10">
        <v>39</v>
      </c>
      <c r="R1614" s="10">
        <v>44</v>
      </c>
    </row>
    <row r="1615" spans="1:18" ht="17" customHeight="1" x14ac:dyDescent="0.15">
      <c r="A1615" s="11" t="s">
        <v>8577</v>
      </c>
      <c r="B1615" s="1" t="s">
        <v>8578</v>
      </c>
      <c r="C1615" s="11" t="s">
        <v>8579</v>
      </c>
      <c r="D1615" s="11" t="s">
        <v>8579</v>
      </c>
      <c r="E1615" s="11" t="s">
        <v>8580</v>
      </c>
      <c r="F1615" s="11" t="s">
        <v>8581</v>
      </c>
      <c r="G1615" s="11" t="s">
        <v>8582</v>
      </c>
      <c r="H1615" s="11" t="s">
        <v>8548</v>
      </c>
      <c r="I1615" s="11" t="str">
        <f>HYPERLINK("http://www.confezionipioneer.it/","www.confezionipioneer.it")</f>
        <v>www.confezionipioneer.it</v>
      </c>
      <c r="J1615" s="12">
        <v>3740.7280000000001</v>
      </c>
      <c r="K1615" s="12">
        <v>3740.7280000000001</v>
      </c>
      <c r="L1615" s="13">
        <v>3453.1379999999999</v>
      </c>
      <c r="M1615" s="12">
        <v>92.284000000000006</v>
      </c>
      <c r="N1615" s="12">
        <v>92.284000000000006</v>
      </c>
      <c r="O1615" s="12">
        <v>212.36</v>
      </c>
      <c r="P1615" s="12">
        <v>12</v>
      </c>
      <c r="Q1615" s="12">
        <v>12</v>
      </c>
      <c r="R1615" s="12">
        <v>11</v>
      </c>
    </row>
    <row r="1616" spans="1:18" ht="17" customHeight="1" x14ac:dyDescent="0.15">
      <c r="A1616" s="8" t="s">
        <v>8583</v>
      </c>
      <c r="B1616" s="9" t="s">
        <v>8584</v>
      </c>
      <c r="C1616" s="8" t="s">
        <v>8585</v>
      </c>
      <c r="D1616" s="8" t="s">
        <v>8585</v>
      </c>
      <c r="E1616" s="8" t="s">
        <v>8586</v>
      </c>
      <c r="F1616" s="8" t="s">
        <v>8581</v>
      </c>
      <c r="G1616" s="8" t="s">
        <v>8587</v>
      </c>
      <c r="H1616" s="8" t="s">
        <v>8588</v>
      </c>
      <c r="I1616" s="8" t="str">
        <f>HYPERLINK("http://www.formephysique.it/","www.formephysique.it")</f>
        <v>www.formephysique.it</v>
      </c>
      <c r="J1616" s="10">
        <v>3717.4769999999999</v>
      </c>
      <c r="K1616" s="10">
        <v>3717.4769999999999</v>
      </c>
      <c r="L1616" s="10">
        <v>3450.0189999999998</v>
      </c>
      <c r="M1616" s="10">
        <v>68.387</v>
      </c>
      <c r="N1616" s="10">
        <v>68.387</v>
      </c>
      <c r="O1616" s="10">
        <v>17.460999999999999</v>
      </c>
      <c r="P1616" s="15" t="s">
        <v>8541</v>
      </c>
      <c r="Q1616" s="15" t="s">
        <v>8541</v>
      </c>
      <c r="R1616" s="10">
        <v>8</v>
      </c>
    </row>
    <row r="1617" spans="1:18" ht="17" customHeight="1" x14ac:dyDescent="0.15">
      <c r="A1617" s="11" t="s">
        <v>8589</v>
      </c>
      <c r="B1617" s="1" t="s">
        <v>8590</v>
      </c>
      <c r="C1617" s="11" t="s">
        <v>8591</v>
      </c>
      <c r="D1617" s="11" t="s">
        <v>8591</v>
      </c>
      <c r="E1617" s="11" t="s">
        <v>8592</v>
      </c>
      <c r="F1617" s="11" t="s">
        <v>8509</v>
      </c>
      <c r="G1617" s="11" t="s">
        <v>8593</v>
      </c>
      <c r="H1617" s="11" t="s">
        <v>8496</v>
      </c>
      <c r="I1617" s="11" t="str">
        <f>HYPERLINK("http://www.togisrl.it/","www.togisrl.it")</f>
        <v>www.togisrl.it</v>
      </c>
      <c r="J1617" s="12">
        <v>4285.2060000000001</v>
      </c>
      <c r="K1617" s="12">
        <v>4285.2060000000001</v>
      </c>
      <c r="L1617" s="13">
        <v>3445.808</v>
      </c>
      <c r="M1617" s="12">
        <v>-7.2679999999999998</v>
      </c>
      <c r="N1617" s="12">
        <v>-7.2679999999999998</v>
      </c>
      <c r="O1617" s="12">
        <v>-64.254000000000005</v>
      </c>
      <c r="P1617" s="12">
        <v>34</v>
      </c>
      <c r="Q1617" s="12">
        <v>34</v>
      </c>
      <c r="R1617" s="12">
        <v>35</v>
      </c>
    </row>
    <row r="1618" spans="1:18" ht="17" customHeight="1" x14ac:dyDescent="0.15">
      <c r="A1618" s="8" t="s">
        <v>8594</v>
      </c>
      <c r="B1618" s="9" t="s">
        <v>8595</v>
      </c>
      <c r="C1618" s="8" t="s">
        <v>8596</v>
      </c>
      <c r="D1618" s="8" t="s">
        <v>8596</v>
      </c>
      <c r="E1618" s="8" t="s">
        <v>8597</v>
      </c>
      <c r="F1618" s="8" t="s">
        <v>8581</v>
      </c>
      <c r="G1618" s="8" t="s">
        <v>8598</v>
      </c>
      <c r="H1618" s="8" t="s">
        <v>8599</v>
      </c>
      <c r="I1618" s="8" t="str">
        <f>HYPERLINK("http://www.confezionizingales.it/","www.confezionizingales.it")</f>
        <v>www.confezionizingales.it</v>
      </c>
      <c r="J1618" s="10">
        <v>3444.096</v>
      </c>
      <c r="K1618" s="10">
        <v>3444.096</v>
      </c>
      <c r="L1618" s="10">
        <v>3441.8420000000001</v>
      </c>
      <c r="M1618" s="10">
        <v>441.93599999999998</v>
      </c>
      <c r="N1618" s="10">
        <v>441.93599999999998</v>
      </c>
      <c r="O1618" s="10">
        <v>141.05799999999999</v>
      </c>
      <c r="P1618" s="15" t="s">
        <v>8541</v>
      </c>
      <c r="Q1618" s="15" t="s">
        <v>8541</v>
      </c>
      <c r="R1618" s="10">
        <v>58</v>
      </c>
    </row>
    <row r="1619" spans="1:18" ht="17" customHeight="1" x14ac:dyDescent="0.15">
      <c r="A1619" s="11" t="s">
        <v>8600</v>
      </c>
      <c r="B1619" s="1" t="s">
        <v>8601</v>
      </c>
      <c r="C1619" s="11" t="s">
        <v>8602</v>
      </c>
      <c r="D1619" s="11" t="s">
        <v>8602</v>
      </c>
      <c r="E1619" s="11" t="s">
        <v>8603</v>
      </c>
      <c r="F1619" s="11" t="s">
        <v>8494</v>
      </c>
      <c r="G1619" s="11" t="s">
        <v>8604</v>
      </c>
      <c r="H1619" s="11" t="s">
        <v>8496</v>
      </c>
      <c r="I1619" s="11" t="str">
        <f>HYPERLINK("http://www.conceriabello.it/","www.conceriabello.it")</f>
        <v>www.conceriabello.it</v>
      </c>
      <c r="J1619" s="12">
        <v>3285.6019999999999</v>
      </c>
      <c r="K1619" s="12">
        <v>3285.6019999999999</v>
      </c>
      <c r="L1619" s="13">
        <v>3441.0169999999998</v>
      </c>
      <c r="M1619" s="12">
        <v>24.283000000000001</v>
      </c>
      <c r="N1619" s="12">
        <v>24.283000000000001</v>
      </c>
      <c r="O1619" s="12">
        <v>10.538</v>
      </c>
      <c r="P1619" s="12">
        <v>14</v>
      </c>
      <c r="Q1619" s="12">
        <v>14</v>
      </c>
      <c r="R1619" s="12">
        <v>15</v>
      </c>
    </row>
    <row r="1620" spans="1:18" ht="29.5" customHeight="1" x14ac:dyDescent="0.15">
      <c r="A1620" s="8" t="s">
        <v>8605</v>
      </c>
      <c r="B1620" s="9" t="s">
        <v>8606</v>
      </c>
      <c r="C1620" s="8" t="s">
        <v>8607</v>
      </c>
      <c r="D1620" s="8" t="s">
        <v>8607</v>
      </c>
      <c r="E1620" s="8" t="s">
        <v>8608</v>
      </c>
      <c r="F1620" s="8" t="s">
        <v>8502</v>
      </c>
      <c r="G1620" s="8" t="s">
        <v>8609</v>
      </c>
      <c r="H1620" s="8" t="s">
        <v>8529</v>
      </c>
      <c r="I1620" s="8" t="str">
        <f>HYPERLINK("http://feelingmode.it/","feelingmode.it")</f>
        <v>feelingmode.it</v>
      </c>
      <c r="J1620" s="10">
        <v>3567.2240000000002</v>
      </c>
      <c r="K1620" s="10">
        <v>3567.2240000000002</v>
      </c>
      <c r="L1620" s="10">
        <v>3440.433</v>
      </c>
      <c r="M1620" s="10">
        <v>98.2</v>
      </c>
      <c r="N1620" s="10">
        <v>98.2</v>
      </c>
      <c r="O1620" s="10">
        <v>96.063000000000002</v>
      </c>
      <c r="P1620" s="15" t="s">
        <v>8541</v>
      </c>
      <c r="Q1620" s="15" t="s">
        <v>8541</v>
      </c>
      <c r="R1620" s="10">
        <v>9</v>
      </c>
    </row>
    <row r="1621" spans="1:18" ht="17" customHeight="1" x14ac:dyDescent="0.15">
      <c r="A1621" s="11" t="s">
        <v>8610</v>
      </c>
      <c r="B1621" s="1" t="s">
        <v>8611</v>
      </c>
      <c r="C1621" s="11" t="s">
        <v>8612</v>
      </c>
      <c r="D1621" s="11" t="s">
        <v>8612</v>
      </c>
      <c r="E1621" s="11" t="s">
        <v>8613</v>
      </c>
      <c r="F1621" s="11" t="s">
        <v>8494</v>
      </c>
      <c r="G1621" s="11" t="s">
        <v>8614</v>
      </c>
      <c r="H1621" s="11" t="s">
        <v>8511</v>
      </c>
      <c r="I1621" s="11" t="str">
        <f>HYPERLINK("http://www.marcatoro.it/","www.marcatoro.it")</f>
        <v>www.marcatoro.it</v>
      </c>
      <c r="J1621" s="12">
        <v>3086.0630000000001</v>
      </c>
      <c r="K1621" s="12">
        <v>3086.0630000000001</v>
      </c>
      <c r="L1621" s="13">
        <v>3439.9650000000001</v>
      </c>
      <c r="M1621" s="12">
        <v>-132.93899999999999</v>
      </c>
      <c r="N1621" s="12">
        <v>-132.93899999999999</v>
      </c>
      <c r="O1621" s="12">
        <v>-3.1139999999999999</v>
      </c>
      <c r="P1621" s="12">
        <v>10</v>
      </c>
      <c r="Q1621" s="12">
        <v>10</v>
      </c>
      <c r="R1621" s="12">
        <v>11</v>
      </c>
    </row>
    <row r="1622" spans="1:18" ht="17" customHeight="1" x14ac:dyDescent="0.15">
      <c r="A1622" s="8" t="s">
        <v>8615</v>
      </c>
      <c r="B1622" s="9" t="s">
        <v>8616</v>
      </c>
      <c r="C1622" s="8" t="s">
        <v>8617</v>
      </c>
      <c r="D1622" s="8" t="s">
        <v>8617</v>
      </c>
      <c r="E1622" s="8" t="s">
        <v>8618</v>
      </c>
      <c r="F1622" s="8" t="s">
        <v>8494</v>
      </c>
      <c r="G1622" s="8" t="s">
        <v>8619</v>
      </c>
      <c r="H1622" s="8" t="s">
        <v>8548</v>
      </c>
      <c r="I1622" s="8" t="str">
        <f>HYPERLINK("http://www.ducapellami.com/","www.ducapellami.com")</f>
        <v>www.ducapellami.com</v>
      </c>
      <c r="J1622" s="10">
        <v>3193.2579999999998</v>
      </c>
      <c r="K1622" s="10">
        <v>3193.2579999999998</v>
      </c>
      <c r="L1622" s="10">
        <v>3435.1610000000001</v>
      </c>
      <c r="M1622" s="10">
        <v>23.541</v>
      </c>
      <c r="N1622" s="10">
        <v>23.541</v>
      </c>
      <c r="O1622" s="10">
        <v>7.3959999999999999</v>
      </c>
      <c r="P1622" s="10">
        <v>52</v>
      </c>
      <c r="Q1622" s="10">
        <v>52</v>
      </c>
      <c r="R1622" s="10">
        <v>55</v>
      </c>
    </row>
    <row r="1623" spans="1:18" ht="17" customHeight="1" x14ac:dyDescent="0.15">
      <c r="A1623" s="11" t="s">
        <v>8620</v>
      </c>
      <c r="B1623" s="1" t="s">
        <v>8621</v>
      </c>
      <c r="C1623" s="11" t="s">
        <v>8622</v>
      </c>
      <c r="D1623" s="11" t="s">
        <v>8622</v>
      </c>
      <c r="E1623" s="11" t="s">
        <v>8623</v>
      </c>
      <c r="F1623" s="11" t="s">
        <v>8494</v>
      </c>
      <c r="G1623" s="11" t="s">
        <v>8614</v>
      </c>
      <c r="H1623" s="11" t="s">
        <v>8511</v>
      </c>
      <c r="I1623" s="11" t="str">
        <f>HYPERLINK("http://mpesrl.net/","mpesrl.net")</f>
        <v>mpesrl.net</v>
      </c>
      <c r="J1623" s="12">
        <v>2505.837</v>
      </c>
      <c r="K1623" s="12">
        <v>2505.837</v>
      </c>
      <c r="L1623" s="13">
        <v>3428.0509999999999</v>
      </c>
      <c r="M1623" s="12">
        <v>241.34</v>
      </c>
      <c r="N1623" s="12">
        <v>241.34</v>
      </c>
      <c r="O1623" s="12">
        <v>330.69299999999998</v>
      </c>
      <c r="P1623" s="12">
        <v>14</v>
      </c>
      <c r="Q1623" s="12">
        <v>14</v>
      </c>
      <c r="R1623" s="12">
        <v>14</v>
      </c>
    </row>
    <row r="1624" spans="1:18" ht="17" customHeight="1" x14ac:dyDescent="0.15">
      <c r="A1624" s="8" t="s">
        <v>8624</v>
      </c>
      <c r="B1624" s="9" t="s">
        <v>8625</v>
      </c>
      <c r="C1624" s="8" t="s">
        <v>8626</v>
      </c>
      <c r="D1624" s="8" t="s">
        <v>8626</v>
      </c>
      <c r="E1624" s="8" t="s">
        <v>8627</v>
      </c>
      <c r="F1624" s="8" t="s">
        <v>8502</v>
      </c>
      <c r="G1624" s="8" t="s">
        <v>8628</v>
      </c>
      <c r="H1624" s="8" t="s">
        <v>8523</v>
      </c>
      <c r="I1624" s="8" t="str">
        <f>HYPERLINK("http://www.lemar.it/","www.lemar.it")</f>
        <v>www.lemar.it</v>
      </c>
      <c r="J1624" s="10">
        <v>3606.1509999999998</v>
      </c>
      <c r="K1624" s="10">
        <v>3606.1509999999998</v>
      </c>
      <c r="L1624" s="10">
        <v>3426.569</v>
      </c>
      <c r="M1624" s="10">
        <v>119.018</v>
      </c>
      <c r="N1624" s="10">
        <v>119.018</v>
      </c>
      <c r="O1624" s="10">
        <v>96.391000000000005</v>
      </c>
      <c r="P1624" s="10">
        <v>12</v>
      </c>
      <c r="Q1624" s="10">
        <v>12</v>
      </c>
      <c r="R1624" s="10">
        <v>14</v>
      </c>
    </row>
    <row r="1625" spans="1:18" ht="17" customHeight="1" x14ac:dyDescent="0.15">
      <c r="A1625" s="11" t="s">
        <v>8629</v>
      </c>
      <c r="B1625" s="1" t="s">
        <v>8630</v>
      </c>
      <c r="C1625" s="11" t="s">
        <v>8631</v>
      </c>
      <c r="D1625" s="11" t="s">
        <v>8631</v>
      </c>
      <c r="E1625" s="11" t="s">
        <v>8632</v>
      </c>
      <c r="F1625" s="11" t="s">
        <v>8633</v>
      </c>
      <c r="G1625" s="11" t="s">
        <v>8634</v>
      </c>
      <c r="H1625" s="11" t="s">
        <v>8511</v>
      </c>
      <c r="I1625" s="11" t="str">
        <f>HYPERLINK("http://www.maglificioeureka.it/","www.maglificioeureka.it")</f>
        <v>www.maglificioeureka.it</v>
      </c>
      <c r="J1625" s="12">
        <v>2635.944</v>
      </c>
      <c r="K1625" s="12">
        <v>3963.625</v>
      </c>
      <c r="L1625" s="13">
        <v>3423.7930000000001</v>
      </c>
      <c r="M1625" s="12">
        <v>60.581000000000003</v>
      </c>
      <c r="N1625" s="12">
        <v>7.726</v>
      </c>
      <c r="O1625" s="12">
        <v>20.675999999999998</v>
      </c>
      <c r="P1625" s="12">
        <v>25</v>
      </c>
      <c r="Q1625" s="12">
        <v>25</v>
      </c>
      <c r="R1625" s="12">
        <v>24</v>
      </c>
    </row>
    <row r="1626" spans="1:18" ht="17" customHeight="1" x14ac:dyDescent="0.15">
      <c r="A1626" s="8" t="s">
        <v>8635</v>
      </c>
      <c r="B1626" s="9" t="s">
        <v>8636</v>
      </c>
      <c r="C1626" s="8" t="s">
        <v>8637</v>
      </c>
      <c r="D1626" s="8" t="s">
        <v>8637</v>
      </c>
      <c r="E1626" s="8" t="s">
        <v>8638</v>
      </c>
      <c r="F1626" s="8" t="s">
        <v>8560</v>
      </c>
      <c r="G1626" s="8" t="s">
        <v>8510</v>
      </c>
      <c r="H1626" s="8" t="s">
        <v>8511</v>
      </c>
      <c r="I1626" s="8" t="str">
        <f>HYPERLINK("http://www.galletti-pelletterie.it/","www.galletti-pelletterie.it")</f>
        <v>www.galletti-pelletterie.it</v>
      </c>
      <c r="J1626" s="10">
        <v>3672.7950000000001</v>
      </c>
      <c r="K1626" s="10">
        <v>3672.7950000000001</v>
      </c>
      <c r="L1626" s="10">
        <v>3418.4</v>
      </c>
      <c r="M1626" s="10">
        <v>205.99199999999999</v>
      </c>
      <c r="N1626" s="10">
        <v>205.99199999999999</v>
      </c>
      <c r="O1626" s="10">
        <v>-163.864</v>
      </c>
      <c r="P1626" s="10">
        <v>32</v>
      </c>
      <c r="Q1626" s="10">
        <v>32</v>
      </c>
      <c r="R1626" s="10">
        <v>36</v>
      </c>
    </row>
    <row r="1627" spans="1:18" ht="17" customHeight="1" x14ac:dyDescent="0.15">
      <c r="A1627" s="11" t="s">
        <v>8639</v>
      </c>
      <c r="B1627" s="1" t="s">
        <v>8640</v>
      </c>
      <c r="C1627" s="11" t="s">
        <v>8641</v>
      </c>
      <c r="D1627" s="11" t="s">
        <v>8641</v>
      </c>
      <c r="E1627" s="11" t="s">
        <v>8642</v>
      </c>
      <c r="F1627" s="11" t="s">
        <v>8643</v>
      </c>
      <c r="G1627" s="11" t="s">
        <v>8576</v>
      </c>
      <c r="H1627" s="11" t="s">
        <v>8555</v>
      </c>
      <c r="I1627" s="11" t="str">
        <f>HYPERLINK("http://tickets.belvedere.at/","tickets.belvedere.at")</f>
        <v>tickets.belvedere.at</v>
      </c>
      <c r="J1627" s="12">
        <v>3455.4119999999998</v>
      </c>
      <c r="K1627" s="12">
        <v>3455.4119999999998</v>
      </c>
      <c r="L1627" s="13">
        <v>3413.1370000000002</v>
      </c>
      <c r="M1627" s="12">
        <v>74.962000000000003</v>
      </c>
      <c r="N1627" s="12">
        <v>74.962000000000003</v>
      </c>
      <c r="O1627" s="12">
        <v>105.526</v>
      </c>
      <c r="P1627" s="14" t="s">
        <v>8541</v>
      </c>
      <c r="Q1627" s="14" t="s">
        <v>8541</v>
      </c>
      <c r="R1627" s="12">
        <v>94</v>
      </c>
    </row>
    <row r="1628" spans="1:18" ht="29.5" customHeight="1" x14ac:dyDescent="0.15">
      <c r="A1628" s="8" t="s">
        <v>8644</v>
      </c>
      <c r="B1628" s="9" t="s">
        <v>8645</v>
      </c>
      <c r="C1628" s="8" t="s">
        <v>8646</v>
      </c>
      <c r="D1628" s="8" t="s">
        <v>8646</v>
      </c>
      <c r="E1628" s="8" t="s">
        <v>8647</v>
      </c>
      <c r="F1628" s="8" t="s">
        <v>8494</v>
      </c>
      <c r="G1628" s="8" t="s">
        <v>8614</v>
      </c>
      <c r="H1628" s="8" t="s">
        <v>8511</v>
      </c>
      <c r="I1628" s="8" t="str">
        <f>HYPERLINK("http://www.stiratricemc.com/","www.stiratricemc.com")</f>
        <v>www.stiratricemc.com</v>
      </c>
      <c r="J1628" s="10">
        <v>3164.3069999999998</v>
      </c>
      <c r="K1628" s="10">
        <v>3164.3069999999998</v>
      </c>
      <c r="L1628" s="10">
        <v>3412.3989999999999</v>
      </c>
      <c r="M1628" s="10">
        <v>37.383000000000003</v>
      </c>
      <c r="N1628" s="10">
        <v>37.383000000000003</v>
      </c>
      <c r="O1628" s="10">
        <v>11.486000000000001</v>
      </c>
      <c r="P1628" s="10">
        <v>28</v>
      </c>
      <c r="Q1628" s="10">
        <v>28</v>
      </c>
      <c r="R1628" s="10">
        <v>26</v>
      </c>
    </row>
    <row r="1629" spans="1:18" ht="17" customHeight="1" x14ac:dyDescent="0.15">
      <c r="A1629" s="11" t="s">
        <v>8648</v>
      </c>
      <c r="B1629" s="1" t="s">
        <v>8649</v>
      </c>
      <c r="C1629" s="11" t="s">
        <v>8650</v>
      </c>
      <c r="D1629" s="11" t="s">
        <v>8650</v>
      </c>
      <c r="E1629" s="11" t="s">
        <v>8651</v>
      </c>
      <c r="F1629" s="11" t="s">
        <v>8560</v>
      </c>
      <c r="G1629" s="11" t="s">
        <v>8510</v>
      </c>
      <c r="H1629" s="11" t="s">
        <v>8511</v>
      </c>
      <c r="I1629" s="11" t="str">
        <f>HYPERLINK("http://www.maisongabriel.it/","www.maisongabriel.it")</f>
        <v>www.maisongabriel.it</v>
      </c>
      <c r="J1629" s="12">
        <v>4514.7150000000001</v>
      </c>
      <c r="K1629" s="12">
        <v>4514.7150000000001</v>
      </c>
      <c r="L1629" s="13">
        <v>3409.768</v>
      </c>
      <c r="M1629" s="12">
        <v>445.88299999999998</v>
      </c>
      <c r="N1629" s="12">
        <v>445.88299999999998</v>
      </c>
      <c r="O1629" s="12">
        <v>225.00399999999999</v>
      </c>
      <c r="P1629" s="12">
        <v>29</v>
      </c>
      <c r="Q1629" s="12">
        <v>29</v>
      </c>
      <c r="R1629" s="12">
        <v>23</v>
      </c>
    </row>
    <row r="1630" spans="1:18" ht="17" customHeight="1" x14ac:dyDescent="0.15">
      <c r="A1630" s="8" t="s">
        <v>8652</v>
      </c>
      <c r="B1630" s="9" t="s">
        <v>8653</v>
      </c>
      <c r="C1630" s="8" t="s">
        <v>8654</v>
      </c>
      <c r="D1630" s="8" t="s">
        <v>8654</v>
      </c>
      <c r="E1630" s="8" t="s">
        <v>8655</v>
      </c>
      <c r="F1630" s="8" t="s">
        <v>8656</v>
      </c>
      <c r="G1630" s="8" t="s">
        <v>8657</v>
      </c>
      <c r="H1630" s="8" t="s">
        <v>8658</v>
      </c>
      <c r="I1630" s="8" t="str">
        <f>HYPERLINK("http://www.daldosso.com/","www.daldosso.com")</f>
        <v>www.daldosso.com</v>
      </c>
      <c r="J1630" s="10">
        <v>3846.3850000000002</v>
      </c>
      <c r="K1630" s="10">
        <v>3846.3850000000002</v>
      </c>
      <c r="L1630" s="10">
        <v>3400.66</v>
      </c>
      <c r="M1630" s="10">
        <v>207.60499999999999</v>
      </c>
      <c r="N1630" s="10">
        <v>207.60499999999999</v>
      </c>
      <c r="O1630" s="10">
        <v>186.03899999999999</v>
      </c>
      <c r="P1630" s="10">
        <v>18</v>
      </c>
      <c r="Q1630" s="10">
        <v>18</v>
      </c>
      <c r="R1630" s="10">
        <v>18</v>
      </c>
    </row>
    <row r="1631" spans="1:18" ht="17" customHeight="1" x14ac:dyDescent="0.15">
      <c r="A1631" s="11" t="s">
        <v>8659</v>
      </c>
      <c r="B1631" s="1" t="s">
        <v>8660</v>
      </c>
      <c r="C1631" s="11" t="s">
        <v>8661</v>
      </c>
      <c r="D1631" s="11" t="s">
        <v>8661</v>
      </c>
      <c r="E1631" s="11" t="s">
        <v>8662</v>
      </c>
      <c r="F1631" s="11" t="s">
        <v>8643</v>
      </c>
      <c r="G1631" s="11" t="s">
        <v>8663</v>
      </c>
      <c r="H1631" s="11" t="s">
        <v>8664</v>
      </c>
      <c r="I1631" s="11" t="str">
        <f>HYPERLINK("http://www.nolabclothing.com/","www.nolabclothing.com")</f>
        <v>www.nolabclothing.com</v>
      </c>
      <c r="J1631" s="12">
        <v>3705.89</v>
      </c>
      <c r="K1631" s="12">
        <v>3705.89</v>
      </c>
      <c r="L1631" s="13">
        <v>3393.991</v>
      </c>
      <c r="M1631" s="12">
        <v>12.755000000000001</v>
      </c>
      <c r="N1631" s="12">
        <v>12.755000000000001</v>
      </c>
      <c r="O1631" s="12">
        <v>33.128999999999998</v>
      </c>
      <c r="P1631" s="12">
        <v>7</v>
      </c>
      <c r="Q1631" s="12">
        <v>7</v>
      </c>
      <c r="R1631" s="12">
        <v>9</v>
      </c>
    </row>
    <row r="1632" spans="1:18" ht="17" customHeight="1" x14ac:dyDescent="0.15">
      <c r="A1632" s="8" t="s">
        <v>8665</v>
      </c>
      <c r="B1632" s="9" t="s">
        <v>8666</v>
      </c>
      <c r="C1632" s="8" t="s">
        <v>8667</v>
      </c>
      <c r="D1632" s="8" t="s">
        <v>8667</v>
      </c>
      <c r="E1632" s="8" t="s">
        <v>8668</v>
      </c>
      <c r="F1632" s="8" t="s">
        <v>8643</v>
      </c>
      <c r="G1632" s="8" t="s">
        <v>8669</v>
      </c>
      <c r="H1632" s="8" t="s">
        <v>8588</v>
      </c>
      <c r="I1632" s="8" t="str">
        <f>HYPERLINK("http://bighet.it/","bighet.it")</f>
        <v>bighet.it</v>
      </c>
      <c r="J1632" s="10">
        <v>3224.1819999999998</v>
      </c>
      <c r="K1632" s="10">
        <v>3224.1819999999998</v>
      </c>
      <c r="L1632" s="10">
        <v>3392.95</v>
      </c>
      <c r="M1632" s="10">
        <v>40.232999999999997</v>
      </c>
      <c r="N1632" s="10">
        <v>40.232999999999997</v>
      </c>
      <c r="O1632" s="10">
        <v>51.575000000000003</v>
      </c>
      <c r="P1632" s="10">
        <v>6</v>
      </c>
      <c r="Q1632" s="10">
        <v>6</v>
      </c>
      <c r="R1632" s="10">
        <v>7</v>
      </c>
    </row>
    <row r="1633" spans="1:18" ht="17" customHeight="1" x14ac:dyDescent="0.15">
      <c r="A1633" s="11" t="s">
        <v>8670</v>
      </c>
      <c r="B1633" s="1" t="s">
        <v>8671</v>
      </c>
      <c r="C1633" s="11" t="s">
        <v>8672</v>
      </c>
      <c r="D1633" s="11" t="s">
        <v>8672</v>
      </c>
      <c r="E1633" s="11" t="s">
        <v>8673</v>
      </c>
      <c r="F1633" s="11" t="s">
        <v>8674</v>
      </c>
      <c r="G1633" s="11" t="s">
        <v>8675</v>
      </c>
      <c r="H1633" s="11" t="s">
        <v>8676</v>
      </c>
      <c r="I1633" s="11" t="str">
        <f>HYPERLINK("http://www.atlantefinish.it/","www.atlantefinish.it")</f>
        <v>www.atlantefinish.it</v>
      </c>
      <c r="J1633" s="12">
        <v>3662.2860000000001</v>
      </c>
      <c r="K1633" s="12">
        <v>3662.2860000000001</v>
      </c>
      <c r="L1633" s="13">
        <v>3391.8620000000001</v>
      </c>
      <c r="M1633" s="12">
        <v>460</v>
      </c>
      <c r="N1633" s="12">
        <v>460</v>
      </c>
      <c r="O1633" s="12">
        <v>160.596</v>
      </c>
      <c r="P1633" s="12">
        <v>20</v>
      </c>
      <c r="Q1633" s="12">
        <v>20</v>
      </c>
      <c r="R1633" s="12">
        <v>18</v>
      </c>
    </row>
    <row r="1634" spans="1:18" ht="17" customHeight="1" x14ac:dyDescent="0.15">
      <c r="A1634" s="8" t="s">
        <v>8677</v>
      </c>
      <c r="B1634" s="9" t="s">
        <v>8678</v>
      </c>
      <c r="C1634" s="8" t="s">
        <v>8679</v>
      </c>
      <c r="D1634" s="8" t="s">
        <v>8679</v>
      </c>
      <c r="E1634" s="8" t="s">
        <v>8680</v>
      </c>
      <c r="F1634" s="8" t="s">
        <v>8681</v>
      </c>
      <c r="G1634" s="8" t="s">
        <v>8682</v>
      </c>
      <c r="H1634" s="8" t="s">
        <v>8683</v>
      </c>
      <c r="I1634" s="8" t="str">
        <f>HYPERLINK("http://www.superiorsuite.it/","www.superiorsuite.it")</f>
        <v>www.superiorsuite.it</v>
      </c>
      <c r="J1634" s="10">
        <v>3458.5259999999998</v>
      </c>
      <c r="K1634" s="10">
        <v>3458.5259999999998</v>
      </c>
      <c r="L1634" s="10">
        <v>3391.373</v>
      </c>
      <c r="M1634" s="10">
        <v>67.748000000000005</v>
      </c>
      <c r="N1634" s="10">
        <v>67.748000000000005</v>
      </c>
      <c r="O1634" s="10">
        <v>44.197000000000003</v>
      </c>
      <c r="P1634" s="10">
        <v>12</v>
      </c>
      <c r="Q1634" s="10">
        <v>12</v>
      </c>
      <c r="R1634" s="10">
        <v>11</v>
      </c>
    </row>
    <row r="1635" spans="1:18" ht="29.5" customHeight="1" x14ac:dyDescent="0.15">
      <c r="A1635" s="11" t="s">
        <v>8684</v>
      </c>
      <c r="B1635" s="1" t="s">
        <v>8685</v>
      </c>
      <c r="C1635" s="11" t="s">
        <v>8686</v>
      </c>
      <c r="D1635" s="11" t="s">
        <v>8686</v>
      </c>
      <c r="E1635" s="11" t="s">
        <v>8687</v>
      </c>
      <c r="F1635" s="11" t="s">
        <v>8688</v>
      </c>
      <c r="G1635" s="11" t="s">
        <v>8689</v>
      </c>
      <c r="H1635" s="11" t="s">
        <v>8690</v>
      </c>
      <c r="I1635" s="11" t="str">
        <f>HYPERLINK("http://www.keboshoes.it/","www.keboshoes.it")</f>
        <v>www.keboshoes.it</v>
      </c>
      <c r="J1635" s="12">
        <v>3390.107</v>
      </c>
      <c r="K1635" s="14" t="s">
        <v>8691</v>
      </c>
      <c r="L1635" s="13">
        <v>3390.107</v>
      </c>
      <c r="M1635" s="12">
        <v>59.628</v>
      </c>
      <c r="N1635" s="14" t="s">
        <v>8691</v>
      </c>
      <c r="O1635" s="12">
        <v>59.628</v>
      </c>
      <c r="P1635" s="12">
        <v>31</v>
      </c>
      <c r="Q1635" s="14" t="s">
        <v>8691</v>
      </c>
      <c r="R1635" s="12">
        <v>31</v>
      </c>
    </row>
    <row r="1636" spans="1:18" ht="29.5" customHeight="1" x14ac:dyDescent="0.15">
      <c r="A1636" s="8" t="s">
        <v>8692</v>
      </c>
      <c r="B1636" s="9" t="s">
        <v>8693</v>
      </c>
      <c r="C1636" s="8" t="s">
        <v>8694</v>
      </c>
      <c r="D1636" s="8" t="s">
        <v>8694</v>
      </c>
      <c r="E1636" s="8" t="s">
        <v>8695</v>
      </c>
      <c r="F1636" s="8" t="s">
        <v>8688</v>
      </c>
      <c r="G1636" s="8" t="s">
        <v>8696</v>
      </c>
      <c r="H1636" s="8" t="s">
        <v>8697</v>
      </c>
      <c r="I1636" s="8" t="str">
        <f>HYPERLINK("http://www.besneakers.it/","www.besneakers.it")</f>
        <v>www.besneakers.it</v>
      </c>
      <c r="J1636" s="10">
        <v>7825.366</v>
      </c>
      <c r="K1636" s="10">
        <v>4813.7550000000001</v>
      </c>
      <c r="L1636" s="10">
        <v>3389.9769999999999</v>
      </c>
      <c r="M1636" s="10">
        <v>668.08500000000004</v>
      </c>
      <c r="N1636" s="10">
        <v>229.87</v>
      </c>
      <c r="O1636" s="10">
        <v>233.17</v>
      </c>
      <c r="P1636" s="15" t="s">
        <v>8691</v>
      </c>
      <c r="Q1636" s="10">
        <v>31</v>
      </c>
      <c r="R1636" s="10">
        <v>17</v>
      </c>
    </row>
    <row r="1637" spans="1:18" ht="17" customHeight="1" x14ac:dyDescent="0.15">
      <c r="A1637" s="11" t="s">
        <v>8698</v>
      </c>
      <c r="B1637" s="1" t="s">
        <v>8699</v>
      </c>
      <c r="C1637" s="11" t="s">
        <v>8700</v>
      </c>
      <c r="D1637" s="11" t="s">
        <v>8700</v>
      </c>
      <c r="E1637" s="11" t="s">
        <v>8701</v>
      </c>
      <c r="F1637" s="11" t="s">
        <v>8674</v>
      </c>
      <c r="G1637" s="11" t="s">
        <v>8702</v>
      </c>
      <c r="H1637" s="11" t="s">
        <v>8703</v>
      </c>
      <c r="I1637" s="11" t="str">
        <f>HYPERLINK("http://www.esotica.com/","www.esotica.com")</f>
        <v>www.esotica.com</v>
      </c>
      <c r="J1637" s="12">
        <v>3585.8440000000001</v>
      </c>
      <c r="K1637" s="12">
        <v>3585.8440000000001</v>
      </c>
      <c r="L1637" s="13">
        <v>3388.6529999999998</v>
      </c>
      <c r="M1637" s="12">
        <v>-402.50700000000001</v>
      </c>
      <c r="N1637" s="12">
        <v>-402.50700000000001</v>
      </c>
      <c r="O1637" s="12">
        <v>-382.827</v>
      </c>
      <c r="P1637" s="12">
        <v>29</v>
      </c>
      <c r="Q1637" s="12">
        <v>29</v>
      </c>
      <c r="R1637" s="12">
        <v>29</v>
      </c>
    </row>
    <row r="1638" spans="1:18" ht="43" customHeight="1" x14ac:dyDescent="0.15">
      <c r="A1638" s="8" t="s">
        <v>8704</v>
      </c>
      <c r="B1638" s="9" t="s">
        <v>8705</v>
      </c>
      <c r="C1638" s="8" t="s">
        <v>8706</v>
      </c>
      <c r="D1638" s="8" t="s">
        <v>8706</v>
      </c>
      <c r="E1638" s="8" t="s">
        <v>8707</v>
      </c>
      <c r="F1638" s="8" t="s">
        <v>8708</v>
      </c>
      <c r="G1638" s="8" t="s">
        <v>8709</v>
      </c>
      <c r="H1638" s="8" t="s">
        <v>8676</v>
      </c>
      <c r="I1638" s="8" t="str">
        <f>HYPERLINK("http://abcreative.it/","abcreative.it")</f>
        <v>abcreative.it</v>
      </c>
      <c r="J1638" s="10">
        <v>2549.0479999999998</v>
      </c>
      <c r="K1638" s="10">
        <v>2549.0479999999998</v>
      </c>
      <c r="L1638" s="10">
        <v>3384.9319999999998</v>
      </c>
      <c r="M1638" s="10">
        <v>106.238</v>
      </c>
      <c r="N1638" s="10">
        <v>106.238</v>
      </c>
      <c r="O1638" s="10">
        <v>605.20699999999999</v>
      </c>
      <c r="P1638" s="15" t="s">
        <v>8691</v>
      </c>
      <c r="Q1638" s="15" t="s">
        <v>8691</v>
      </c>
      <c r="R1638" s="10">
        <v>11</v>
      </c>
    </row>
    <row r="1639" spans="1:18" ht="17" customHeight="1" x14ac:dyDescent="0.15">
      <c r="A1639" s="11" t="s">
        <v>8710</v>
      </c>
      <c r="B1639" s="1" t="s">
        <v>8711</v>
      </c>
      <c r="C1639" s="11" t="s">
        <v>8712</v>
      </c>
      <c r="D1639" s="11" t="s">
        <v>8712</v>
      </c>
      <c r="E1639" s="11" t="s">
        <v>8713</v>
      </c>
      <c r="F1639" s="11" t="s">
        <v>8688</v>
      </c>
      <c r="G1639" s="11" t="s">
        <v>8714</v>
      </c>
      <c r="H1639" s="11" t="s">
        <v>8715</v>
      </c>
      <c r="I1639" s="11" t="str">
        <f>HYPERLINK("http://www.paciotti.com/","www.paciotti.com")</f>
        <v>www.paciotti.com</v>
      </c>
      <c r="J1639" s="12">
        <v>1960.999</v>
      </c>
      <c r="K1639" s="12">
        <v>1960.999</v>
      </c>
      <c r="L1639" s="13">
        <v>3378.0010000000002</v>
      </c>
      <c r="M1639" s="12">
        <v>-1472.866</v>
      </c>
      <c r="N1639" s="12">
        <v>-1472.866</v>
      </c>
      <c r="O1639" s="12">
        <v>-2014.0709999999999</v>
      </c>
      <c r="P1639" s="12">
        <v>24</v>
      </c>
      <c r="Q1639" s="12">
        <v>24</v>
      </c>
      <c r="R1639" s="12">
        <v>46</v>
      </c>
    </row>
    <row r="1640" spans="1:18" ht="17" customHeight="1" x14ac:dyDescent="0.15">
      <c r="A1640" s="8" t="s">
        <v>8716</v>
      </c>
      <c r="B1640" s="9" t="s">
        <v>8717</v>
      </c>
      <c r="C1640" s="8" t="s">
        <v>8718</v>
      </c>
      <c r="D1640" s="8" t="s">
        <v>8718</v>
      </c>
      <c r="E1640" s="8" t="s">
        <v>8719</v>
      </c>
      <c r="F1640" s="8" t="s">
        <v>8708</v>
      </c>
      <c r="G1640" s="8" t="s">
        <v>8682</v>
      </c>
      <c r="H1640" s="8" t="s">
        <v>8683</v>
      </c>
      <c r="I1640" s="8" t="str">
        <f>HYPERLINK("http://pelletteriedelfino.it/","pelletteriedelfino.it")</f>
        <v>pelletteriedelfino.it</v>
      </c>
      <c r="J1640" s="10">
        <v>3576.6990000000001</v>
      </c>
      <c r="K1640" s="10">
        <v>3576.6990000000001</v>
      </c>
      <c r="L1640" s="10">
        <v>3372.261</v>
      </c>
      <c r="M1640" s="10">
        <v>264.27</v>
      </c>
      <c r="N1640" s="10">
        <v>264.27</v>
      </c>
      <c r="O1640" s="10">
        <v>347.57900000000001</v>
      </c>
      <c r="P1640" s="10">
        <v>19</v>
      </c>
      <c r="Q1640" s="10">
        <v>19</v>
      </c>
      <c r="R1640" s="10">
        <v>26</v>
      </c>
    </row>
    <row r="1641" spans="1:18" ht="17" customHeight="1" x14ac:dyDescent="0.15">
      <c r="A1641" s="11" t="s">
        <v>8720</v>
      </c>
      <c r="B1641" s="1" t="s">
        <v>8721</v>
      </c>
      <c r="C1641" s="11" t="s">
        <v>8722</v>
      </c>
      <c r="D1641" s="11" t="s">
        <v>8722</v>
      </c>
      <c r="E1641" s="11" t="s">
        <v>8723</v>
      </c>
      <c r="F1641" s="11" t="s">
        <v>8674</v>
      </c>
      <c r="G1641" s="11" t="s">
        <v>8675</v>
      </c>
      <c r="H1641" s="11" t="s">
        <v>8676</v>
      </c>
      <c r="I1641" s="11" t="str">
        <f>HYPERLINK("http://www.conceriaondaverde.it/","www.conceriaondaverde.it")</f>
        <v>www.conceriaondaverde.it</v>
      </c>
      <c r="J1641" s="12">
        <v>4479.0129999999999</v>
      </c>
      <c r="K1641" s="12">
        <v>4479.0129999999999</v>
      </c>
      <c r="L1641" s="13">
        <v>3370.6909999999998</v>
      </c>
      <c r="M1641" s="12">
        <v>52.155999999999999</v>
      </c>
      <c r="N1641" s="12">
        <v>52.155999999999999</v>
      </c>
      <c r="O1641" s="12">
        <v>55.470999999999997</v>
      </c>
      <c r="P1641" s="12">
        <v>15</v>
      </c>
      <c r="Q1641" s="12">
        <v>15</v>
      </c>
      <c r="R1641" s="12">
        <v>13</v>
      </c>
    </row>
    <row r="1642" spans="1:18" ht="17" customHeight="1" x14ac:dyDescent="0.15">
      <c r="A1642" s="8" t="s">
        <v>8724</v>
      </c>
      <c r="B1642" s="9" t="s">
        <v>8725</v>
      </c>
      <c r="C1642" s="8" t="s">
        <v>8726</v>
      </c>
      <c r="D1642" s="8" t="s">
        <v>8726</v>
      </c>
      <c r="E1642" s="8" t="s">
        <v>8727</v>
      </c>
      <c r="F1642" s="8" t="s">
        <v>8728</v>
      </c>
      <c r="G1642" s="8" t="s">
        <v>8729</v>
      </c>
      <c r="H1642" s="8" t="s">
        <v>8676</v>
      </c>
      <c r="I1642" s="8" t="str">
        <f>HYPERLINK("http://www.maglificiogio.it/","www.maglificiogio.it")</f>
        <v>www.maglificiogio.it</v>
      </c>
      <c r="J1642" s="10">
        <v>3352.0639999999999</v>
      </c>
      <c r="K1642" s="10">
        <v>3352.0639999999999</v>
      </c>
      <c r="L1642" s="10">
        <v>3363.125</v>
      </c>
      <c r="M1642" s="10">
        <v>11.552</v>
      </c>
      <c r="N1642" s="10">
        <v>11.552</v>
      </c>
      <c r="O1642" s="10">
        <v>23.866</v>
      </c>
      <c r="P1642" s="10">
        <v>6</v>
      </c>
      <c r="Q1642" s="10">
        <v>6</v>
      </c>
      <c r="R1642" s="10">
        <v>6</v>
      </c>
    </row>
    <row r="1643" spans="1:18" ht="29.5" customHeight="1" x14ac:dyDescent="0.15">
      <c r="A1643" s="11" t="s">
        <v>8730</v>
      </c>
      <c r="B1643" s="1" t="s">
        <v>8731</v>
      </c>
      <c r="C1643" s="11" t="s">
        <v>8732</v>
      </c>
      <c r="D1643" s="11" t="s">
        <v>8732</v>
      </c>
      <c r="E1643" s="11" t="s">
        <v>8733</v>
      </c>
      <c r="F1643" s="11" t="s">
        <v>8734</v>
      </c>
      <c r="G1643" s="11" t="s">
        <v>8735</v>
      </c>
      <c r="H1643" s="11" t="s">
        <v>8703</v>
      </c>
      <c r="I1643" s="11" t="str">
        <f>HYPERLINK("http://www.rosti.it/","www.rosti.it")</f>
        <v>www.rosti.it</v>
      </c>
      <c r="J1643" s="12">
        <v>2863.7919999999999</v>
      </c>
      <c r="K1643" s="12">
        <v>2863.7919999999999</v>
      </c>
      <c r="L1643" s="13">
        <v>3361.0650000000001</v>
      </c>
      <c r="M1643" s="12">
        <v>34.701999999999998</v>
      </c>
      <c r="N1643" s="12">
        <v>34.701999999999998</v>
      </c>
      <c r="O1643" s="12">
        <v>52.835000000000001</v>
      </c>
      <c r="P1643" s="12">
        <v>13</v>
      </c>
      <c r="Q1643" s="12">
        <v>13</v>
      </c>
      <c r="R1643" s="12">
        <v>14</v>
      </c>
    </row>
    <row r="1644" spans="1:18" ht="17" customHeight="1" x14ac:dyDescent="0.15">
      <c r="A1644" s="8" t="s">
        <v>8736</v>
      </c>
      <c r="B1644" s="9" t="s">
        <v>8737</v>
      </c>
      <c r="C1644" s="8" t="s">
        <v>8738</v>
      </c>
      <c r="D1644" s="8" t="s">
        <v>8738</v>
      </c>
      <c r="E1644" s="8" t="s">
        <v>8739</v>
      </c>
      <c r="F1644" s="8" t="s">
        <v>8740</v>
      </c>
      <c r="G1644" s="8" t="s">
        <v>8741</v>
      </c>
      <c r="H1644" s="8" t="s">
        <v>8683</v>
      </c>
      <c r="I1644" s="8" t="str">
        <f>HYPERLINK("http://www.kings-service.it/","http://www.kings-service.it")</f>
        <v>http://www.kings-service.it</v>
      </c>
      <c r="J1644" s="10">
        <v>5479.3040000000001</v>
      </c>
      <c r="K1644" s="10">
        <v>5479.3040000000001</v>
      </c>
      <c r="L1644" s="10">
        <v>3353.9050000000002</v>
      </c>
      <c r="M1644" s="10">
        <v>836.33</v>
      </c>
      <c r="N1644" s="10">
        <v>836.33</v>
      </c>
      <c r="O1644" s="10">
        <v>207.03299999999999</v>
      </c>
      <c r="P1644" s="10">
        <v>12</v>
      </c>
      <c r="Q1644" s="10">
        <v>12</v>
      </c>
      <c r="R1644" s="10">
        <v>12</v>
      </c>
    </row>
    <row r="1645" spans="1:18" ht="17" customHeight="1" x14ac:dyDescent="0.15">
      <c r="A1645" s="11" t="s">
        <v>8742</v>
      </c>
      <c r="B1645" s="1" t="s">
        <v>8743</v>
      </c>
      <c r="C1645" s="11" t="s">
        <v>8744</v>
      </c>
      <c r="D1645" s="11" t="s">
        <v>8744</v>
      </c>
      <c r="E1645" s="11" t="s">
        <v>8745</v>
      </c>
      <c r="F1645" s="11" t="s">
        <v>8681</v>
      </c>
      <c r="G1645" s="11" t="s">
        <v>8746</v>
      </c>
      <c r="H1645" s="11" t="s">
        <v>8715</v>
      </c>
      <c r="I1645" s="11" t="str">
        <f>HYPERLINK("http://fr.pmj.it/","fr.pmj.it")</f>
        <v>fr.pmj.it</v>
      </c>
      <c r="J1645" s="12">
        <v>3342.3229999999999</v>
      </c>
      <c r="K1645" s="12">
        <v>3342.3229999999999</v>
      </c>
      <c r="L1645" s="13">
        <v>3351.116</v>
      </c>
      <c r="M1645" s="12">
        <v>149.785</v>
      </c>
      <c r="N1645" s="12">
        <v>149.785</v>
      </c>
      <c r="O1645" s="12">
        <v>197.61199999999999</v>
      </c>
      <c r="P1645" s="14" t="s">
        <v>8691</v>
      </c>
      <c r="Q1645" s="14" t="s">
        <v>8691</v>
      </c>
      <c r="R1645" s="12">
        <v>2</v>
      </c>
    </row>
    <row r="1646" spans="1:18" ht="17" customHeight="1" x14ac:dyDescent="0.15">
      <c r="A1646" s="8" t="s">
        <v>8747</v>
      </c>
      <c r="B1646" s="9" t="s">
        <v>8748</v>
      </c>
      <c r="C1646" s="8" t="s">
        <v>8749</v>
      </c>
      <c r="D1646" s="8" t="s">
        <v>8749</v>
      </c>
      <c r="E1646" s="8" t="s">
        <v>8750</v>
      </c>
      <c r="F1646" s="8" t="s">
        <v>8681</v>
      </c>
      <c r="G1646" s="8" t="s">
        <v>8751</v>
      </c>
      <c r="H1646" s="8" t="s">
        <v>8752</v>
      </c>
      <c r="I1646" s="8" t="str">
        <f>HYPERLINK("http://www.merciitalia.it/","www.merciitalia.it")</f>
        <v>www.merciitalia.it</v>
      </c>
      <c r="J1646" s="10">
        <v>2565.33</v>
      </c>
      <c r="K1646" s="10">
        <v>2565.33</v>
      </c>
      <c r="L1646" s="10">
        <v>3348.1320000000001</v>
      </c>
      <c r="M1646" s="10">
        <v>-185.626</v>
      </c>
      <c r="N1646" s="10">
        <v>-185.626</v>
      </c>
      <c r="O1646" s="10">
        <v>8.4719999999999995</v>
      </c>
      <c r="P1646" s="15" t="s">
        <v>8691</v>
      </c>
      <c r="Q1646" s="15" t="s">
        <v>8691</v>
      </c>
      <c r="R1646" s="10">
        <v>7</v>
      </c>
    </row>
    <row r="1647" spans="1:18" ht="43" customHeight="1" x14ac:dyDescent="0.15">
      <c r="A1647" s="11" t="s">
        <v>8753</v>
      </c>
      <c r="B1647" s="1" t="s">
        <v>8754</v>
      </c>
      <c r="C1647" s="11" t="s">
        <v>8755</v>
      </c>
      <c r="D1647" s="11" t="s">
        <v>8755</v>
      </c>
      <c r="E1647" s="11" t="s">
        <v>8756</v>
      </c>
      <c r="F1647" s="11" t="s">
        <v>8757</v>
      </c>
      <c r="G1647" s="11" t="s">
        <v>8758</v>
      </c>
      <c r="H1647" s="11" t="s">
        <v>8752</v>
      </c>
      <c r="I1647" s="11" t="str">
        <f>HYPERLINK("http://laserteam.it/","laserteam.it")</f>
        <v>laserteam.it</v>
      </c>
      <c r="J1647" s="12">
        <v>3373.8339999999998</v>
      </c>
      <c r="K1647" s="12">
        <v>3373.8339999999998</v>
      </c>
      <c r="L1647" s="13">
        <v>3343.8240000000001</v>
      </c>
      <c r="M1647" s="12">
        <v>236.47200000000001</v>
      </c>
      <c r="N1647" s="12">
        <v>236.47200000000001</v>
      </c>
      <c r="O1647" s="12">
        <v>349.47399999999999</v>
      </c>
      <c r="P1647" s="12">
        <v>34</v>
      </c>
      <c r="Q1647" s="12">
        <v>34</v>
      </c>
      <c r="R1647" s="12">
        <v>31</v>
      </c>
    </row>
    <row r="1648" spans="1:18" ht="55.75" customHeight="1" x14ac:dyDescent="0.15">
      <c r="A1648" s="8" t="s">
        <v>8759</v>
      </c>
      <c r="B1648" s="9" t="s">
        <v>8760</v>
      </c>
      <c r="C1648" s="8" t="s">
        <v>8761</v>
      </c>
      <c r="D1648" s="8" t="s">
        <v>8761</v>
      </c>
      <c r="E1648" s="8" t="s">
        <v>8762</v>
      </c>
      <c r="F1648" s="8" t="s">
        <v>8681</v>
      </c>
      <c r="G1648" s="8" t="s">
        <v>8729</v>
      </c>
      <c r="H1648" s="8" t="s">
        <v>8676</v>
      </c>
      <c r="I1648" s="8" t="str">
        <f>HYPERLINK("http://www.queenfashionsrl.com/","www.queenfashionsrl.com")</f>
        <v>www.queenfashionsrl.com</v>
      </c>
      <c r="J1648" s="10">
        <v>3079.5360000000001</v>
      </c>
      <c r="K1648" s="10">
        <v>3079.5360000000001</v>
      </c>
      <c r="L1648" s="10">
        <v>3338.7559999999999</v>
      </c>
      <c r="M1648" s="10">
        <v>25.513000000000002</v>
      </c>
      <c r="N1648" s="10">
        <v>25.513000000000002</v>
      </c>
      <c r="O1648" s="10">
        <v>60.435000000000002</v>
      </c>
      <c r="P1648" s="10">
        <v>7</v>
      </c>
      <c r="Q1648" s="10">
        <v>7</v>
      </c>
      <c r="R1648" s="10">
        <v>6</v>
      </c>
    </row>
    <row r="1649" spans="1:18" ht="17" customHeight="1" x14ac:dyDescent="0.15">
      <c r="A1649" s="11" t="s">
        <v>8763</v>
      </c>
      <c r="B1649" s="1" t="s">
        <v>8764</v>
      </c>
      <c r="C1649" s="11" t="s">
        <v>8765</v>
      </c>
      <c r="D1649" s="11" t="s">
        <v>8765</v>
      </c>
      <c r="E1649" s="11" t="s">
        <v>8766</v>
      </c>
      <c r="F1649" s="11" t="s">
        <v>8728</v>
      </c>
      <c r="G1649" s="11" t="s">
        <v>8767</v>
      </c>
      <c r="H1649" s="11" t="s">
        <v>8768</v>
      </c>
      <c r="I1649" s="11" t="str">
        <f>HYPERLINK("http://www.artexbiella.it/","www.artexbiella.it")</f>
        <v>www.artexbiella.it</v>
      </c>
      <c r="J1649" s="12">
        <v>3895.5920000000001</v>
      </c>
      <c r="K1649" s="12">
        <v>3895.5920000000001</v>
      </c>
      <c r="L1649" s="13">
        <v>3335.7669999999998</v>
      </c>
      <c r="M1649" s="12">
        <v>578.77499999999998</v>
      </c>
      <c r="N1649" s="12">
        <v>578.77499999999998</v>
      </c>
      <c r="O1649" s="12">
        <v>519.49099999999999</v>
      </c>
      <c r="P1649" s="12">
        <v>20</v>
      </c>
      <c r="Q1649" s="12">
        <v>20</v>
      </c>
      <c r="R1649" s="12">
        <v>17</v>
      </c>
    </row>
    <row r="1650" spans="1:18" ht="17" customHeight="1" x14ac:dyDescent="0.15">
      <c r="A1650" s="8" t="s">
        <v>8769</v>
      </c>
      <c r="B1650" s="9" t="s">
        <v>8770</v>
      </c>
      <c r="C1650" s="8" t="s">
        <v>8771</v>
      </c>
      <c r="D1650" s="8" t="s">
        <v>8771</v>
      </c>
      <c r="E1650" s="8" t="s">
        <v>8772</v>
      </c>
      <c r="F1650" s="8" t="s">
        <v>8773</v>
      </c>
      <c r="G1650" s="8" t="s">
        <v>8741</v>
      </c>
      <c r="H1650" s="8" t="s">
        <v>8683</v>
      </c>
      <c r="I1650" s="8" t="str">
        <f>HYPERLINK("http://www.prandinaeco.com/","www.prandinaeco.com")</f>
        <v>www.prandinaeco.com</v>
      </c>
      <c r="J1650" s="10">
        <v>2889.7890000000002</v>
      </c>
      <c r="K1650" s="10">
        <v>2889.7890000000002</v>
      </c>
      <c r="L1650" s="10">
        <v>3334.7310000000002</v>
      </c>
      <c r="M1650" s="10">
        <v>329.04500000000002</v>
      </c>
      <c r="N1650" s="10">
        <v>329.04500000000002</v>
      </c>
      <c r="O1650" s="10">
        <v>449.45299999999997</v>
      </c>
      <c r="P1650" s="10">
        <v>12</v>
      </c>
      <c r="Q1650" s="10">
        <v>12</v>
      </c>
      <c r="R1650" s="10">
        <v>11</v>
      </c>
    </row>
    <row r="1651" spans="1:18" ht="17" customHeight="1" x14ac:dyDescent="0.15">
      <c r="A1651" s="11" t="s">
        <v>8774</v>
      </c>
      <c r="B1651" s="1" t="s">
        <v>8775</v>
      </c>
      <c r="C1651" s="11" t="s">
        <v>8776</v>
      </c>
      <c r="D1651" s="11" t="s">
        <v>8776</v>
      </c>
      <c r="E1651" s="11" t="s">
        <v>8777</v>
      </c>
      <c r="F1651" s="11" t="s">
        <v>8728</v>
      </c>
      <c r="G1651" s="11" t="s">
        <v>8778</v>
      </c>
      <c r="H1651" s="11" t="s">
        <v>8779</v>
      </c>
      <c r="I1651" s="11" t="str">
        <f>HYPERLINK("http://www.cloudsitalia.it/","www.cloudsitalia.it")</f>
        <v>www.cloudsitalia.it</v>
      </c>
      <c r="J1651" s="12">
        <v>4603.1379999999999</v>
      </c>
      <c r="K1651" s="12">
        <v>4603.1379999999999</v>
      </c>
      <c r="L1651" s="13">
        <v>3327.6970000000001</v>
      </c>
      <c r="M1651" s="12">
        <v>13.329000000000001</v>
      </c>
      <c r="N1651" s="12">
        <v>13.329000000000001</v>
      </c>
      <c r="O1651" s="12">
        <v>-564.149</v>
      </c>
      <c r="P1651" s="14" t="s">
        <v>8691</v>
      </c>
      <c r="Q1651" s="14" t="s">
        <v>8691</v>
      </c>
      <c r="R1651" s="12">
        <v>21</v>
      </c>
    </row>
    <row r="1652" spans="1:18" ht="17" customHeight="1" x14ac:dyDescent="0.15">
      <c r="A1652" s="8" t="s">
        <v>8780</v>
      </c>
      <c r="B1652" s="9" t="s">
        <v>8781</v>
      </c>
      <c r="C1652" s="8" t="s">
        <v>8782</v>
      </c>
      <c r="D1652" s="8" t="s">
        <v>8782</v>
      </c>
      <c r="E1652" s="8" t="s">
        <v>8783</v>
      </c>
      <c r="F1652" s="8" t="s">
        <v>8681</v>
      </c>
      <c r="G1652" s="8" t="s">
        <v>8784</v>
      </c>
      <c r="H1652" s="8" t="s">
        <v>8676</v>
      </c>
      <c r="I1652" s="8" t="str">
        <f>HYPERLINK("http://www.petrarcaconfezioni.it/","www.petrarcaconfezioni.it")</f>
        <v>www.petrarcaconfezioni.it</v>
      </c>
      <c r="J1652" s="10">
        <v>3808.7959999999998</v>
      </c>
      <c r="K1652" s="10">
        <v>3808.7959999999998</v>
      </c>
      <c r="L1652" s="10">
        <v>3326.8139999999999</v>
      </c>
      <c r="M1652" s="10">
        <v>-285.202</v>
      </c>
      <c r="N1652" s="10">
        <v>-285.202</v>
      </c>
      <c r="O1652" s="10">
        <v>-82.468999999999994</v>
      </c>
      <c r="P1652" s="10">
        <v>66</v>
      </c>
      <c r="Q1652" s="10">
        <v>66</v>
      </c>
      <c r="R1652" s="10">
        <v>68</v>
      </c>
    </row>
    <row r="1653" spans="1:18" ht="29.5" customHeight="1" x14ac:dyDescent="0.15">
      <c r="A1653" s="11" t="s">
        <v>8785</v>
      </c>
      <c r="B1653" s="1" t="s">
        <v>8786</v>
      </c>
      <c r="C1653" s="11" t="s">
        <v>8787</v>
      </c>
      <c r="D1653" s="11" t="s">
        <v>8787</v>
      </c>
      <c r="E1653" s="11" t="s">
        <v>8788</v>
      </c>
      <c r="F1653" s="11" t="s">
        <v>8688</v>
      </c>
      <c r="G1653" s="11" t="s">
        <v>8789</v>
      </c>
      <c r="H1653" s="11" t="s">
        <v>8683</v>
      </c>
      <c r="I1653" s="11" t="str">
        <f>HYPERLINK("http://donnacarolina.it/","donnacarolina.it")</f>
        <v>donnacarolina.it</v>
      </c>
      <c r="J1653" s="12">
        <v>2014.52</v>
      </c>
      <c r="K1653" s="12">
        <v>2014.52</v>
      </c>
      <c r="L1653" s="13">
        <v>3319.6410000000001</v>
      </c>
      <c r="M1653" s="12">
        <v>-1712.33</v>
      </c>
      <c r="N1653" s="12">
        <v>-1712.33</v>
      </c>
      <c r="O1653" s="12">
        <v>-470.464</v>
      </c>
      <c r="P1653" s="12">
        <v>10</v>
      </c>
      <c r="Q1653" s="12">
        <v>10</v>
      </c>
      <c r="R1653" s="12">
        <v>12</v>
      </c>
    </row>
    <row r="1654" spans="1:18" ht="17" customHeight="1" x14ac:dyDescent="0.15">
      <c r="A1654" s="8" t="s">
        <v>8790</v>
      </c>
      <c r="B1654" s="9" t="s">
        <v>8791</v>
      </c>
      <c r="C1654" s="8" t="s">
        <v>8792</v>
      </c>
      <c r="D1654" s="8" t="s">
        <v>8792</v>
      </c>
      <c r="E1654" s="8" t="s">
        <v>8793</v>
      </c>
      <c r="F1654" s="8" t="s">
        <v>8674</v>
      </c>
      <c r="G1654" s="8" t="s">
        <v>8675</v>
      </c>
      <c r="H1654" s="8" t="s">
        <v>8676</v>
      </c>
      <c r="I1654" s="8" t="str">
        <f>HYPERLINK("http://www.conceriannarita.it/","www.conceriannarita.it")</f>
        <v>www.conceriannarita.it</v>
      </c>
      <c r="J1654" s="10">
        <v>1166.6179999999999</v>
      </c>
      <c r="K1654" s="10">
        <v>1166.6179999999999</v>
      </c>
      <c r="L1654" s="10">
        <v>3310.547</v>
      </c>
      <c r="M1654" s="10">
        <v>-730.95100000000002</v>
      </c>
      <c r="N1654" s="10">
        <v>-730.95100000000002</v>
      </c>
      <c r="O1654" s="10">
        <v>-1120.153</v>
      </c>
      <c r="P1654" s="15" t="s">
        <v>8691</v>
      </c>
      <c r="Q1654" s="15" t="s">
        <v>8691</v>
      </c>
      <c r="R1654" s="10">
        <v>3</v>
      </c>
    </row>
    <row r="1655" spans="1:18" ht="17" customHeight="1" x14ac:dyDescent="0.15">
      <c r="A1655" s="11" t="s">
        <v>8794</v>
      </c>
      <c r="B1655" s="1" t="s">
        <v>8795</v>
      </c>
      <c r="C1655" s="11" t="s">
        <v>8796</v>
      </c>
      <c r="D1655" s="11" t="s">
        <v>8796</v>
      </c>
      <c r="E1655" s="11" t="s">
        <v>8797</v>
      </c>
      <c r="F1655" s="11" t="s">
        <v>8688</v>
      </c>
      <c r="G1655" s="11" t="s">
        <v>8746</v>
      </c>
      <c r="H1655" s="11" t="s">
        <v>8715</v>
      </c>
      <c r="I1655" s="11" t="str">
        <f>HYPERLINK("http://www.brador.it/","www.brador.it")</f>
        <v>www.brador.it</v>
      </c>
      <c r="J1655" s="12">
        <v>3500.0369999999998</v>
      </c>
      <c r="K1655" s="12">
        <v>3500.0369999999998</v>
      </c>
      <c r="L1655" s="13">
        <v>3309.1129999999998</v>
      </c>
      <c r="M1655" s="12">
        <v>29.821999999999999</v>
      </c>
      <c r="N1655" s="12">
        <v>29.821999999999999</v>
      </c>
      <c r="O1655" s="12">
        <v>70.97</v>
      </c>
      <c r="P1655" s="14" t="s">
        <v>8691</v>
      </c>
      <c r="Q1655" s="14" t="s">
        <v>8691</v>
      </c>
      <c r="R1655" s="12">
        <v>6</v>
      </c>
    </row>
    <row r="1656" spans="1:18" ht="17" customHeight="1" x14ac:dyDescent="0.15">
      <c r="A1656" s="8" t="s">
        <v>8798</v>
      </c>
      <c r="B1656" s="9" t="s">
        <v>8799</v>
      </c>
      <c r="C1656" s="8" t="s">
        <v>8800</v>
      </c>
      <c r="D1656" s="8" t="s">
        <v>8800</v>
      </c>
      <c r="E1656" s="8" t="s">
        <v>8801</v>
      </c>
      <c r="F1656" s="8" t="s">
        <v>8740</v>
      </c>
      <c r="G1656" s="8" t="s">
        <v>8802</v>
      </c>
      <c r="H1656" s="8" t="s">
        <v>8676</v>
      </c>
      <c r="I1656" s="8" t="str">
        <f>HYPERLINK("http://www.mirellamatteini.it/","www.mirellamatteini.it")</f>
        <v>www.mirellamatteini.it</v>
      </c>
      <c r="J1656" s="10">
        <v>4385.174</v>
      </c>
      <c r="K1656" s="10">
        <v>4385.174</v>
      </c>
      <c r="L1656" s="10">
        <v>3307.5630000000001</v>
      </c>
      <c r="M1656" s="10">
        <v>48.216000000000001</v>
      </c>
      <c r="N1656" s="10">
        <v>48.216000000000001</v>
      </c>
      <c r="O1656" s="10">
        <v>48.057000000000002</v>
      </c>
      <c r="P1656" s="10">
        <v>14</v>
      </c>
      <c r="Q1656" s="10">
        <v>14</v>
      </c>
      <c r="R1656" s="10">
        <v>15</v>
      </c>
    </row>
    <row r="1657" spans="1:18" ht="17" customHeight="1" x14ac:dyDescent="0.15">
      <c r="A1657" s="11" t="s">
        <v>8803</v>
      </c>
      <c r="B1657" s="1" t="s">
        <v>8804</v>
      </c>
      <c r="C1657" s="11" t="s">
        <v>8805</v>
      </c>
      <c r="D1657" s="11" t="s">
        <v>8805</v>
      </c>
      <c r="E1657" s="11" t="s">
        <v>8806</v>
      </c>
      <c r="F1657" s="11" t="s">
        <v>8681</v>
      </c>
      <c r="G1657" s="11" t="s">
        <v>8751</v>
      </c>
      <c r="H1657" s="11" t="s">
        <v>8752</v>
      </c>
      <c r="I1657" s="11" t="str">
        <f>HYPERLINK("http://www.gilsantuccishop.it/","www.gilsantuccishop.it")</f>
        <v>www.gilsantuccishop.it</v>
      </c>
      <c r="J1657" s="12">
        <v>2691.4340000000002</v>
      </c>
      <c r="K1657" s="12">
        <v>2691.4340000000002</v>
      </c>
      <c r="L1657" s="13">
        <v>3307.393</v>
      </c>
      <c r="M1657" s="12">
        <v>76.725999999999999</v>
      </c>
      <c r="N1657" s="12">
        <v>76.725999999999999</v>
      </c>
      <c r="O1657" s="12">
        <v>172.928</v>
      </c>
      <c r="P1657" s="12">
        <v>5</v>
      </c>
      <c r="Q1657" s="12">
        <v>5</v>
      </c>
      <c r="R1657" s="12">
        <v>5</v>
      </c>
    </row>
    <row r="1658" spans="1:18" ht="17" customHeight="1" x14ac:dyDescent="0.15">
      <c r="A1658" s="8" t="s">
        <v>8807</v>
      </c>
      <c r="B1658" s="9" t="s">
        <v>8808</v>
      </c>
      <c r="C1658" s="8" t="s">
        <v>8809</v>
      </c>
      <c r="D1658" s="8" t="s">
        <v>8809</v>
      </c>
      <c r="E1658" s="8" t="s">
        <v>8810</v>
      </c>
      <c r="F1658" s="8" t="s">
        <v>8708</v>
      </c>
      <c r="G1658" s="8" t="s">
        <v>8709</v>
      </c>
      <c r="H1658" s="8" t="s">
        <v>8676</v>
      </c>
      <c r="I1658" s="8" t="str">
        <f>HYPERLINK("http://www.giorgiolinea.it/","www.giorgiolinea.it")</f>
        <v>www.giorgiolinea.it</v>
      </c>
      <c r="J1658" s="10">
        <v>3146.9830000000002</v>
      </c>
      <c r="K1658" s="10">
        <v>3146.9830000000002</v>
      </c>
      <c r="L1658" s="10">
        <v>3306.1640000000002</v>
      </c>
      <c r="M1658" s="10">
        <v>132.42500000000001</v>
      </c>
      <c r="N1658" s="10">
        <v>132.42500000000001</v>
      </c>
      <c r="O1658" s="10">
        <v>89.75</v>
      </c>
      <c r="P1658" s="15" t="s">
        <v>8691</v>
      </c>
      <c r="Q1658" s="15" t="s">
        <v>8691</v>
      </c>
      <c r="R1658" s="10">
        <v>13</v>
      </c>
    </row>
    <row r="1659" spans="1:18" ht="17" customHeight="1" x14ac:dyDescent="0.15">
      <c r="A1659" s="11" t="s">
        <v>8811</v>
      </c>
      <c r="B1659" s="1" t="s">
        <v>8812</v>
      </c>
      <c r="C1659" s="11" t="s">
        <v>8813</v>
      </c>
      <c r="D1659" s="11" t="s">
        <v>8813</v>
      </c>
      <c r="E1659" s="11" t="s">
        <v>8814</v>
      </c>
      <c r="F1659" s="11" t="s">
        <v>8688</v>
      </c>
      <c r="G1659" s="11" t="s">
        <v>8696</v>
      </c>
      <c r="H1659" s="11" t="s">
        <v>8697</v>
      </c>
      <c r="I1659" s="11" t="str">
        <f>HYPERLINK("http://www.polyflexcalzature.com/","www.polyflexcalzature.com")</f>
        <v>www.polyflexcalzature.com</v>
      </c>
      <c r="J1659" s="12">
        <v>3040.33</v>
      </c>
      <c r="K1659" s="12">
        <v>3040.33</v>
      </c>
      <c r="L1659" s="13">
        <v>3303.038</v>
      </c>
      <c r="M1659" s="12">
        <v>119.67400000000001</v>
      </c>
      <c r="N1659" s="12">
        <v>119.67400000000001</v>
      </c>
      <c r="O1659" s="12">
        <v>102.428</v>
      </c>
      <c r="P1659" s="12">
        <v>13</v>
      </c>
      <c r="Q1659" s="12">
        <v>13</v>
      </c>
      <c r="R1659" s="12">
        <v>13</v>
      </c>
    </row>
    <row r="1660" spans="1:18" ht="17" customHeight="1" x14ac:dyDescent="0.15">
      <c r="A1660" s="8" t="s">
        <v>8815</v>
      </c>
      <c r="B1660" s="9" t="s">
        <v>8816</v>
      </c>
      <c r="C1660" s="8" t="s">
        <v>8817</v>
      </c>
      <c r="D1660" s="8" t="s">
        <v>8817</v>
      </c>
      <c r="E1660" s="8" t="s">
        <v>8818</v>
      </c>
      <c r="F1660" s="8" t="s">
        <v>8819</v>
      </c>
      <c r="G1660" s="8" t="s">
        <v>8820</v>
      </c>
      <c r="H1660" s="8" t="s">
        <v>8703</v>
      </c>
      <c r="I1660" s="8" t="str">
        <f>HYPERLINK("http://www.prisco.it/","www.prisco.it")</f>
        <v>www.prisco.it</v>
      </c>
      <c r="J1660" s="10">
        <v>3049.1390000000001</v>
      </c>
      <c r="K1660" s="10">
        <v>3049.1390000000001</v>
      </c>
      <c r="L1660" s="10">
        <v>3301.9459999999999</v>
      </c>
      <c r="M1660" s="10">
        <v>-206.67099999999999</v>
      </c>
      <c r="N1660" s="10">
        <v>-206.67099999999999</v>
      </c>
      <c r="O1660" s="10">
        <v>-653.46100000000001</v>
      </c>
      <c r="P1660" s="10">
        <v>29</v>
      </c>
      <c r="Q1660" s="10">
        <v>29</v>
      </c>
      <c r="R1660" s="10">
        <v>32</v>
      </c>
    </row>
    <row r="1661" spans="1:18" ht="17" customHeight="1" x14ac:dyDescent="0.15">
      <c r="A1661" s="11" t="s">
        <v>8821</v>
      </c>
      <c r="B1661" s="1" t="s">
        <v>8822</v>
      </c>
      <c r="C1661" s="11" t="s">
        <v>8823</v>
      </c>
      <c r="D1661" s="11" t="s">
        <v>8823</v>
      </c>
      <c r="E1661" s="11" t="s">
        <v>8824</v>
      </c>
      <c r="F1661" s="11" t="s">
        <v>8681</v>
      </c>
      <c r="G1661" s="11" t="s">
        <v>8820</v>
      </c>
      <c r="H1661" s="11" t="s">
        <v>8703</v>
      </c>
      <c r="I1661" s="11" t="str">
        <f>HYPERLINK("http://www.zchabbigliamento.it/","www.zchabbigliamento.it")</f>
        <v>www.zchabbigliamento.it</v>
      </c>
      <c r="J1661" s="12">
        <v>3750.3719999999998</v>
      </c>
      <c r="K1661" s="12">
        <v>3750.3719999999998</v>
      </c>
      <c r="L1661" s="13">
        <v>3295.6309999999999</v>
      </c>
      <c r="M1661" s="12">
        <v>2.0129999999999999</v>
      </c>
      <c r="N1661" s="12">
        <v>2.0129999999999999</v>
      </c>
      <c r="O1661" s="12">
        <v>14.102</v>
      </c>
      <c r="P1661" s="14" t="s">
        <v>8691</v>
      </c>
      <c r="Q1661" s="14" t="s">
        <v>8691</v>
      </c>
      <c r="R1661" s="12">
        <v>37</v>
      </c>
    </row>
    <row r="1662" spans="1:18" ht="17" customHeight="1" x14ac:dyDescent="0.15">
      <c r="A1662" s="8" t="s">
        <v>8825</v>
      </c>
      <c r="B1662" s="9" t="s">
        <v>8826</v>
      </c>
      <c r="C1662" s="8" t="s">
        <v>8827</v>
      </c>
      <c r="D1662" s="8" t="s">
        <v>8827</v>
      </c>
      <c r="E1662" s="8" t="s">
        <v>8828</v>
      </c>
      <c r="F1662" s="8" t="s">
        <v>8829</v>
      </c>
      <c r="G1662" s="8" t="s">
        <v>8830</v>
      </c>
      <c r="H1662" s="8" t="s">
        <v>8683</v>
      </c>
      <c r="I1662" s="8" t="str">
        <f>HYPERLINK("http://www.m3knitwear.it/","www.m3knitwear.it")</f>
        <v>www.m3knitwear.it</v>
      </c>
      <c r="J1662" s="10">
        <v>3572.0520000000001</v>
      </c>
      <c r="K1662" s="10">
        <v>3572.0520000000001</v>
      </c>
      <c r="L1662" s="10">
        <v>3289.5549999999998</v>
      </c>
      <c r="M1662" s="10">
        <v>165.107</v>
      </c>
      <c r="N1662" s="10">
        <v>165.107</v>
      </c>
      <c r="O1662" s="10">
        <v>5.7169999999999996</v>
      </c>
      <c r="P1662" s="10">
        <v>17</v>
      </c>
      <c r="Q1662" s="10">
        <v>17</v>
      </c>
      <c r="R1662" s="10">
        <v>19</v>
      </c>
    </row>
    <row r="1663" spans="1:18" ht="17" customHeight="1" x14ac:dyDescent="0.15">
      <c r="A1663" s="11" t="s">
        <v>8831</v>
      </c>
      <c r="B1663" s="1" t="s">
        <v>8832</v>
      </c>
      <c r="C1663" s="11" t="s">
        <v>8833</v>
      </c>
      <c r="D1663" s="11" t="s">
        <v>8833</v>
      </c>
      <c r="E1663" s="11" t="s">
        <v>8834</v>
      </c>
      <c r="F1663" s="11" t="s">
        <v>8835</v>
      </c>
      <c r="G1663" s="11" t="s">
        <v>8751</v>
      </c>
      <c r="H1663" s="11" t="s">
        <v>8752</v>
      </c>
      <c r="I1663" s="11" t="str">
        <f>HYPERLINK("http://webshop.tezuk.com/","webshop.tezuk.com")</f>
        <v>webshop.tezuk.com</v>
      </c>
      <c r="J1663" s="12">
        <v>3103.7579999999998</v>
      </c>
      <c r="K1663" s="12">
        <v>3103.7579999999998</v>
      </c>
      <c r="L1663" s="13">
        <v>3289.335</v>
      </c>
      <c r="M1663" s="12">
        <v>637.96900000000005</v>
      </c>
      <c r="N1663" s="12">
        <v>637.96900000000005</v>
      </c>
      <c r="O1663" s="12">
        <v>789.47799999999995</v>
      </c>
      <c r="P1663" s="12">
        <v>10</v>
      </c>
      <c r="Q1663" s="12">
        <v>10</v>
      </c>
      <c r="R1663" s="12">
        <v>10</v>
      </c>
    </row>
    <row r="1664" spans="1:18" ht="17" customHeight="1" x14ac:dyDescent="0.15">
      <c r="A1664" s="8" t="s">
        <v>8836</v>
      </c>
      <c r="B1664" s="9" t="s">
        <v>8837</v>
      </c>
      <c r="C1664" s="8" t="s">
        <v>8838</v>
      </c>
      <c r="D1664" s="8" t="s">
        <v>8838</v>
      </c>
      <c r="E1664" s="8" t="s">
        <v>8839</v>
      </c>
      <c r="F1664" s="8" t="s">
        <v>8688</v>
      </c>
      <c r="G1664" s="8" t="s">
        <v>8714</v>
      </c>
      <c r="H1664" s="8" t="s">
        <v>8715</v>
      </c>
      <c r="I1664" s="8" t="str">
        <f>HYPERLINK("http://www.confort.it/","www.confort.it")</f>
        <v>www.confort.it</v>
      </c>
      <c r="J1664" s="10">
        <v>3356.2489999999998</v>
      </c>
      <c r="K1664" s="10">
        <v>3356.2489999999998</v>
      </c>
      <c r="L1664" s="10">
        <v>3286.009</v>
      </c>
      <c r="M1664" s="10">
        <v>22.318999999999999</v>
      </c>
      <c r="N1664" s="10">
        <v>22.318999999999999</v>
      </c>
      <c r="O1664" s="10">
        <v>-504.37200000000001</v>
      </c>
      <c r="P1664" s="10">
        <v>34</v>
      </c>
      <c r="Q1664" s="10">
        <v>34</v>
      </c>
      <c r="R1664" s="10">
        <v>34</v>
      </c>
    </row>
    <row r="1665" spans="1:18" ht="17" customHeight="1" x14ac:dyDescent="0.15">
      <c r="A1665" s="11" t="s">
        <v>8840</v>
      </c>
      <c r="B1665" s="1" t="s">
        <v>8841</v>
      </c>
      <c r="C1665" s="11" t="s">
        <v>8842</v>
      </c>
      <c r="D1665" s="11" t="s">
        <v>8842</v>
      </c>
      <c r="E1665" s="11" t="s">
        <v>8843</v>
      </c>
      <c r="F1665" s="11" t="s">
        <v>8844</v>
      </c>
      <c r="G1665" s="11" t="s">
        <v>8845</v>
      </c>
      <c r="H1665" s="11" t="s">
        <v>8846</v>
      </c>
      <c r="I1665" s="11" t="str">
        <f>HYPERLINK("http://www.marygoldsrl.com/","www.marygoldsrl.com")</f>
        <v>www.marygoldsrl.com</v>
      </c>
      <c r="J1665" s="12">
        <v>4162.0749999999998</v>
      </c>
      <c r="K1665" s="12">
        <v>4162.0749999999998</v>
      </c>
      <c r="L1665" s="13">
        <v>3279.4670000000001</v>
      </c>
      <c r="M1665" s="12">
        <v>39.585000000000001</v>
      </c>
      <c r="N1665" s="12">
        <v>39.585000000000001</v>
      </c>
      <c r="O1665" s="12">
        <v>-155.15799999999999</v>
      </c>
      <c r="P1665" s="12">
        <v>25</v>
      </c>
      <c r="Q1665" s="12">
        <v>25</v>
      </c>
      <c r="R1665" s="12">
        <v>26</v>
      </c>
    </row>
    <row r="1666" spans="1:18" ht="17" customHeight="1" x14ac:dyDescent="0.15">
      <c r="A1666" s="8" t="s">
        <v>8847</v>
      </c>
      <c r="B1666" s="9" t="s">
        <v>8848</v>
      </c>
      <c r="C1666" s="8" t="s">
        <v>8849</v>
      </c>
      <c r="D1666" s="8" t="s">
        <v>8849</v>
      </c>
      <c r="E1666" s="8" t="s">
        <v>8850</v>
      </c>
      <c r="F1666" s="8" t="s">
        <v>8851</v>
      </c>
      <c r="G1666" s="8" t="s">
        <v>8852</v>
      </c>
      <c r="H1666" s="8" t="s">
        <v>8853</v>
      </c>
      <c r="I1666" s="8" t="str">
        <f>HYPERLINK("http://www.crossley.it/","www.crossley.it")</f>
        <v>www.crossley.it</v>
      </c>
      <c r="J1666" s="10">
        <v>3197.1819999999998</v>
      </c>
      <c r="K1666" s="10">
        <v>3197.1819999999998</v>
      </c>
      <c r="L1666" s="10">
        <v>3275.7550000000001</v>
      </c>
      <c r="M1666" s="10">
        <v>29.452999999999999</v>
      </c>
      <c r="N1666" s="10">
        <v>29.452999999999999</v>
      </c>
      <c r="O1666" s="10">
        <v>33.405999999999999</v>
      </c>
      <c r="P1666" s="10">
        <v>10</v>
      </c>
      <c r="Q1666" s="10">
        <v>10</v>
      </c>
      <c r="R1666" s="10">
        <v>10</v>
      </c>
    </row>
    <row r="1667" spans="1:18" ht="17" customHeight="1" x14ac:dyDescent="0.15">
      <c r="A1667" s="11" t="s">
        <v>8854</v>
      </c>
      <c r="B1667" s="1" t="s">
        <v>8855</v>
      </c>
      <c r="C1667" s="11" t="s">
        <v>8856</v>
      </c>
      <c r="D1667" s="11" t="s">
        <v>8856</v>
      </c>
      <c r="E1667" s="11" t="s">
        <v>8857</v>
      </c>
      <c r="F1667" s="11" t="s">
        <v>8858</v>
      </c>
      <c r="G1667" s="11" t="s">
        <v>8859</v>
      </c>
      <c r="H1667" s="11" t="s">
        <v>8860</v>
      </c>
      <c r="I1667" s="11" t="str">
        <f>HYPERLINK("http://hypsbrand.com/","hypsbrand.com")</f>
        <v>hypsbrand.com</v>
      </c>
      <c r="J1667" s="12">
        <v>3989.8110000000001</v>
      </c>
      <c r="K1667" s="12">
        <v>3989.8110000000001</v>
      </c>
      <c r="L1667" s="13">
        <v>3275.1779999999999</v>
      </c>
      <c r="M1667" s="12">
        <v>81.694000000000003</v>
      </c>
      <c r="N1667" s="12">
        <v>81.694000000000003</v>
      </c>
      <c r="O1667" s="12">
        <v>71.319000000000003</v>
      </c>
      <c r="P1667" s="14" t="s">
        <v>8861</v>
      </c>
      <c r="Q1667" s="14" t="s">
        <v>8861</v>
      </c>
      <c r="R1667" s="12">
        <v>5</v>
      </c>
    </row>
    <row r="1668" spans="1:18" ht="17" customHeight="1" x14ac:dyDescent="0.15">
      <c r="A1668" s="8" t="s">
        <v>8862</v>
      </c>
      <c r="B1668" s="9" t="s">
        <v>8863</v>
      </c>
      <c r="C1668" s="8" t="s">
        <v>8864</v>
      </c>
      <c r="D1668" s="8" t="s">
        <v>8864</v>
      </c>
      <c r="E1668" s="8" t="s">
        <v>8865</v>
      </c>
      <c r="F1668" s="8" t="s">
        <v>8866</v>
      </c>
      <c r="G1668" s="8" t="s">
        <v>8867</v>
      </c>
      <c r="H1668" s="8" t="s">
        <v>8846</v>
      </c>
      <c r="I1668" s="8" t="str">
        <f>HYPERLINK("http://www.dankepelletteria.it/","www.dankepelletteria.it")</f>
        <v>www.dankepelletteria.it</v>
      </c>
      <c r="J1668" s="10">
        <v>3145.0329999999999</v>
      </c>
      <c r="K1668" s="10">
        <v>3145.0329999999999</v>
      </c>
      <c r="L1668" s="10">
        <v>3273.002</v>
      </c>
      <c r="M1668" s="10">
        <v>108.25700000000001</v>
      </c>
      <c r="N1668" s="10">
        <v>108.25700000000001</v>
      </c>
      <c r="O1668" s="10">
        <v>56.353000000000002</v>
      </c>
      <c r="P1668" s="10">
        <v>3</v>
      </c>
      <c r="Q1668" s="10">
        <v>3</v>
      </c>
      <c r="R1668" s="10">
        <v>4</v>
      </c>
    </row>
    <row r="1669" spans="1:18" ht="17" customHeight="1" x14ac:dyDescent="0.15">
      <c r="A1669" s="11" t="s">
        <v>8868</v>
      </c>
      <c r="B1669" s="1" t="s">
        <v>8869</v>
      </c>
      <c r="C1669" s="11" t="s">
        <v>8870</v>
      </c>
      <c r="D1669" s="11" t="s">
        <v>8870</v>
      </c>
      <c r="E1669" s="11" t="s">
        <v>8871</v>
      </c>
      <c r="F1669" s="11" t="s">
        <v>8872</v>
      </c>
      <c r="G1669" s="11" t="s">
        <v>8873</v>
      </c>
      <c r="H1669" s="11" t="s">
        <v>8874</v>
      </c>
      <c r="I1669" s="11" t="str">
        <f>HYPERLINK("http://www.zandona.net/","www.zandona.net")</f>
        <v>www.zandona.net</v>
      </c>
      <c r="J1669" s="12">
        <v>2331.0970000000002</v>
      </c>
      <c r="K1669" s="12">
        <v>2331.0970000000002</v>
      </c>
      <c r="L1669" s="13">
        <v>3265.7510000000002</v>
      </c>
      <c r="M1669" s="12">
        <v>1.712</v>
      </c>
      <c r="N1669" s="12">
        <v>1.712</v>
      </c>
      <c r="O1669" s="12">
        <v>268.964</v>
      </c>
      <c r="P1669" s="12">
        <v>9</v>
      </c>
      <c r="Q1669" s="12">
        <v>9</v>
      </c>
      <c r="R1669" s="12">
        <v>10</v>
      </c>
    </row>
    <row r="1670" spans="1:18" ht="17" customHeight="1" x14ac:dyDescent="0.15">
      <c r="A1670" s="8" t="s">
        <v>8875</v>
      </c>
      <c r="B1670" s="9" t="s">
        <v>8876</v>
      </c>
      <c r="C1670" s="8" t="s">
        <v>8877</v>
      </c>
      <c r="D1670" s="8" t="s">
        <v>8878</v>
      </c>
      <c r="E1670" s="8" t="s">
        <v>8879</v>
      </c>
      <c r="F1670" s="8" t="s">
        <v>8880</v>
      </c>
      <c r="G1670" s="8" t="s">
        <v>8881</v>
      </c>
      <c r="H1670" s="8" t="s">
        <v>8846</v>
      </c>
      <c r="I1670" s="8" t="str">
        <f>HYPERLINK("http://www.moltenicampionari.it/","www.moltenicampionari.it/")</f>
        <v>www.moltenicampionari.it/</v>
      </c>
      <c r="J1670" s="10">
        <v>3775.7910000000002</v>
      </c>
      <c r="K1670" s="10">
        <v>3775.7910000000002</v>
      </c>
      <c r="L1670" s="10">
        <v>3265.395</v>
      </c>
      <c r="M1670" s="10">
        <v>88.594999999999999</v>
      </c>
      <c r="N1670" s="10">
        <v>88.594999999999999</v>
      </c>
      <c r="O1670" s="10">
        <v>66.216999999999999</v>
      </c>
      <c r="P1670" s="10">
        <v>25</v>
      </c>
      <c r="Q1670" s="10">
        <v>25</v>
      </c>
      <c r="R1670" s="10">
        <v>21</v>
      </c>
    </row>
    <row r="1671" spans="1:18" ht="17" customHeight="1" x14ac:dyDescent="0.15">
      <c r="A1671" s="11" t="s">
        <v>8882</v>
      </c>
      <c r="B1671" s="1" t="s">
        <v>8883</v>
      </c>
      <c r="C1671" s="11" t="s">
        <v>8884</v>
      </c>
      <c r="D1671" s="11" t="s">
        <v>8884</v>
      </c>
      <c r="E1671" s="11" t="s">
        <v>8885</v>
      </c>
      <c r="F1671" s="11" t="s">
        <v>8886</v>
      </c>
      <c r="G1671" s="11" t="s">
        <v>8887</v>
      </c>
      <c r="H1671" s="11" t="s">
        <v>8888</v>
      </c>
      <c r="I1671" s="11" t="str">
        <f>HYPERLINK("http://www.gegfootwear.it/","www.gegfootwear.it")</f>
        <v>www.gegfootwear.it</v>
      </c>
      <c r="J1671" s="12">
        <v>2781.0680000000002</v>
      </c>
      <c r="K1671" s="12">
        <v>2781.0680000000002</v>
      </c>
      <c r="L1671" s="13">
        <v>3265.23</v>
      </c>
      <c r="M1671" s="12">
        <v>6.3150000000000004</v>
      </c>
      <c r="N1671" s="12">
        <v>6.3150000000000004</v>
      </c>
      <c r="O1671" s="12">
        <v>3.4940000000000002</v>
      </c>
      <c r="P1671" s="14" t="s">
        <v>8861</v>
      </c>
      <c r="Q1671" s="14" t="s">
        <v>8861</v>
      </c>
      <c r="R1671" s="12">
        <v>34</v>
      </c>
    </row>
    <row r="1672" spans="1:18" ht="17" customHeight="1" x14ac:dyDescent="0.15">
      <c r="A1672" s="8" t="s">
        <v>8889</v>
      </c>
      <c r="B1672" s="9" t="s">
        <v>8890</v>
      </c>
      <c r="C1672" s="8" t="s">
        <v>8891</v>
      </c>
      <c r="D1672" s="8" t="s">
        <v>8891</v>
      </c>
      <c r="E1672" s="8" t="s">
        <v>8892</v>
      </c>
      <c r="F1672" s="8" t="s">
        <v>8893</v>
      </c>
      <c r="G1672" s="8" t="s">
        <v>8894</v>
      </c>
      <c r="H1672" s="8" t="s">
        <v>8853</v>
      </c>
      <c r="I1672" s="8" t="str">
        <f>HYPERLINK("http://www.activefurs.it/","www.activefurs.it")</f>
        <v>www.activefurs.it</v>
      </c>
      <c r="J1672" s="10">
        <v>3409.7640000000001</v>
      </c>
      <c r="K1672" s="10">
        <v>3409.7640000000001</v>
      </c>
      <c r="L1672" s="10">
        <v>3248.2060000000001</v>
      </c>
      <c r="M1672" s="10">
        <v>87.522000000000006</v>
      </c>
      <c r="N1672" s="10">
        <v>87.522000000000006</v>
      </c>
      <c r="O1672" s="10">
        <v>-507.24400000000003</v>
      </c>
      <c r="P1672" s="10">
        <v>29</v>
      </c>
      <c r="Q1672" s="10">
        <v>29</v>
      </c>
      <c r="R1672" s="10">
        <v>24</v>
      </c>
    </row>
    <row r="1673" spans="1:18" ht="17" customHeight="1" x14ac:dyDescent="0.15">
      <c r="A1673" s="11" t="s">
        <v>8895</v>
      </c>
      <c r="B1673" s="1" t="s">
        <v>8896</v>
      </c>
      <c r="C1673" s="11" t="s">
        <v>8897</v>
      </c>
      <c r="D1673" s="11" t="s">
        <v>8897</v>
      </c>
      <c r="E1673" s="11" t="s">
        <v>8898</v>
      </c>
      <c r="F1673" s="11" t="s">
        <v>8858</v>
      </c>
      <c r="G1673" s="11" t="s">
        <v>8852</v>
      </c>
      <c r="H1673" s="11" t="s">
        <v>8853</v>
      </c>
      <c r="I1673" s="11" t="str">
        <f>HYPERLINK("http://www.filippocatarzi.it/","www.filippocatarzi.it")</f>
        <v>www.filippocatarzi.it</v>
      </c>
      <c r="J1673" s="12">
        <v>2827.4140000000002</v>
      </c>
      <c r="K1673" s="12">
        <v>2827.4140000000002</v>
      </c>
      <c r="L1673" s="13">
        <v>3245.6030000000001</v>
      </c>
      <c r="M1673" s="12">
        <v>-46.473999999999997</v>
      </c>
      <c r="N1673" s="12">
        <v>-46.473999999999997</v>
      </c>
      <c r="O1673" s="12">
        <v>131.35300000000001</v>
      </c>
      <c r="P1673" s="12">
        <v>19</v>
      </c>
      <c r="Q1673" s="12">
        <v>19</v>
      </c>
      <c r="R1673" s="12">
        <v>16</v>
      </c>
    </row>
    <row r="1674" spans="1:18" ht="17" customHeight="1" x14ac:dyDescent="0.15">
      <c r="A1674" s="8" t="s">
        <v>8899</v>
      </c>
      <c r="B1674" s="9" t="s">
        <v>8900</v>
      </c>
      <c r="C1674" s="8" t="s">
        <v>8901</v>
      </c>
      <c r="D1674" s="8" t="s">
        <v>8901</v>
      </c>
      <c r="E1674" s="8" t="s">
        <v>8902</v>
      </c>
      <c r="F1674" s="8" t="s">
        <v>8880</v>
      </c>
      <c r="G1674" s="8" t="s">
        <v>8903</v>
      </c>
      <c r="H1674" s="8" t="s">
        <v>8904</v>
      </c>
      <c r="I1674" s="8" t="str">
        <f>HYPERLINK("http://www.trabaldogino.it/","www.trabaldogino.it")</f>
        <v>www.trabaldogino.it</v>
      </c>
      <c r="J1674" s="10">
        <v>3177.0210000000002</v>
      </c>
      <c r="K1674" s="10">
        <v>3177.0210000000002</v>
      </c>
      <c r="L1674" s="10">
        <v>3243.9630000000002</v>
      </c>
      <c r="M1674" s="10">
        <v>331.11399999999998</v>
      </c>
      <c r="N1674" s="10">
        <v>331.11399999999998</v>
      </c>
      <c r="O1674" s="10">
        <v>302.84500000000003</v>
      </c>
      <c r="P1674" s="10">
        <v>10</v>
      </c>
      <c r="Q1674" s="10">
        <v>10</v>
      </c>
      <c r="R1674" s="10">
        <v>9</v>
      </c>
    </row>
    <row r="1675" spans="1:18" ht="17" customHeight="1" x14ac:dyDescent="0.15">
      <c r="A1675" s="11" t="s">
        <v>8905</v>
      </c>
      <c r="B1675" s="1" t="s">
        <v>8906</v>
      </c>
      <c r="C1675" s="11" t="s">
        <v>8907</v>
      </c>
      <c r="D1675" s="11" t="s">
        <v>8907</v>
      </c>
      <c r="E1675" s="11" t="s">
        <v>8908</v>
      </c>
      <c r="F1675" s="11" t="s">
        <v>8909</v>
      </c>
      <c r="G1675" s="11" t="s">
        <v>8910</v>
      </c>
      <c r="H1675" s="11" t="s">
        <v>8904</v>
      </c>
      <c r="I1675" s="11" t="str">
        <f>HYPERLINK("http://maglieriasala.it/","maglieriasala.it")</f>
        <v>maglieriasala.it</v>
      </c>
      <c r="J1675" s="12">
        <v>3567.5</v>
      </c>
      <c r="K1675" s="12">
        <v>3567.5</v>
      </c>
      <c r="L1675" s="13">
        <v>3242.547</v>
      </c>
      <c r="M1675" s="12">
        <v>181.35300000000001</v>
      </c>
      <c r="N1675" s="12">
        <v>181.35300000000001</v>
      </c>
      <c r="O1675" s="12">
        <v>192.27199999999999</v>
      </c>
      <c r="P1675" s="12">
        <v>19</v>
      </c>
      <c r="Q1675" s="12">
        <v>19</v>
      </c>
      <c r="R1675" s="12">
        <v>14</v>
      </c>
    </row>
    <row r="1676" spans="1:18" ht="17" customHeight="1" x14ac:dyDescent="0.15">
      <c r="A1676" s="8" t="s">
        <v>8911</v>
      </c>
      <c r="B1676" s="9" t="s">
        <v>8912</v>
      </c>
      <c r="C1676" s="8" t="s">
        <v>8913</v>
      </c>
      <c r="D1676" s="8" t="s">
        <v>8913</v>
      </c>
      <c r="E1676" s="8" t="s">
        <v>8914</v>
      </c>
      <c r="F1676" s="8" t="s">
        <v>8915</v>
      </c>
      <c r="G1676" s="8" t="s">
        <v>8916</v>
      </c>
      <c r="H1676" s="8" t="s">
        <v>8888</v>
      </c>
      <c r="I1676" s="8" t="str">
        <f>HYPERLINK("http://www.spiman.it/","www.spiman.it")</f>
        <v>www.spiman.it</v>
      </c>
      <c r="J1676" s="10">
        <v>3190.4119999999998</v>
      </c>
      <c r="K1676" s="10">
        <v>3190.4119999999998</v>
      </c>
      <c r="L1676" s="10">
        <v>3238.0529999999999</v>
      </c>
      <c r="M1676" s="10">
        <v>-7.468</v>
      </c>
      <c r="N1676" s="10">
        <v>-7.468</v>
      </c>
      <c r="O1676" s="10">
        <v>71.765000000000001</v>
      </c>
      <c r="P1676" s="10">
        <v>14</v>
      </c>
      <c r="Q1676" s="10">
        <v>14</v>
      </c>
      <c r="R1676" s="10">
        <v>14</v>
      </c>
    </row>
    <row r="1677" spans="1:18" ht="17" customHeight="1" x14ac:dyDescent="0.15">
      <c r="A1677" s="11" t="s">
        <v>8917</v>
      </c>
      <c r="B1677" s="1" t="s">
        <v>8918</v>
      </c>
      <c r="C1677" s="11" t="s">
        <v>8919</v>
      </c>
      <c r="D1677" s="11" t="s">
        <v>8919</v>
      </c>
      <c r="E1677" s="11" t="s">
        <v>8920</v>
      </c>
      <c r="F1677" s="11" t="s">
        <v>8915</v>
      </c>
      <c r="G1677" s="11" t="s">
        <v>8845</v>
      </c>
      <c r="H1677" s="11" t="s">
        <v>8846</v>
      </c>
      <c r="I1677" s="11" t="str">
        <f>HYPERLINK("http://www.lotuscalze.com/","www.lotuscalze.com")</f>
        <v>www.lotuscalze.com</v>
      </c>
      <c r="J1677" s="12">
        <v>2396.9810000000002</v>
      </c>
      <c r="K1677" s="12">
        <v>2396.9810000000002</v>
      </c>
      <c r="L1677" s="13">
        <v>3233.248</v>
      </c>
      <c r="M1677" s="12">
        <v>-57.463999999999999</v>
      </c>
      <c r="N1677" s="12">
        <v>-57.463999999999999</v>
      </c>
      <c r="O1677" s="12">
        <v>51.302</v>
      </c>
      <c r="P1677" s="12">
        <v>17</v>
      </c>
      <c r="Q1677" s="12">
        <v>17</v>
      </c>
      <c r="R1677" s="12">
        <v>17</v>
      </c>
    </row>
    <row r="1678" spans="1:18" ht="17" customHeight="1" x14ac:dyDescent="0.15">
      <c r="A1678" s="8" t="s">
        <v>8921</v>
      </c>
      <c r="B1678" s="9" t="s">
        <v>8922</v>
      </c>
      <c r="C1678" s="8" t="s">
        <v>8923</v>
      </c>
      <c r="D1678" s="8" t="s">
        <v>8923</v>
      </c>
      <c r="E1678" s="8" t="s">
        <v>8924</v>
      </c>
      <c r="F1678" s="8" t="s">
        <v>8886</v>
      </c>
      <c r="G1678" s="8" t="s">
        <v>8852</v>
      </c>
      <c r="H1678" s="8" t="s">
        <v>8853</v>
      </c>
      <c r="I1678" s="8" t="str">
        <f>HYPERLINK("http://www.simonemartini.net/","www.simonemartini.net")</f>
        <v>www.simonemartini.net</v>
      </c>
      <c r="J1678" s="10">
        <v>1603.2929999999999</v>
      </c>
      <c r="K1678" s="10">
        <v>1603.2929999999999</v>
      </c>
      <c r="L1678" s="10">
        <v>3233.0569999999998</v>
      </c>
      <c r="M1678" s="10">
        <v>73.400000000000006</v>
      </c>
      <c r="N1678" s="10">
        <v>73.400000000000006</v>
      </c>
      <c r="O1678" s="10">
        <v>8.0419999999999998</v>
      </c>
      <c r="P1678" s="10">
        <v>23</v>
      </c>
      <c r="Q1678" s="10">
        <v>23</v>
      </c>
      <c r="R1678" s="10">
        <v>26</v>
      </c>
    </row>
    <row r="1679" spans="1:18" ht="17" customHeight="1" x14ac:dyDescent="0.15">
      <c r="A1679" s="11" t="s">
        <v>8925</v>
      </c>
      <c r="B1679" s="1" t="s">
        <v>8926</v>
      </c>
      <c r="C1679" s="11" t="s">
        <v>8927</v>
      </c>
      <c r="D1679" s="11" t="s">
        <v>8927</v>
      </c>
      <c r="E1679" s="11" t="s">
        <v>8928</v>
      </c>
      <c r="F1679" s="11" t="s">
        <v>8929</v>
      </c>
      <c r="G1679" s="11" t="s">
        <v>8930</v>
      </c>
      <c r="H1679" s="11" t="s">
        <v>8853</v>
      </c>
      <c r="I1679" s="11" t="str">
        <f>HYPERLINK("http://mb3.it/","mb3.it")</f>
        <v>mb3.it</v>
      </c>
      <c r="J1679" s="12">
        <v>2303.2979999999998</v>
      </c>
      <c r="K1679" s="12">
        <v>2303.2979999999998</v>
      </c>
      <c r="L1679" s="13">
        <v>3228.7669999999998</v>
      </c>
      <c r="M1679" s="12">
        <v>-384.64499999999998</v>
      </c>
      <c r="N1679" s="12">
        <v>-384.64499999999998</v>
      </c>
      <c r="O1679" s="12">
        <v>-395.46</v>
      </c>
      <c r="P1679" s="12">
        <v>16</v>
      </c>
      <c r="Q1679" s="12">
        <v>16</v>
      </c>
      <c r="R1679" s="12">
        <v>17</v>
      </c>
    </row>
    <row r="1680" spans="1:18" ht="17" customHeight="1" x14ac:dyDescent="0.15">
      <c r="A1680" s="8" t="s">
        <v>8931</v>
      </c>
      <c r="B1680" s="9" t="s">
        <v>8932</v>
      </c>
      <c r="C1680" s="8" t="s">
        <v>8933</v>
      </c>
      <c r="D1680" s="8" t="s">
        <v>8933</v>
      </c>
      <c r="E1680" s="8" t="s">
        <v>8934</v>
      </c>
      <c r="F1680" s="8" t="s">
        <v>8935</v>
      </c>
      <c r="G1680" s="8" t="s">
        <v>8936</v>
      </c>
      <c r="H1680" s="8" t="s">
        <v>8874</v>
      </c>
      <c r="I1680" s="8" t="str">
        <f>HYPERLINK("http://rehard.it/","rehard.it")</f>
        <v>rehard.it</v>
      </c>
      <c r="J1680" s="10">
        <v>3228.5219999999999</v>
      </c>
      <c r="K1680" s="15" t="s">
        <v>8861</v>
      </c>
      <c r="L1680" s="10">
        <v>3228.5219999999999</v>
      </c>
      <c r="M1680" s="10">
        <v>2.7949999999999999</v>
      </c>
      <c r="N1680" s="15" t="s">
        <v>8861</v>
      </c>
      <c r="O1680" s="10">
        <v>2.7949999999999999</v>
      </c>
      <c r="P1680" s="10">
        <v>1</v>
      </c>
      <c r="Q1680" s="15" t="s">
        <v>8861</v>
      </c>
      <c r="R1680" s="10">
        <v>1</v>
      </c>
    </row>
    <row r="1681" spans="1:18" ht="17" customHeight="1" x14ac:dyDescent="0.15">
      <c r="A1681" s="11" t="s">
        <v>8937</v>
      </c>
      <c r="B1681" s="1" t="s">
        <v>8938</v>
      </c>
      <c r="C1681" s="11" t="s">
        <v>8939</v>
      </c>
      <c r="D1681" s="11" t="s">
        <v>8939</v>
      </c>
      <c r="E1681" s="11" t="s">
        <v>8940</v>
      </c>
      <c r="F1681" s="11" t="s">
        <v>8941</v>
      </c>
      <c r="G1681" s="11" t="s">
        <v>8942</v>
      </c>
      <c r="H1681" s="11" t="s">
        <v>8943</v>
      </c>
      <c r="I1681" s="11" t="str">
        <f>HYPERLINK("http://trendurbania.com/","trendurbania.com")</f>
        <v>trendurbania.com</v>
      </c>
      <c r="J1681" s="12">
        <v>3525.0970000000002</v>
      </c>
      <c r="K1681" s="12">
        <v>3525.0970000000002</v>
      </c>
      <c r="L1681" s="13">
        <v>3219.9870000000001</v>
      </c>
      <c r="M1681" s="12">
        <v>88.68</v>
      </c>
      <c r="N1681" s="12">
        <v>88.68</v>
      </c>
      <c r="O1681" s="12">
        <v>64.207999999999998</v>
      </c>
      <c r="P1681" s="12">
        <v>16</v>
      </c>
      <c r="Q1681" s="12">
        <v>16</v>
      </c>
      <c r="R1681" s="12">
        <v>14</v>
      </c>
    </row>
    <row r="1682" spans="1:18" ht="29.5" customHeight="1" x14ac:dyDescent="0.15">
      <c r="A1682" s="8" t="s">
        <v>8944</v>
      </c>
      <c r="B1682" s="9" t="s">
        <v>8945</v>
      </c>
      <c r="C1682" s="8" t="s">
        <v>8946</v>
      </c>
      <c r="D1682" s="8" t="s">
        <v>8946</v>
      </c>
      <c r="E1682" s="8" t="s">
        <v>8947</v>
      </c>
      <c r="F1682" s="8" t="s">
        <v>8941</v>
      </c>
      <c r="G1682" s="8" t="s">
        <v>8948</v>
      </c>
      <c r="H1682" s="8" t="s">
        <v>8904</v>
      </c>
      <c r="I1682" s="8" t="str">
        <f>HYPERLINK("http://www.elsyspa.com/","www.elsyspa.com")</f>
        <v>www.elsyspa.com</v>
      </c>
      <c r="J1682" s="10">
        <v>3465.9679999999998</v>
      </c>
      <c r="K1682" s="10">
        <v>3465.9679999999998</v>
      </c>
      <c r="L1682" s="10">
        <v>3219.627</v>
      </c>
      <c r="M1682" s="10">
        <v>15.659000000000001</v>
      </c>
      <c r="N1682" s="10">
        <v>15.659000000000001</v>
      </c>
      <c r="O1682" s="10">
        <v>81.447999999999993</v>
      </c>
      <c r="P1682" s="10">
        <v>15</v>
      </c>
      <c r="Q1682" s="10">
        <v>15</v>
      </c>
      <c r="R1682" s="10">
        <v>16</v>
      </c>
    </row>
    <row r="1683" spans="1:18" ht="29.5" customHeight="1" x14ac:dyDescent="0.15">
      <c r="A1683" s="11" t="s">
        <v>8949</v>
      </c>
      <c r="B1683" s="1" t="s">
        <v>8950</v>
      </c>
      <c r="C1683" s="11" t="s">
        <v>8951</v>
      </c>
      <c r="D1683" s="11" t="s">
        <v>8951</v>
      </c>
      <c r="E1683" s="11" t="s">
        <v>8952</v>
      </c>
      <c r="F1683" s="11" t="s">
        <v>8929</v>
      </c>
      <c r="G1683" s="11" t="s">
        <v>8930</v>
      </c>
      <c r="H1683" s="11" t="s">
        <v>8853</v>
      </c>
      <c r="I1683" s="11" t="str">
        <f>HYPERLINK("http://www.nuovaetruria.it/","www.nuovaetruria.it")</f>
        <v>www.nuovaetruria.it</v>
      </c>
      <c r="J1683" s="12">
        <v>3053.1559999999999</v>
      </c>
      <c r="K1683" s="12">
        <v>3053.1559999999999</v>
      </c>
      <c r="L1683" s="13">
        <v>3217.009</v>
      </c>
      <c r="M1683" s="12">
        <v>97.918000000000006</v>
      </c>
      <c r="N1683" s="12">
        <v>97.918000000000006</v>
      </c>
      <c r="O1683" s="12">
        <v>37.006</v>
      </c>
      <c r="P1683" s="12">
        <v>6</v>
      </c>
      <c r="Q1683" s="12">
        <v>6</v>
      </c>
      <c r="R1683" s="12">
        <v>9</v>
      </c>
    </row>
    <row r="1684" spans="1:18" ht="17" customHeight="1" x14ac:dyDescent="0.15">
      <c r="A1684" s="8" t="s">
        <v>8953</v>
      </c>
      <c r="B1684" s="9" t="s">
        <v>8954</v>
      </c>
      <c r="C1684" s="8" t="s">
        <v>8955</v>
      </c>
      <c r="D1684" s="8" t="s">
        <v>8955</v>
      </c>
      <c r="E1684" s="8" t="s">
        <v>8956</v>
      </c>
      <c r="F1684" s="8" t="s">
        <v>8957</v>
      </c>
      <c r="G1684" s="8" t="s">
        <v>8867</v>
      </c>
      <c r="H1684" s="8" t="s">
        <v>8846</v>
      </c>
      <c r="I1684" s="8" t="str">
        <f>HYPERLINK("http://www.altamoda.pl/","www.altamoda.pl")</f>
        <v>www.altamoda.pl</v>
      </c>
      <c r="J1684" s="10">
        <v>3805.0160000000001</v>
      </c>
      <c r="K1684" s="10">
        <v>3805.0160000000001</v>
      </c>
      <c r="L1684" s="10">
        <v>3216.7910000000002</v>
      </c>
      <c r="M1684" s="10">
        <v>200.65899999999999</v>
      </c>
      <c r="N1684" s="10">
        <v>200.65899999999999</v>
      </c>
      <c r="O1684" s="10">
        <v>91.587000000000003</v>
      </c>
      <c r="P1684" s="10">
        <v>27</v>
      </c>
      <c r="Q1684" s="10">
        <v>27</v>
      </c>
      <c r="R1684" s="10">
        <v>27</v>
      </c>
    </row>
    <row r="1685" spans="1:18" ht="17" customHeight="1" x14ac:dyDescent="0.15">
      <c r="A1685" s="11" t="s">
        <v>8958</v>
      </c>
      <c r="B1685" s="1" t="s">
        <v>8959</v>
      </c>
      <c r="C1685" s="11" t="s">
        <v>8960</v>
      </c>
      <c r="D1685" s="11" t="s">
        <v>8960</v>
      </c>
      <c r="E1685" s="11" t="s">
        <v>8961</v>
      </c>
      <c r="F1685" s="11" t="s">
        <v>8962</v>
      </c>
      <c r="G1685" s="11" t="s">
        <v>8963</v>
      </c>
      <c r="H1685" s="11" t="s">
        <v>8874</v>
      </c>
      <c r="I1685" s="11" t="str">
        <f>HYPERLINK("http://www.sacutex.com/","www.sacutex.com")</f>
        <v>www.sacutex.com</v>
      </c>
      <c r="J1685" s="12">
        <v>2437.9989999999998</v>
      </c>
      <c r="K1685" s="12">
        <v>2437.9989999999998</v>
      </c>
      <c r="L1685" s="13">
        <v>3216.8209999999999</v>
      </c>
      <c r="M1685" s="12">
        <v>-88.206999999999994</v>
      </c>
      <c r="N1685" s="12">
        <v>-88.206999999999994</v>
      </c>
      <c r="O1685" s="12">
        <v>76.861000000000004</v>
      </c>
      <c r="P1685" s="14" t="s">
        <v>8861</v>
      </c>
      <c r="Q1685" s="14" t="s">
        <v>8861</v>
      </c>
      <c r="R1685" s="12">
        <v>21</v>
      </c>
    </row>
    <row r="1686" spans="1:18" ht="17" customHeight="1" x14ac:dyDescent="0.15">
      <c r="A1686" s="8" t="s">
        <v>8964</v>
      </c>
      <c r="B1686" s="9" t="s">
        <v>8965</v>
      </c>
      <c r="C1686" s="8" t="s">
        <v>8966</v>
      </c>
      <c r="D1686" s="8" t="s">
        <v>8966</v>
      </c>
      <c r="E1686" s="8" t="s">
        <v>8967</v>
      </c>
      <c r="F1686" s="8" t="s">
        <v>8929</v>
      </c>
      <c r="G1686" s="8" t="s">
        <v>8930</v>
      </c>
      <c r="H1686" s="8" t="s">
        <v>8853</v>
      </c>
      <c r="I1686" s="8" t="str">
        <f>HYPERLINK("http://www.eng.ge-fin.it/","www.eng.ge-fin.it")</f>
        <v>www.eng.ge-fin.it</v>
      </c>
      <c r="J1686" s="10">
        <v>2637.7289999999998</v>
      </c>
      <c r="K1686" s="10">
        <v>2637.7289999999998</v>
      </c>
      <c r="L1686" s="10">
        <v>3212.511</v>
      </c>
      <c r="M1686" s="10">
        <v>63.341999999999999</v>
      </c>
      <c r="N1686" s="10">
        <v>63.341999999999999</v>
      </c>
      <c r="O1686" s="10">
        <v>86.432000000000002</v>
      </c>
      <c r="P1686" s="10">
        <v>13</v>
      </c>
      <c r="Q1686" s="10">
        <v>13</v>
      </c>
      <c r="R1686" s="10">
        <v>14</v>
      </c>
    </row>
    <row r="1687" spans="1:18" ht="17" customHeight="1" x14ac:dyDescent="0.15">
      <c r="A1687" s="11" t="s">
        <v>8968</v>
      </c>
      <c r="B1687" s="1" t="s">
        <v>8969</v>
      </c>
      <c r="C1687" s="11" t="s">
        <v>8970</v>
      </c>
      <c r="D1687" s="11" t="s">
        <v>8970</v>
      </c>
      <c r="E1687" s="11" t="s">
        <v>8971</v>
      </c>
      <c r="F1687" s="11" t="s">
        <v>8972</v>
      </c>
      <c r="G1687" s="11" t="s">
        <v>8963</v>
      </c>
      <c r="H1687" s="11" t="s">
        <v>8874</v>
      </c>
      <c r="I1687" s="11" t="str">
        <f>HYPERLINK("http://www.bolzonelladivise.com/","www.bolzonelladivise.com")</f>
        <v>www.bolzonelladivise.com</v>
      </c>
      <c r="J1687" s="12">
        <v>2338.375</v>
      </c>
      <c r="K1687" s="12">
        <v>2338.375</v>
      </c>
      <c r="L1687" s="13">
        <v>3206.123</v>
      </c>
      <c r="M1687" s="12">
        <v>145.91399999999999</v>
      </c>
      <c r="N1687" s="12">
        <v>145.91399999999999</v>
      </c>
      <c r="O1687" s="12">
        <v>183.464</v>
      </c>
      <c r="P1687" s="12">
        <v>14</v>
      </c>
      <c r="Q1687" s="12">
        <v>14</v>
      </c>
      <c r="R1687" s="12">
        <v>17</v>
      </c>
    </row>
    <row r="1688" spans="1:18" ht="29.5" customHeight="1" x14ac:dyDescent="0.15">
      <c r="A1688" s="8" t="s">
        <v>8973</v>
      </c>
      <c r="B1688" s="9" t="s">
        <v>8974</v>
      </c>
      <c r="C1688" s="8" t="s">
        <v>8975</v>
      </c>
      <c r="D1688" s="8" t="s">
        <v>8975</v>
      </c>
      <c r="E1688" s="8" t="s">
        <v>8976</v>
      </c>
      <c r="F1688" s="8" t="s">
        <v>8886</v>
      </c>
      <c r="G1688" s="8" t="s">
        <v>8977</v>
      </c>
      <c r="H1688" s="8" t="s">
        <v>8860</v>
      </c>
      <c r="I1688" s="8" t="str">
        <f>HYPERLINK("http://difrancoshoes.com/","difrancoshoes.com")</f>
        <v>difrancoshoes.com</v>
      </c>
      <c r="J1688" s="10">
        <v>3920.4090000000001</v>
      </c>
      <c r="K1688" s="10">
        <v>3920.4090000000001</v>
      </c>
      <c r="L1688" s="10">
        <v>3189.93</v>
      </c>
      <c r="M1688" s="10">
        <v>64.146000000000001</v>
      </c>
      <c r="N1688" s="10">
        <v>64.146000000000001</v>
      </c>
      <c r="O1688" s="10">
        <v>93.539000000000001</v>
      </c>
      <c r="P1688" s="10">
        <v>23</v>
      </c>
      <c r="Q1688" s="10">
        <v>23</v>
      </c>
      <c r="R1688" s="10">
        <v>23</v>
      </c>
    </row>
    <row r="1689" spans="1:18" ht="17" customHeight="1" x14ac:dyDescent="0.15">
      <c r="A1689" s="11" t="s">
        <v>8978</v>
      </c>
      <c r="B1689" s="1" t="s">
        <v>8979</v>
      </c>
      <c r="C1689" s="11" t="s">
        <v>8980</v>
      </c>
      <c r="D1689" s="11" t="s">
        <v>8980</v>
      </c>
      <c r="E1689" s="11" t="s">
        <v>8981</v>
      </c>
      <c r="F1689" s="11" t="s">
        <v>8982</v>
      </c>
      <c r="G1689" s="11" t="s">
        <v>8983</v>
      </c>
      <c r="H1689" s="11" t="s">
        <v>8888</v>
      </c>
      <c r="I1689" s="11" t="str">
        <f>HYPERLINK("http://floorclothing.com/","floorclothing.com")</f>
        <v>floorclothing.com</v>
      </c>
      <c r="J1689" s="12">
        <v>3516.3310000000001</v>
      </c>
      <c r="K1689" s="12">
        <v>3516.3310000000001</v>
      </c>
      <c r="L1689" s="13">
        <v>3188.7350000000001</v>
      </c>
      <c r="M1689" s="12">
        <v>142.49</v>
      </c>
      <c r="N1689" s="12">
        <v>142.49</v>
      </c>
      <c r="O1689" s="12">
        <v>26.594000000000001</v>
      </c>
      <c r="P1689" s="12">
        <v>9</v>
      </c>
      <c r="Q1689" s="12">
        <v>9</v>
      </c>
      <c r="R1689" s="12">
        <v>8</v>
      </c>
    </row>
    <row r="1690" spans="1:18" ht="17" customHeight="1" x14ac:dyDescent="0.15">
      <c r="A1690" s="8" t="s">
        <v>8984</v>
      </c>
      <c r="B1690" s="9" t="s">
        <v>8985</v>
      </c>
      <c r="C1690" s="8" t="s">
        <v>8986</v>
      </c>
      <c r="D1690" s="8" t="s">
        <v>8986</v>
      </c>
      <c r="E1690" s="8" t="s">
        <v>8987</v>
      </c>
      <c r="F1690" s="8" t="s">
        <v>8893</v>
      </c>
      <c r="G1690" s="8" t="s">
        <v>8852</v>
      </c>
      <c r="H1690" s="8" t="s">
        <v>8853</v>
      </c>
      <c r="I1690" s="8" t="str">
        <f>HYPERLINK("http://blancha.it/","blancha.it")</f>
        <v>blancha.it</v>
      </c>
      <c r="J1690" s="10">
        <v>3678.2939999999999</v>
      </c>
      <c r="K1690" s="10">
        <v>3678.2939999999999</v>
      </c>
      <c r="L1690" s="10">
        <v>3187.9369999999999</v>
      </c>
      <c r="M1690" s="10">
        <v>89.432000000000002</v>
      </c>
      <c r="N1690" s="10">
        <v>89.432000000000002</v>
      </c>
      <c r="O1690" s="10">
        <v>31.131</v>
      </c>
      <c r="P1690" s="10">
        <v>19</v>
      </c>
      <c r="Q1690" s="10">
        <v>19</v>
      </c>
      <c r="R1690" s="10">
        <v>19</v>
      </c>
    </row>
    <row r="1691" spans="1:18" ht="17" customHeight="1" x14ac:dyDescent="0.15">
      <c r="A1691" s="11" t="s">
        <v>8988</v>
      </c>
      <c r="B1691" s="1" t="s">
        <v>8989</v>
      </c>
      <c r="C1691" s="11" t="s">
        <v>8990</v>
      </c>
      <c r="D1691" s="11" t="s">
        <v>8990</v>
      </c>
      <c r="E1691" s="11" t="s">
        <v>8991</v>
      </c>
      <c r="F1691" s="11" t="s">
        <v>8941</v>
      </c>
      <c r="G1691" s="11" t="s">
        <v>8992</v>
      </c>
      <c r="H1691" s="11" t="s">
        <v>8993</v>
      </c>
      <c r="I1691" s="11" t="str">
        <f>HYPERLINK("http://valentinispose.com/","valentinispose.com")</f>
        <v>valentinispose.com</v>
      </c>
      <c r="J1691" s="12">
        <v>3512.415</v>
      </c>
      <c r="K1691" s="12">
        <v>3512.415</v>
      </c>
      <c r="L1691" s="13">
        <v>3187.7269999999999</v>
      </c>
      <c r="M1691" s="12">
        <v>67.337000000000003</v>
      </c>
      <c r="N1691" s="12">
        <v>67.337000000000003</v>
      </c>
      <c r="O1691" s="12">
        <v>26.597999999999999</v>
      </c>
      <c r="P1691" s="12">
        <v>40</v>
      </c>
      <c r="Q1691" s="12">
        <v>40</v>
      </c>
      <c r="R1691" s="12">
        <v>39</v>
      </c>
    </row>
    <row r="1692" spans="1:18" ht="17" customHeight="1" x14ac:dyDescent="0.15">
      <c r="A1692" s="8" t="s">
        <v>8994</v>
      </c>
      <c r="B1692" s="9" t="s">
        <v>8995</v>
      </c>
      <c r="C1692" s="8" t="s">
        <v>8996</v>
      </c>
      <c r="D1692" s="8" t="s">
        <v>8996</v>
      </c>
      <c r="E1692" s="8" t="s">
        <v>8997</v>
      </c>
      <c r="F1692" s="8" t="s">
        <v>8880</v>
      </c>
      <c r="G1692" s="8" t="s">
        <v>8998</v>
      </c>
      <c r="H1692" s="8" t="s">
        <v>8846</v>
      </c>
      <c r="I1692" s="8" t="str">
        <f>HYPERLINK("http://dusan.info/","dusan.info")</f>
        <v>dusan.info</v>
      </c>
      <c r="J1692" s="10">
        <v>3726.6729999999998</v>
      </c>
      <c r="K1692" s="10">
        <v>3726.6729999999998</v>
      </c>
      <c r="L1692" s="10">
        <v>3186.1030000000001</v>
      </c>
      <c r="M1692" s="10">
        <v>290.01100000000002</v>
      </c>
      <c r="N1692" s="10">
        <v>290.01100000000002</v>
      </c>
      <c r="O1692" s="10">
        <v>50.582999999999998</v>
      </c>
      <c r="P1692" s="10">
        <v>4</v>
      </c>
      <c r="Q1692" s="10">
        <v>4</v>
      </c>
      <c r="R1692" s="10">
        <v>4</v>
      </c>
    </row>
    <row r="1693" spans="1:18" ht="17" customHeight="1" x14ac:dyDescent="0.15">
      <c r="A1693" s="11" t="s">
        <v>8999</v>
      </c>
      <c r="B1693" s="1" t="s">
        <v>9000</v>
      </c>
      <c r="C1693" s="11" t="s">
        <v>9001</v>
      </c>
      <c r="D1693" s="11" t="s">
        <v>9001</v>
      </c>
      <c r="E1693" s="11" t="s">
        <v>9002</v>
      </c>
      <c r="F1693" s="11" t="s">
        <v>8886</v>
      </c>
      <c r="G1693" s="11" t="s">
        <v>9003</v>
      </c>
      <c r="H1693" s="11" t="s">
        <v>8943</v>
      </c>
      <c r="I1693" s="11" t="str">
        <f>HYPERLINK("http://www.sesashoes.com/","www.sesashoes.com")</f>
        <v>www.sesashoes.com</v>
      </c>
      <c r="J1693" s="12">
        <v>1727.2070000000001</v>
      </c>
      <c r="K1693" s="12">
        <v>1727.2070000000001</v>
      </c>
      <c r="L1693" s="13">
        <v>3182.9780000000001</v>
      </c>
      <c r="M1693" s="12">
        <v>-3.9119999999999999</v>
      </c>
      <c r="N1693" s="12">
        <v>-3.9119999999999999</v>
      </c>
      <c r="O1693" s="12">
        <v>30.946999999999999</v>
      </c>
      <c r="P1693" s="12">
        <v>17</v>
      </c>
      <c r="Q1693" s="12">
        <v>17</v>
      </c>
      <c r="R1693" s="12">
        <v>20</v>
      </c>
    </row>
    <row r="1694" spans="1:18" ht="17" customHeight="1" x14ac:dyDescent="0.15">
      <c r="A1694" s="8" t="s">
        <v>9004</v>
      </c>
      <c r="B1694" s="9" t="s">
        <v>9005</v>
      </c>
      <c r="C1694" s="8" t="s">
        <v>9006</v>
      </c>
      <c r="D1694" s="8" t="s">
        <v>9006</v>
      </c>
      <c r="E1694" s="8" t="s">
        <v>9007</v>
      </c>
      <c r="F1694" s="8" t="s">
        <v>8880</v>
      </c>
      <c r="G1694" s="8" t="s">
        <v>8852</v>
      </c>
      <c r="H1694" s="8" t="s">
        <v>8853</v>
      </c>
      <c r="I1694" s="8" t="str">
        <f>HYPERLINK("http://memarsrl.it/","memarsrl.it")</f>
        <v>memarsrl.it</v>
      </c>
      <c r="J1694" s="10">
        <v>2984.2530000000002</v>
      </c>
      <c r="K1694" s="10">
        <v>2984.2530000000002</v>
      </c>
      <c r="L1694" s="10">
        <v>3181.8020000000001</v>
      </c>
      <c r="M1694" s="10">
        <v>86.09</v>
      </c>
      <c r="N1694" s="10">
        <v>86.09</v>
      </c>
      <c r="O1694" s="10">
        <v>122.878</v>
      </c>
      <c r="P1694" s="10">
        <v>25</v>
      </c>
      <c r="Q1694" s="10">
        <v>25</v>
      </c>
      <c r="R1694" s="10">
        <v>21</v>
      </c>
    </row>
    <row r="1695" spans="1:18" ht="17" customHeight="1" x14ac:dyDescent="0.15">
      <c r="A1695" s="11" t="s">
        <v>9008</v>
      </c>
      <c r="B1695" s="1" t="s">
        <v>9009</v>
      </c>
      <c r="C1695" s="11" t="s">
        <v>9010</v>
      </c>
      <c r="D1695" s="11" t="s">
        <v>9010</v>
      </c>
      <c r="E1695" s="11" t="s">
        <v>9011</v>
      </c>
      <c r="F1695" s="11" t="s">
        <v>8962</v>
      </c>
      <c r="G1695" s="11" t="s">
        <v>8998</v>
      </c>
      <c r="H1695" s="11" t="s">
        <v>8846</v>
      </c>
      <c r="I1695" s="11" t="str">
        <f>HYPERLINK("http://www.egifra.it/","www.egifra.it")</f>
        <v>www.egifra.it</v>
      </c>
      <c r="J1695" s="12">
        <v>4062.1550000000002</v>
      </c>
      <c r="K1695" s="12">
        <v>4062.1550000000002</v>
      </c>
      <c r="L1695" s="13">
        <v>3181.4969999999998</v>
      </c>
      <c r="M1695" s="12">
        <v>332.904</v>
      </c>
      <c r="N1695" s="12">
        <v>332.904</v>
      </c>
      <c r="O1695" s="12">
        <v>270.08499999999998</v>
      </c>
      <c r="P1695" s="12">
        <v>44</v>
      </c>
      <c r="Q1695" s="12">
        <v>44</v>
      </c>
      <c r="R1695" s="12">
        <v>36</v>
      </c>
    </row>
    <row r="1696" spans="1:18" ht="29.5" customHeight="1" x14ac:dyDescent="0.15">
      <c r="A1696" s="8" t="s">
        <v>9012</v>
      </c>
      <c r="B1696" s="9" t="s">
        <v>9013</v>
      </c>
      <c r="C1696" s="8" t="s">
        <v>9014</v>
      </c>
      <c r="D1696" s="8" t="s">
        <v>9014</v>
      </c>
      <c r="E1696" s="8" t="s">
        <v>9015</v>
      </c>
      <c r="F1696" s="8" t="s">
        <v>8844</v>
      </c>
      <c r="G1696" s="8" t="s">
        <v>8867</v>
      </c>
      <c r="H1696" s="8" t="s">
        <v>8846</v>
      </c>
      <c r="I1696" s="8" t="str">
        <f>HYPERLINK("http://www.bresciani.it/","www.bresciani.it")</f>
        <v>www.bresciani.it</v>
      </c>
      <c r="J1696" s="10">
        <v>3131.9479999999999</v>
      </c>
      <c r="K1696" s="10">
        <v>3131.9479999999999</v>
      </c>
      <c r="L1696" s="10">
        <v>3180.6419999999998</v>
      </c>
      <c r="M1696" s="10">
        <v>94.375</v>
      </c>
      <c r="N1696" s="10">
        <v>94.375</v>
      </c>
      <c r="O1696" s="10">
        <v>151.69999999999999</v>
      </c>
      <c r="P1696" s="10">
        <v>28</v>
      </c>
      <c r="Q1696" s="10">
        <v>28</v>
      </c>
      <c r="R1696" s="10">
        <v>27</v>
      </c>
    </row>
    <row r="1697" spans="1:18" ht="17" customHeight="1" x14ac:dyDescent="0.15">
      <c r="A1697" s="11" t="s">
        <v>9016</v>
      </c>
      <c r="B1697" s="1" t="s">
        <v>9017</v>
      </c>
      <c r="C1697" s="11" t="s">
        <v>9018</v>
      </c>
      <c r="D1697" s="11" t="s">
        <v>9018</v>
      </c>
      <c r="E1697" s="11" t="s">
        <v>9019</v>
      </c>
      <c r="F1697" s="11" t="s">
        <v>9020</v>
      </c>
      <c r="G1697" s="11" t="s">
        <v>9021</v>
      </c>
      <c r="H1697" s="11" t="s">
        <v>9022</v>
      </c>
      <c r="I1697" s="11" t="str">
        <f>HYPERLINK("http://www.accoppiaturegc.it/","www.accoppiaturegc.it")</f>
        <v>www.accoppiaturegc.it</v>
      </c>
      <c r="J1697" s="12">
        <v>2726.498</v>
      </c>
      <c r="K1697" s="12">
        <v>2726.498</v>
      </c>
      <c r="L1697" s="13">
        <v>3178.6370000000002</v>
      </c>
      <c r="M1697" s="12">
        <v>27.401</v>
      </c>
      <c r="N1697" s="12">
        <v>27.401</v>
      </c>
      <c r="O1697" s="12">
        <v>68.418999999999997</v>
      </c>
      <c r="P1697" s="12">
        <v>12</v>
      </c>
      <c r="Q1697" s="12">
        <v>12</v>
      </c>
      <c r="R1697" s="12">
        <v>14</v>
      </c>
    </row>
    <row r="1698" spans="1:18" ht="17" customHeight="1" x14ac:dyDescent="0.15">
      <c r="A1698" s="8" t="s">
        <v>9023</v>
      </c>
      <c r="B1698" s="9" t="s">
        <v>9024</v>
      </c>
      <c r="C1698" s="8" t="s">
        <v>9025</v>
      </c>
      <c r="D1698" s="8" t="s">
        <v>9025</v>
      </c>
      <c r="E1698" s="8" t="s">
        <v>9026</v>
      </c>
      <c r="F1698" s="8" t="s">
        <v>9027</v>
      </c>
      <c r="G1698" s="8" t="s">
        <v>9028</v>
      </c>
      <c r="H1698" s="8" t="s">
        <v>9029</v>
      </c>
      <c r="I1698" s="8" t="str">
        <f>HYPERLINK("http://www.sabysport.com/","www.sabysport.com")</f>
        <v>www.sabysport.com</v>
      </c>
      <c r="J1698" s="10">
        <v>3066.5160000000001</v>
      </c>
      <c r="K1698" s="10">
        <v>3066.5160000000001</v>
      </c>
      <c r="L1698" s="10">
        <v>3174.1779999999999</v>
      </c>
      <c r="M1698" s="10">
        <v>15.64</v>
      </c>
      <c r="N1698" s="10">
        <v>15.64</v>
      </c>
      <c r="O1698" s="10">
        <v>26.462</v>
      </c>
      <c r="P1698" s="15" t="s">
        <v>9030</v>
      </c>
      <c r="Q1698" s="15" t="s">
        <v>9030</v>
      </c>
      <c r="R1698" s="10">
        <v>25</v>
      </c>
    </row>
    <row r="1699" spans="1:18" ht="17" customHeight="1" x14ac:dyDescent="0.15">
      <c r="A1699" s="11" t="s">
        <v>9031</v>
      </c>
      <c r="B1699" s="1" t="s">
        <v>9032</v>
      </c>
      <c r="C1699" s="11" t="s">
        <v>9033</v>
      </c>
      <c r="D1699" s="11" t="s">
        <v>9033</v>
      </c>
      <c r="E1699" s="11" t="s">
        <v>9034</v>
      </c>
      <c r="F1699" s="11" t="s">
        <v>9020</v>
      </c>
      <c r="G1699" s="11" t="s">
        <v>9035</v>
      </c>
      <c r="H1699" s="11" t="s">
        <v>9036</v>
      </c>
      <c r="I1699" s="11" t="str">
        <f>HYPERLINK("http://www.pelleco.it/","www.pelleco.it")</f>
        <v>www.pelleco.it</v>
      </c>
      <c r="J1699" s="12">
        <v>2403.9229999999998</v>
      </c>
      <c r="K1699" s="12">
        <v>2403.9229999999998</v>
      </c>
      <c r="L1699" s="13">
        <v>3171.9189999999999</v>
      </c>
      <c r="M1699" s="12">
        <v>21.532</v>
      </c>
      <c r="N1699" s="12">
        <v>21.532</v>
      </c>
      <c r="O1699" s="12">
        <v>40.347000000000001</v>
      </c>
      <c r="P1699" s="14" t="s">
        <v>9030</v>
      </c>
      <c r="Q1699" s="14" t="s">
        <v>9030</v>
      </c>
      <c r="R1699" s="12">
        <v>15</v>
      </c>
    </row>
    <row r="1700" spans="1:18" ht="17" customHeight="1" x14ac:dyDescent="0.15">
      <c r="A1700" s="8" t="s">
        <v>9037</v>
      </c>
      <c r="B1700" s="9" t="s">
        <v>9038</v>
      </c>
      <c r="C1700" s="8" t="s">
        <v>9039</v>
      </c>
      <c r="D1700" s="8" t="s">
        <v>9039</v>
      </c>
      <c r="E1700" s="8" t="s">
        <v>9040</v>
      </c>
      <c r="F1700" s="8" t="s">
        <v>9041</v>
      </c>
      <c r="G1700" s="8" t="s">
        <v>9042</v>
      </c>
      <c r="H1700" s="8" t="s">
        <v>9043</v>
      </c>
      <c r="I1700" s="8" t="str">
        <f>HYPERLINK("http://www.gipsyproductionsrl.it/","www.gipsyproductionsrl.it")</f>
        <v>www.gipsyproductionsrl.it</v>
      </c>
      <c r="J1700" s="10">
        <v>3041.5059999999999</v>
      </c>
      <c r="K1700" s="10">
        <v>3041.5059999999999</v>
      </c>
      <c r="L1700" s="10">
        <v>3171.77</v>
      </c>
      <c r="M1700" s="10">
        <v>65.983999999999995</v>
      </c>
      <c r="N1700" s="10">
        <v>65.983999999999995</v>
      </c>
      <c r="O1700" s="10">
        <v>207.102</v>
      </c>
      <c r="P1700" s="15" t="s">
        <v>9030</v>
      </c>
      <c r="Q1700" s="15" t="s">
        <v>9030</v>
      </c>
      <c r="R1700" s="10">
        <v>28</v>
      </c>
    </row>
    <row r="1701" spans="1:18" ht="17" customHeight="1" x14ac:dyDescent="0.15">
      <c r="A1701" s="11" t="s">
        <v>9044</v>
      </c>
      <c r="B1701" s="1" t="s">
        <v>9045</v>
      </c>
      <c r="C1701" s="11" t="s">
        <v>9046</v>
      </c>
      <c r="D1701" s="11" t="s">
        <v>9046</v>
      </c>
      <c r="E1701" s="11" t="s">
        <v>9047</v>
      </c>
      <c r="F1701" s="11" t="s">
        <v>9048</v>
      </c>
      <c r="G1701" s="11" t="s">
        <v>9049</v>
      </c>
      <c r="H1701" s="11" t="s">
        <v>9050</v>
      </c>
      <c r="I1701" s="11" t="str">
        <f>HYPERLINK("http://itarland.com/","itarland.com")</f>
        <v>itarland.com</v>
      </c>
      <c r="J1701" s="12">
        <v>2082.2350000000001</v>
      </c>
      <c r="K1701" s="12">
        <v>2082.2350000000001</v>
      </c>
      <c r="L1701" s="13">
        <v>3170.9</v>
      </c>
      <c r="M1701" s="12">
        <v>24.227</v>
      </c>
      <c r="N1701" s="12">
        <v>24.227</v>
      </c>
      <c r="O1701" s="12">
        <v>117.199</v>
      </c>
      <c r="P1701" s="12">
        <v>22</v>
      </c>
      <c r="Q1701" s="12">
        <v>22</v>
      </c>
      <c r="R1701" s="12">
        <v>15</v>
      </c>
    </row>
    <row r="1702" spans="1:18" ht="17" customHeight="1" x14ac:dyDescent="0.15">
      <c r="A1702" s="8" t="s">
        <v>9051</v>
      </c>
      <c r="B1702" s="9" t="s">
        <v>9052</v>
      </c>
      <c r="C1702" s="8" t="s">
        <v>9053</v>
      </c>
      <c r="D1702" s="8" t="s">
        <v>9053</v>
      </c>
      <c r="E1702" s="8" t="s">
        <v>9054</v>
      </c>
      <c r="F1702" s="8" t="s">
        <v>9020</v>
      </c>
      <c r="G1702" s="8" t="s">
        <v>9055</v>
      </c>
      <c r="H1702" s="8" t="s">
        <v>9022</v>
      </c>
      <c r="I1702" s="8" t="str">
        <f>HYPERLINK("http://www.conceriadingo.com/","www.conceriadingo.com")</f>
        <v>www.conceriadingo.com</v>
      </c>
      <c r="J1702" s="10">
        <v>2684.873</v>
      </c>
      <c r="K1702" s="10">
        <v>2684.873</v>
      </c>
      <c r="L1702" s="10">
        <v>3168.3780000000002</v>
      </c>
      <c r="M1702" s="10">
        <v>3.7309999999999999</v>
      </c>
      <c r="N1702" s="10">
        <v>3.7309999999999999</v>
      </c>
      <c r="O1702" s="10">
        <v>10.874000000000001</v>
      </c>
      <c r="P1702" s="10">
        <v>3</v>
      </c>
      <c r="Q1702" s="10">
        <v>3</v>
      </c>
      <c r="R1702" s="10">
        <v>3</v>
      </c>
    </row>
    <row r="1703" spans="1:18" ht="17" customHeight="1" x14ac:dyDescent="0.15">
      <c r="A1703" s="11" t="s">
        <v>9056</v>
      </c>
      <c r="B1703" s="1" t="s">
        <v>9057</v>
      </c>
      <c r="C1703" s="11" t="s">
        <v>9058</v>
      </c>
      <c r="D1703" s="11" t="s">
        <v>9058</v>
      </c>
      <c r="E1703" s="11" t="s">
        <v>9059</v>
      </c>
      <c r="F1703" s="11" t="s">
        <v>9060</v>
      </c>
      <c r="G1703" s="11" t="s">
        <v>9061</v>
      </c>
      <c r="H1703" s="11" t="s">
        <v>9062</v>
      </c>
      <c r="I1703" s="11" t="str">
        <f>HYPERLINK("http://www.salar.it/","www.salar.it")</f>
        <v>www.salar.it</v>
      </c>
      <c r="J1703" s="12">
        <v>3719.74</v>
      </c>
      <c r="K1703" s="12">
        <v>3719.74</v>
      </c>
      <c r="L1703" s="13">
        <v>3164.3159999999998</v>
      </c>
      <c r="M1703" s="12">
        <v>236.44800000000001</v>
      </c>
      <c r="N1703" s="12">
        <v>236.44800000000001</v>
      </c>
      <c r="O1703" s="12">
        <v>311.39299999999997</v>
      </c>
      <c r="P1703" s="14" t="s">
        <v>9030</v>
      </c>
      <c r="Q1703" s="14" t="s">
        <v>9030</v>
      </c>
      <c r="R1703" s="12">
        <v>13</v>
      </c>
    </row>
    <row r="1704" spans="1:18" ht="17" customHeight="1" x14ac:dyDescent="0.15">
      <c r="A1704" s="8" t="s">
        <v>9063</v>
      </c>
      <c r="B1704" s="9" t="s">
        <v>9064</v>
      </c>
      <c r="C1704" s="8" t="s">
        <v>9065</v>
      </c>
      <c r="D1704" s="8" t="s">
        <v>9065</v>
      </c>
      <c r="E1704" s="8" t="s">
        <v>9066</v>
      </c>
      <c r="F1704" s="8" t="s">
        <v>9067</v>
      </c>
      <c r="G1704" s="8" t="s">
        <v>9068</v>
      </c>
      <c r="H1704" s="8" t="s">
        <v>9069</v>
      </c>
      <c r="I1704" s="8" t="str">
        <f>HYPERLINK("http://www.mircam.it/","www.mircam.it")</f>
        <v>www.mircam.it</v>
      </c>
      <c r="J1704" s="10">
        <v>4171.7179999999998</v>
      </c>
      <c r="K1704" s="10">
        <v>4171.7179999999998</v>
      </c>
      <c r="L1704" s="10">
        <v>3163.87</v>
      </c>
      <c r="M1704" s="10">
        <v>52.343000000000004</v>
      </c>
      <c r="N1704" s="10">
        <v>52.343000000000004</v>
      </c>
      <c r="O1704" s="10">
        <v>173.73699999999999</v>
      </c>
      <c r="P1704" s="15" t="s">
        <v>9030</v>
      </c>
      <c r="Q1704" s="15" t="s">
        <v>9030</v>
      </c>
      <c r="R1704" s="10">
        <v>24</v>
      </c>
    </row>
    <row r="1705" spans="1:18" ht="17" customHeight="1" x14ac:dyDescent="0.15">
      <c r="A1705" s="11" t="s">
        <v>9070</v>
      </c>
      <c r="B1705" s="1" t="s">
        <v>9071</v>
      </c>
      <c r="C1705" s="11" t="s">
        <v>9072</v>
      </c>
      <c r="D1705" s="11" t="s">
        <v>9072</v>
      </c>
      <c r="E1705" s="11" t="s">
        <v>9073</v>
      </c>
      <c r="F1705" s="11" t="s">
        <v>9074</v>
      </c>
      <c r="G1705" s="11" t="s">
        <v>9049</v>
      </c>
      <c r="H1705" s="11" t="s">
        <v>9050</v>
      </c>
      <c r="I1705" s="11" t="str">
        <f>HYPERLINK("http://www.ernestodolani.it/","www.ernestodolani.it")</f>
        <v>www.ernestodolani.it</v>
      </c>
      <c r="J1705" s="12">
        <v>3372.5259999999998</v>
      </c>
      <c r="K1705" s="12">
        <v>3372.5259999999998</v>
      </c>
      <c r="L1705" s="13">
        <v>3159.93</v>
      </c>
      <c r="M1705" s="12">
        <v>32.29</v>
      </c>
      <c r="N1705" s="12">
        <v>32.29</v>
      </c>
      <c r="O1705" s="12">
        <v>22.821000000000002</v>
      </c>
      <c r="P1705" s="14" t="s">
        <v>9030</v>
      </c>
      <c r="Q1705" s="14" t="s">
        <v>9030</v>
      </c>
      <c r="R1705" s="12">
        <v>14</v>
      </c>
    </row>
    <row r="1706" spans="1:18" ht="17" customHeight="1" x14ac:dyDescent="0.15">
      <c r="A1706" s="8" t="s">
        <v>9075</v>
      </c>
      <c r="B1706" s="9" t="s">
        <v>9076</v>
      </c>
      <c r="C1706" s="8" t="s">
        <v>9077</v>
      </c>
      <c r="D1706" s="8" t="s">
        <v>9077</v>
      </c>
      <c r="E1706" s="8" t="s">
        <v>9078</v>
      </c>
      <c r="F1706" s="8" t="s">
        <v>9079</v>
      </c>
      <c r="G1706" s="8" t="s">
        <v>9080</v>
      </c>
      <c r="H1706" s="8" t="s">
        <v>9081</v>
      </c>
      <c r="I1706" s="8" t="str">
        <f>HYPERLINK("http://www.ypsilon.it/","www.ypsilon.it")</f>
        <v>www.ypsilon.it</v>
      </c>
      <c r="J1706" s="10">
        <v>3035.6179999999999</v>
      </c>
      <c r="K1706" s="10">
        <v>3035.6179999999999</v>
      </c>
      <c r="L1706" s="10">
        <v>3156.5889999999999</v>
      </c>
      <c r="M1706" s="10">
        <v>53.688000000000002</v>
      </c>
      <c r="N1706" s="10">
        <v>53.688000000000002</v>
      </c>
      <c r="O1706" s="10">
        <v>72.114000000000004</v>
      </c>
      <c r="P1706" s="10">
        <v>11</v>
      </c>
      <c r="Q1706" s="10">
        <v>11</v>
      </c>
      <c r="R1706" s="10">
        <v>12</v>
      </c>
    </row>
    <row r="1707" spans="1:18" ht="17" customHeight="1" x14ac:dyDescent="0.15">
      <c r="A1707" s="11" t="s">
        <v>9082</v>
      </c>
      <c r="B1707" s="1" t="s">
        <v>9083</v>
      </c>
      <c r="C1707" s="11" t="s">
        <v>9084</v>
      </c>
      <c r="D1707" s="11" t="s">
        <v>9084</v>
      </c>
      <c r="E1707" s="11" t="s">
        <v>9085</v>
      </c>
      <c r="F1707" s="11" t="s">
        <v>9020</v>
      </c>
      <c r="G1707" s="11" t="s">
        <v>9086</v>
      </c>
      <c r="H1707" s="11" t="s">
        <v>9022</v>
      </c>
      <c r="I1707" s="11" t="str">
        <f>HYPERLINK("http://www.conceriastella.com/","www.conceriastella.com")</f>
        <v>www.conceriastella.com</v>
      </c>
      <c r="J1707" s="12">
        <v>7688.08</v>
      </c>
      <c r="K1707" s="12">
        <v>7688.08</v>
      </c>
      <c r="L1707" s="13">
        <v>3151.9540000000002</v>
      </c>
      <c r="M1707" s="12">
        <v>993.51</v>
      </c>
      <c r="N1707" s="12">
        <v>993.51</v>
      </c>
      <c r="O1707" s="12">
        <v>207.68199999999999</v>
      </c>
      <c r="P1707" s="12">
        <v>15</v>
      </c>
      <c r="Q1707" s="12">
        <v>15</v>
      </c>
      <c r="R1707" s="12">
        <v>17</v>
      </c>
    </row>
    <row r="1708" spans="1:18" ht="17" customHeight="1" x14ac:dyDescent="0.15">
      <c r="A1708" s="8" t="s">
        <v>9087</v>
      </c>
      <c r="B1708" s="9" t="s">
        <v>9088</v>
      </c>
      <c r="C1708" s="8" t="s">
        <v>9089</v>
      </c>
      <c r="D1708" s="8" t="s">
        <v>9089</v>
      </c>
      <c r="E1708" s="8" t="s">
        <v>9090</v>
      </c>
      <c r="F1708" s="8" t="s">
        <v>9079</v>
      </c>
      <c r="G1708" s="8" t="s">
        <v>9042</v>
      </c>
      <c r="H1708" s="8" t="s">
        <v>9043</v>
      </c>
      <c r="I1708" s="8" t="str">
        <f>HYPERLINK("http://2sftsocialdenim.it/","2sftsocialdenim.it")</f>
        <v>2sftsocialdenim.it</v>
      </c>
      <c r="J1708" s="10">
        <v>3964.1880000000001</v>
      </c>
      <c r="K1708" s="10">
        <v>3964.1880000000001</v>
      </c>
      <c r="L1708" s="10">
        <v>3152.0010000000002</v>
      </c>
      <c r="M1708" s="10">
        <v>45.148000000000003</v>
      </c>
      <c r="N1708" s="10">
        <v>45.148000000000003</v>
      </c>
      <c r="O1708" s="10">
        <v>39.058999999999997</v>
      </c>
      <c r="P1708" s="15" t="s">
        <v>9030</v>
      </c>
      <c r="Q1708" s="15" t="s">
        <v>9030</v>
      </c>
      <c r="R1708" s="10">
        <v>1</v>
      </c>
    </row>
    <row r="1709" spans="1:18" ht="17" customHeight="1" x14ac:dyDescent="0.15">
      <c r="A1709" s="11" t="s">
        <v>9091</v>
      </c>
      <c r="B1709" s="1" t="s">
        <v>9092</v>
      </c>
      <c r="C1709" s="11" t="s">
        <v>9093</v>
      </c>
      <c r="D1709" s="11" t="s">
        <v>9093</v>
      </c>
      <c r="E1709" s="11" t="s">
        <v>9094</v>
      </c>
      <c r="F1709" s="11" t="s">
        <v>9074</v>
      </c>
      <c r="G1709" s="11" t="s">
        <v>9095</v>
      </c>
      <c r="H1709" s="11" t="s">
        <v>9043</v>
      </c>
      <c r="I1709" s="11" t="str">
        <f>HYPERLINK("http://www.jpdavid.it/","www.jpdavid.it")</f>
        <v>www.jpdavid.it</v>
      </c>
      <c r="J1709" s="12">
        <v>2802.049</v>
      </c>
      <c r="K1709" s="12">
        <v>2802.049</v>
      </c>
      <c r="L1709" s="13">
        <v>3148.7779999999998</v>
      </c>
      <c r="M1709" s="12">
        <v>133.99700000000001</v>
      </c>
      <c r="N1709" s="12">
        <v>133.99700000000001</v>
      </c>
      <c r="O1709" s="12">
        <v>111.625</v>
      </c>
      <c r="P1709" s="14" t="s">
        <v>9030</v>
      </c>
      <c r="Q1709" s="14" t="s">
        <v>9030</v>
      </c>
      <c r="R1709" s="12">
        <v>22</v>
      </c>
    </row>
    <row r="1710" spans="1:18" ht="17" customHeight="1" x14ac:dyDescent="0.15">
      <c r="A1710" s="8" t="s">
        <v>9096</v>
      </c>
      <c r="B1710" s="9" t="s">
        <v>9097</v>
      </c>
      <c r="C1710" s="8" t="s">
        <v>9098</v>
      </c>
      <c r="D1710" s="8" t="s">
        <v>9098</v>
      </c>
      <c r="E1710" s="8" t="s">
        <v>9099</v>
      </c>
      <c r="F1710" s="8" t="s">
        <v>9079</v>
      </c>
      <c r="G1710" s="8" t="s">
        <v>9100</v>
      </c>
      <c r="H1710" s="8" t="s">
        <v>9050</v>
      </c>
      <c r="I1710" s="8" t="str">
        <f>HYPERLINK("http://www.stefaniaconfezioni.it/","www.stefaniaconfezioni.it")</f>
        <v>www.stefaniaconfezioni.it</v>
      </c>
      <c r="J1710" s="10">
        <v>3519.4639999999999</v>
      </c>
      <c r="K1710" s="10">
        <v>3519.4639999999999</v>
      </c>
      <c r="L1710" s="10">
        <v>3147.8780000000002</v>
      </c>
      <c r="M1710" s="10">
        <v>479.57299999999998</v>
      </c>
      <c r="N1710" s="10">
        <v>479.57299999999998</v>
      </c>
      <c r="O1710" s="10">
        <v>550.71400000000006</v>
      </c>
      <c r="P1710" s="10">
        <v>28</v>
      </c>
      <c r="Q1710" s="10">
        <v>28</v>
      </c>
      <c r="R1710" s="10">
        <v>28</v>
      </c>
    </row>
    <row r="1711" spans="1:18" ht="29.5" customHeight="1" x14ac:dyDescent="0.15">
      <c r="A1711" s="11" t="s">
        <v>9101</v>
      </c>
      <c r="B1711" s="1" t="s">
        <v>9102</v>
      </c>
      <c r="C1711" s="11" t="s">
        <v>9103</v>
      </c>
      <c r="D1711" s="11" t="s">
        <v>9103</v>
      </c>
      <c r="E1711" s="11" t="s">
        <v>9104</v>
      </c>
      <c r="F1711" s="11" t="s">
        <v>9041</v>
      </c>
      <c r="G1711" s="11" t="s">
        <v>9105</v>
      </c>
      <c r="H1711" s="11" t="s">
        <v>9029</v>
      </c>
      <c r="I1711" s="11" t="str">
        <f>HYPERLINK("http://www.2rocche.it/","www.2rocche.it")</f>
        <v>www.2rocche.it</v>
      </c>
      <c r="J1711" s="12">
        <v>2682.43</v>
      </c>
      <c r="K1711" s="12">
        <v>2682.43</v>
      </c>
      <c r="L1711" s="13">
        <v>3146.9369999999999</v>
      </c>
      <c r="M1711" s="12">
        <v>15.707000000000001</v>
      </c>
      <c r="N1711" s="12">
        <v>15.707000000000001</v>
      </c>
      <c r="O1711" s="12">
        <v>69.537999999999997</v>
      </c>
      <c r="P1711" s="12">
        <v>11</v>
      </c>
      <c r="Q1711" s="12">
        <v>11</v>
      </c>
      <c r="R1711" s="12">
        <v>11</v>
      </c>
    </row>
    <row r="1712" spans="1:18" ht="17" customHeight="1" x14ac:dyDescent="0.15">
      <c r="A1712" s="8" t="s">
        <v>9106</v>
      </c>
      <c r="B1712" s="9" t="s">
        <v>9107</v>
      </c>
      <c r="C1712" s="8" t="s">
        <v>9108</v>
      </c>
      <c r="D1712" s="8" t="s">
        <v>9108</v>
      </c>
      <c r="E1712" s="8" t="s">
        <v>9109</v>
      </c>
      <c r="F1712" s="8" t="s">
        <v>9074</v>
      </c>
      <c r="G1712" s="8" t="s">
        <v>9110</v>
      </c>
      <c r="H1712" s="8" t="s">
        <v>9043</v>
      </c>
      <c r="I1712" s="8" t="str">
        <f>HYPERLINK("http://www.caloshoes.it/","www.caloshoes.it")</f>
        <v>www.caloshoes.it</v>
      </c>
      <c r="J1712" s="10">
        <v>2860.826</v>
      </c>
      <c r="K1712" s="10">
        <v>2860.826</v>
      </c>
      <c r="L1712" s="10">
        <v>3142.8719999999998</v>
      </c>
      <c r="M1712" s="10">
        <v>17.771000000000001</v>
      </c>
      <c r="N1712" s="10">
        <v>17.771000000000001</v>
      </c>
      <c r="O1712" s="10">
        <v>44.451999999999998</v>
      </c>
      <c r="P1712" s="15" t="s">
        <v>9030</v>
      </c>
      <c r="Q1712" s="15" t="s">
        <v>9030</v>
      </c>
      <c r="R1712" s="15" t="s">
        <v>9030</v>
      </c>
    </row>
    <row r="1713" spans="1:18" ht="17" customHeight="1" x14ac:dyDescent="0.15">
      <c r="A1713" s="11" t="s">
        <v>9111</v>
      </c>
      <c r="B1713" s="1" t="s">
        <v>9112</v>
      </c>
      <c r="C1713" s="11" t="s">
        <v>9113</v>
      </c>
      <c r="D1713" s="11" t="s">
        <v>9114</v>
      </c>
      <c r="E1713" s="11" t="s">
        <v>9115</v>
      </c>
      <c r="F1713" s="11" t="s">
        <v>9116</v>
      </c>
      <c r="G1713" s="11" t="s">
        <v>9086</v>
      </c>
      <c r="H1713" s="11" t="s">
        <v>9022</v>
      </c>
      <c r="I1713" s="11" t="str">
        <f>HYPERLINK("http://www.emmaegaia.it/contact/","www.emmaegaia.it/contact/")</f>
        <v>www.emmaegaia.it/contact/</v>
      </c>
      <c r="J1713" s="12">
        <v>3090.596</v>
      </c>
      <c r="K1713" s="12">
        <v>3090.596</v>
      </c>
      <c r="L1713" s="13">
        <v>3140.306</v>
      </c>
      <c r="M1713" s="12">
        <v>-198.36699999999999</v>
      </c>
      <c r="N1713" s="12">
        <v>-198.36699999999999</v>
      </c>
      <c r="O1713" s="12">
        <v>-1142.4970000000001</v>
      </c>
      <c r="P1713" s="12">
        <v>11</v>
      </c>
      <c r="Q1713" s="12">
        <v>11</v>
      </c>
      <c r="R1713" s="12">
        <v>12</v>
      </c>
    </row>
    <row r="1714" spans="1:18" ht="17" customHeight="1" x14ac:dyDescent="0.15">
      <c r="A1714" s="8" t="s">
        <v>9117</v>
      </c>
      <c r="B1714" s="9" t="s">
        <v>9118</v>
      </c>
      <c r="C1714" s="8" t="s">
        <v>9119</v>
      </c>
      <c r="D1714" s="8" t="s">
        <v>9119</v>
      </c>
      <c r="E1714" s="8" t="s">
        <v>9120</v>
      </c>
      <c r="F1714" s="8" t="s">
        <v>9020</v>
      </c>
      <c r="G1714" s="8" t="s">
        <v>9055</v>
      </c>
      <c r="H1714" s="8" t="s">
        <v>9022</v>
      </c>
      <c r="I1714" s="8" t="str">
        <f>HYPERLINK("http://www.conceriayankee.com/","http://www.conceriayankee.com")</f>
        <v>http://www.conceriayankee.com</v>
      </c>
      <c r="J1714" s="10">
        <v>2986.9589999999998</v>
      </c>
      <c r="K1714" s="10">
        <v>2986.9589999999998</v>
      </c>
      <c r="L1714" s="10">
        <v>3137.4769999999999</v>
      </c>
      <c r="M1714" s="10">
        <v>-319.66399999999999</v>
      </c>
      <c r="N1714" s="10">
        <v>-319.66399999999999</v>
      </c>
      <c r="O1714" s="10">
        <v>-244.76</v>
      </c>
      <c r="P1714" s="10">
        <v>14</v>
      </c>
      <c r="Q1714" s="10">
        <v>14</v>
      </c>
      <c r="R1714" s="10">
        <v>15</v>
      </c>
    </row>
    <row r="1715" spans="1:18" ht="17" customHeight="1" x14ac:dyDescent="0.15">
      <c r="A1715" s="11" t="s">
        <v>9121</v>
      </c>
      <c r="B1715" s="1" t="s">
        <v>9122</v>
      </c>
      <c r="C1715" s="11" t="s">
        <v>9123</v>
      </c>
      <c r="D1715" s="11" t="s">
        <v>9123</v>
      </c>
      <c r="E1715" s="11" t="s">
        <v>9124</v>
      </c>
      <c r="F1715" s="11" t="s">
        <v>9125</v>
      </c>
      <c r="G1715" s="11" t="s">
        <v>9126</v>
      </c>
      <c r="H1715" s="11" t="s">
        <v>9127</v>
      </c>
      <c r="I1715" s="11" t="str">
        <f>HYPERLINK("http://www.volpibeverage.it/","www.volpibeverage.it")</f>
        <v>www.volpibeverage.it</v>
      </c>
      <c r="J1715" s="12">
        <v>4151.0929999999998</v>
      </c>
      <c r="K1715" s="12">
        <v>4151.0929999999998</v>
      </c>
      <c r="L1715" s="13">
        <v>3135.2249999999999</v>
      </c>
      <c r="M1715" s="12">
        <v>109.069</v>
      </c>
      <c r="N1715" s="12">
        <v>109.069</v>
      </c>
      <c r="O1715" s="12">
        <v>48.548999999999999</v>
      </c>
      <c r="P1715" s="12">
        <v>16</v>
      </c>
      <c r="Q1715" s="12">
        <v>16</v>
      </c>
      <c r="R1715" s="12">
        <v>11</v>
      </c>
    </row>
    <row r="1716" spans="1:18" ht="17" customHeight="1" x14ac:dyDescent="0.15">
      <c r="A1716" s="8" t="s">
        <v>9128</v>
      </c>
      <c r="B1716" s="9" t="s">
        <v>9129</v>
      </c>
      <c r="C1716" s="8" t="s">
        <v>9130</v>
      </c>
      <c r="D1716" s="8" t="s">
        <v>9130</v>
      </c>
      <c r="E1716" s="8" t="s">
        <v>9131</v>
      </c>
      <c r="F1716" s="8" t="s">
        <v>9074</v>
      </c>
      <c r="G1716" s="8" t="s">
        <v>9049</v>
      </c>
      <c r="H1716" s="8" t="s">
        <v>9050</v>
      </c>
      <c r="I1716" s="8" t="str">
        <f>HYPERLINK("http://www.galluccishoes.it/","www.galluccishoes.it")</f>
        <v>www.galluccishoes.it</v>
      </c>
      <c r="J1716" s="10">
        <v>3575.623</v>
      </c>
      <c r="K1716" s="10">
        <v>3575.623</v>
      </c>
      <c r="L1716" s="10">
        <v>3135.1480000000001</v>
      </c>
      <c r="M1716" s="10">
        <v>45.554000000000002</v>
      </c>
      <c r="N1716" s="10">
        <v>45.554000000000002</v>
      </c>
      <c r="O1716" s="10">
        <v>77.286000000000001</v>
      </c>
      <c r="P1716" s="10">
        <v>29</v>
      </c>
      <c r="Q1716" s="10">
        <v>29</v>
      </c>
      <c r="R1716" s="10">
        <v>32</v>
      </c>
    </row>
    <row r="1717" spans="1:18" ht="17" customHeight="1" x14ac:dyDescent="0.15">
      <c r="A1717" s="11" t="s">
        <v>9132</v>
      </c>
      <c r="B1717" s="1" t="s">
        <v>9133</v>
      </c>
      <c r="C1717" s="11" t="s">
        <v>9134</v>
      </c>
      <c r="D1717" s="11" t="s">
        <v>9134</v>
      </c>
      <c r="E1717" s="11" t="s">
        <v>9135</v>
      </c>
      <c r="F1717" s="11" t="s">
        <v>9041</v>
      </c>
      <c r="G1717" s="11" t="s">
        <v>9136</v>
      </c>
      <c r="H1717" s="11" t="s">
        <v>9081</v>
      </c>
      <c r="I1717" s="11" t="str">
        <f>HYPERLINK("http://teoremasuole.it/","teoremasuole.it")</f>
        <v>teoremasuole.it</v>
      </c>
      <c r="J1717" s="12">
        <v>1593.2750000000001</v>
      </c>
      <c r="K1717" s="12">
        <v>1593.2750000000001</v>
      </c>
      <c r="L1717" s="13">
        <v>3130.1190000000001</v>
      </c>
      <c r="M1717" s="12">
        <v>-45.261000000000003</v>
      </c>
      <c r="N1717" s="12">
        <v>-45.261000000000003</v>
      </c>
      <c r="O1717" s="12">
        <v>190.59899999999999</v>
      </c>
      <c r="P1717" s="12">
        <v>11</v>
      </c>
      <c r="Q1717" s="12">
        <v>11</v>
      </c>
      <c r="R1717" s="12">
        <v>20</v>
      </c>
    </row>
    <row r="1718" spans="1:18" ht="17" customHeight="1" x14ac:dyDescent="0.15">
      <c r="A1718" s="8" t="s">
        <v>9137</v>
      </c>
      <c r="B1718" s="9" t="s">
        <v>9138</v>
      </c>
      <c r="C1718" s="8" t="s">
        <v>9139</v>
      </c>
      <c r="D1718" s="8" t="s">
        <v>9140</v>
      </c>
      <c r="E1718" s="8" t="s">
        <v>9141</v>
      </c>
      <c r="F1718" s="8" t="s">
        <v>9060</v>
      </c>
      <c r="G1718" s="8" t="s">
        <v>9142</v>
      </c>
      <c r="H1718" s="8" t="s">
        <v>9022</v>
      </c>
      <c r="I1718" s="8" t="str">
        <f>HYPERLINK("http://boldriniselleria.com/","boldriniselleria.com")</f>
        <v>boldriniselleria.com</v>
      </c>
      <c r="J1718" s="10">
        <v>3877.2559999999999</v>
      </c>
      <c r="K1718" s="10">
        <v>3877.2559999999999</v>
      </c>
      <c r="L1718" s="10">
        <v>3123.6469999999999</v>
      </c>
      <c r="M1718" s="10">
        <v>107.694</v>
      </c>
      <c r="N1718" s="10">
        <v>107.694</v>
      </c>
      <c r="O1718" s="10">
        <v>23.603999999999999</v>
      </c>
      <c r="P1718" s="15" t="s">
        <v>9030</v>
      </c>
      <c r="Q1718" s="15" t="s">
        <v>9030</v>
      </c>
      <c r="R1718" s="10">
        <v>14</v>
      </c>
    </row>
    <row r="1719" spans="1:18" ht="17" customHeight="1" x14ac:dyDescent="0.15">
      <c r="A1719" s="11" t="s">
        <v>9143</v>
      </c>
      <c r="B1719" s="1" t="s">
        <v>9144</v>
      </c>
      <c r="C1719" s="11" t="s">
        <v>9145</v>
      </c>
      <c r="D1719" s="11" t="s">
        <v>9145</v>
      </c>
      <c r="E1719" s="11" t="s">
        <v>9146</v>
      </c>
      <c r="F1719" s="11" t="s">
        <v>9147</v>
      </c>
      <c r="G1719" s="11" t="s">
        <v>9021</v>
      </c>
      <c r="H1719" s="11" t="s">
        <v>9022</v>
      </c>
      <c r="I1719" s="11" t="str">
        <f>HYPERLINK("http://palto.it/","palto.it")</f>
        <v>palto.it</v>
      </c>
      <c r="J1719" s="12">
        <v>3626.643</v>
      </c>
      <c r="K1719" s="12">
        <v>3626.643</v>
      </c>
      <c r="L1719" s="13">
        <v>3122.49</v>
      </c>
      <c r="M1719" s="12">
        <v>304.2</v>
      </c>
      <c r="N1719" s="12">
        <v>304.2</v>
      </c>
      <c r="O1719" s="12">
        <v>102.184</v>
      </c>
      <c r="P1719" s="12">
        <v>7</v>
      </c>
      <c r="Q1719" s="12">
        <v>7</v>
      </c>
      <c r="R1719" s="12">
        <v>7</v>
      </c>
    </row>
    <row r="1720" spans="1:18" ht="17" customHeight="1" x14ac:dyDescent="0.15">
      <c r="A1720" s="8" t="s">
        <v>9148</v>
      </c>
      <c r="B1720" s="9" t="s">
        <v>9149</v>
      </c>
      <c r="C1720" s="8" t="s">
        <v>9150</v>
      </c>
      <c r="D1720" s="8" t="s">
        <v>9150</v>
      </c>
      <c r="E1720" s="8" t="s">
        <v>9151</v>
      </c>
      <c r="F1720" s="8" t="s">
        <v>9079</v>
      </c>
      <c r="G1720" s="8" t="s">
        <v>9152</v>
      </c>
      <c r="H1720" s="8" t="s">
        <v>9127</v>
      </c>
      <c r="I1720" s="8" t="str">
        <f>HYPERLINK("http://nohowstyle.com/","nohowstyle.com")</f>
        <v>nohowstyle.com</v>
      </c>
      <c r="J1720" s="10">
        <v>2935.038</v>
      </c>
      <c r="K1720" s="10">
        <v>2935.038</v>
      </c>
      <c r="L1720" s="10">
        <v>3122.32</v>
      </c>
      <c r="M1720" s="10">
        <v>44.430999999999997</v>
      </c>
      <c r="N1720" s="10">
        <v>44.430999999999997</v>
      </c>
      <c r="O1720" s="10">
        <v>-120.557</v>
      </c>
      <c r="P1720" s="10">
        <v>9</v>
      </c>
      <c r="Q1720" s="10">
        <v>9</v>
      </c>
      <c r="R1720" s="10">
        <v>10</v>
      </c>
    </row>
    <row r="1721" spans="1:18" ht="17" customHeight="1" x14ac:dyDescent="0.15">
      <c r="A1721" s="11" t="s">
        <v>9153</v>
      </c>
      <c r="B1721" s="1" t="s">
        <v>9154</v>
      </c>
      <c r="C1721" s="11" t="s">
        <v>9155</v>
      </c>
      <c r="D1721" s="11" t="s">
        <v>9156</v>
      </c>
      <c r="E1721" s="11" t="s">
        <v>9157</v>
      </c>
      <c r="F1721" s="11" t="s">
        <v>9079</v>
      </c>
      <c r="G1721" s="11" t="s">
        <v>9158</v>
      </c>
      <c r="H1721" s="11" t="s">
        <v>9062</v>
      </c>
      <c r="I1721" s="11" t="str">
        <f>HYPERLINK("http://www.elisalandri.it/","www.elisalandri.it")</f>
        <v>www.elisalandri.it</v>
      </c>
      <c r="J1721" s="12">
        <v>2795.576</v>
      </c>
      <c r="K1721" s="12">
        <v>2795.576</v>
      </c>
      <c r="L1721" s="13">
        <v>3118.1120000000001</v>
      </c>
      <c r="M1721" s="12">
        <v>10.313000000000001</v>
      </c>
      <c r="N1721" s="12">
        <v>10.313000000000001</v>
      </c>
      <c r="O1721" s="12">
        <v>63.875</v>
      </c>
      <c r="P1721" s="12">
        <v>13</v>
      </c>
      <c r="Q1721" s="12">
        <v>13</v>
      </c>
      <c r="R1721" s="12">
        <v>13</v>
      </c>
    </row>
    <row r="1722" spans="1:18" ht="17" customHeight="1" x14ac:dyDescent="0.15">
      <c r="A1722" s="8" t="s">
        <v>9159</v>
      </c>
      <c r="B1722" s="9" t="s">
        <v>9160</v>
      </c>
      <c r="C1722" s="8" t="s">
        <v>9161</v>
      </c>
      <c r="D1722" s="8" t="s">
        <v>9161</v>
      </c>
      <c r="E1722" s="8" t="s">
        <v>9162</v>
      </c>
      <c r="F1722" s="8" t="s">
        <v>9074</v>
      </c>
      <c r="G1722" s="8" t="s">
        <v>9163</v>
      </c>
      <c r="H1722" s="8" t="s">
        <v>9069</v>
      </c>
      <c r="I1722" s="8" t="str">
        <f>HYPERLINK("http://www.luxurysystem.it/","http://www.luxurysystem.it")</f>
        <v>http://www.luxurysystem.it</v>
      </c>
      <c r="J1722" s="10">
        <v>1887.4480000000001</v>
      </c>
      <c r="K1722" s="10">
        <v>1887.4480000000001</v>
      </c>
      <c r="L1722" s="10">
        <v>3116.4279999999999</v>
      </c>
      <c r="M1722" s="10">
        <v>-546.79499999999996</v>
      </c>
      <c r="N1722" s="10">
        <v>-546.79499999999996</v>
      </c>
      <c r="O1722" s="10">
        <v>-157.988</v>
      </c>
      <c r="P1722" s="10">
        <v>57</v>
      </c>
      <c r="Q1722" s="10">
        <v>57</v>
      </c>
      <c r="R1722" s="10">
        <v>80</v>
      </c>
    </row>
    <row r="1723" spans="1:18" ht="17" customHeight="1" x14ac:dyDescent="0.15">
      <c r="A1723" s="11" t="s">
        <v>9164</v>
      </c>
      <c r="B1723" s="1" t="s">
        <v>9165</v>
      </c>
      <c r="C1723" s="11" t="s">
        <v>9166</v>
      </c>
      <c r="D1723" s="11" t="s">
        <v>9166</v>
      </c>
      <c r="E1723" s="11" t="s">
        <v>9167</v>
      </c>
      <c r="F1723" s="11" t="s">
        <v>9125</v>
      </c>
      <c r="G1723" s="11" t="s">
        <v>9080</v>
      </c>
      <c r="H1723" s="11" t="s">
        <v>9081</v>
      </c>
      <c r="I1723" s="11" t="str">
        <f>HYPERLINK("http://www.garcons.it/","www.garcons.it")</f>
        <v>www.garcons.it</v>
      </c>
      <c r="J1723" s="12">
        <v>2263.0889999999999</v>
      </c>
      <c r="K1723" s="12">
        <v>2263.0889999999999</v>
      </c>
      <c r="L1723" s="13">
        <v>3109.08</v>
      </c>
      <c r="M1723" s="12">
        <v>14.679</v>
      </c>
      <c r="N1723" s="12">
        <v>14.679</v>
      </c>
      <c r="O1723" s="12">
        <v>52.838000000000001</v>
      </c>
      <c r="P1723" s="12">
        <v>10</v>
      </c>
      <c r="Q1723" s="12">
        <v>10</v>
      </c>
      <c r="R1723" s="12">
        <v>10</v>
      </c>
    </row>
    <row r="1724" spans="1:18" ht="17" customHeight="1" x14ac:dyDescent="0.15">
      <c r="A1724" s="8" t="s">
        <v>9168</v>
      </c>
      <c r="B1724" s="9" t="s">
        <v>9169</v>
      </c>
      <c r="C1724" s="8" t="s">
        <v>9170</v>
      </c>
      <c r="D1724" s="8" t="s">
        <v>9170</v>
      </c>
      <c r="E1724" s="8" t="s">
        <v>9171</v>
      </c>
      <c r="F1724" s="8" t="s">
        <v>9079</v>
      </c>
      <c r="G1724" s="8" t="s">
        <v>9163</v>
      </c>
      <c r="H1724" s="8" t="s">
        <v>9069</v>
      </c>
      <c r="I1724" s="8" t="str">
        <f>HYPERLINK("http://www.unoerresrl.com/","www.unoerresrl.com")</f>
        <v>www.unoerresrl.com</v>
      </c>
      <c r="J1724" s="10">
        <v>2882.6419999999998</v>
      </c>
      <c r="K1724" s="10">
        <v>2882.6419999999998</v>
      </c>
      <c r="L1724" s="10">
        <v>3107.4949999999999</v>
      </c>
      <c r="M1724" s="10">
        <v>28.997</v>
      </c>
      <c r="N1724" s="10">
        <v>28.997</v>
      </c>
      <c r="O1724" s="10">
        <v>10.423</v>
      </c>
      <c r="P1724" s="10">
        <v>66</v>
      </c>
      <c r="Q1724" s="10">
        <v>66</v>
      </c>
      <c r="R1724" s="10">
        <v>49</v>
      </c>
    </row>
    <row r="1725" spans="1:18" ht="17" customHeight="1" x14ac:dyDescent="0.15">
      <c r="A1725" s="11" t="s">
        <v>9172</v>
      </c>
      <c r="B1725" s="1" t="s">
        <v>9173</v>
      </c>
      <c r="C1725" s="11" t="s">
        <v>9174</v>
      </c>
      <c r="D1725" s="11" t="s">
        <v>9175</v>
      </c>
      <c r="E1725" s="11" t="s">
        <v>9176</v>
      </c>
      <c r="F1725" s="11" t="s">
        <v>9067</v>
      </c>
      <c r="G1725" s="11" t="s">
        <v>9177</v>
      </c>
      <c r="H1725" s="11" t="s">
        <v>9062</v>
      </c>
      <c r="I1725" s="11" t="str">
        <f>HYPERLINK("http://www.palazzina.it/","www.palazzina.it")</f>
        <v>www.palazzina.it</v>
      </c>
      <c r="J1725" s="12">
        <v>3314.6729999999998</v>
      </c>
      <c r="K1725" s="12">
        <v>3314.6729999999998</v>
      </c>
      <c r="L1725" s="13">
        <v>3106.8139999999999</v>
      </c>
      <c r="M1725" s="12">
        <v>51.182000000000002</v>
      </c>
      <c r="N1725" s="12">
        <v>51.182000000000002</v>
      </c>
      <c r="O1725" s="12">
        <v>91.3</v>
      </c>
      <c r="P1725" s="12">
        <v>9</v>
      </c>
      <c r="Q1725" s="12">
        <v>9</v>
      </c>
      <c r="R1725" s="12">
        <v>9</v>
      </c>
    </row>
    <row r="1726" spans="1:18" ht="17" customHeight="1" x14ac:dyDescent="0.15">
      <c r="A1726" s="8" t="s">
        <v>9178</v>
      </c>
      <c r="B1726" s="9" t="s">
        <v>9179</v>
      </c>
      <c r="C1726" s="8" t="s">
        <v>9180</v>
      </c>
      <c r="D1726" s="8" t="s">
        <v>9181</v>
      </c>
      <c r="E1726" s="8" t="s">
        <v>9182</v>
      </c>
      <c r="F1726" s="8" t="s">
        <v>9067</v>
      </c>
      <c r="G1726" s="8" t="s">
        <v>9158</v>
      </c>
      <c r="H1726" s="8" t="s">
        <v>9062</v>
      </c>
      <c r="I1726" s="8" t="str">
        <f>HYPERLINK("http://www.fraly.it/","www.fraly.it")</f>
        <v>www.fraly.it</v>
      </c>
      <c r="J1726" s="10">
        <v>3580.5929999999998</v>
      </c>
      <c r="K1726" s="10">
        <v>3580.5929999999998</v>
      </c>
      <c r="L1726" s="10">
        <v>3106.1329999999998</v>
      </c>
      <c r="M1726" s="10">
        <v>162.66800000000001</v>
      </c>
      <c r="N1726" s="10">
        <v>162.66800000000001</v>
      </c>
      <c r="O1726" s="10">
        <v>53.433</v>
      </c>
      <c r="P1726" s="15" t="s">
        <v>9030</v>
      </c>
      <c r="Q1726" s="15" t="s">
        <v>9030</v>
      </c>
      <c r="R1726" s="10">
        <v>17</v>
      </c>
    </row>
    <row r="1727" spans="1:18" ht="17" customHeight="1" x14ac:dyDescent="0.15">
      <c r="A1727" s="11" t="s">
        <v>9183</v>
      </c>
      <c r="B1727" s="1" t="s">
        <v>9184</v>
      </c>
      <c r="C1727" s="11" t="s">
        <v>9185</v>
      </c>
      <c r="D1727" s="11" t="s">
        <v>9185</v>
      </c>
      <c r="E1727" s="11" t="s">
        <v>9186</v>
      </c>
      <c r="F1727" s="11" t="s">
        <v>9074</v>
      </c>
      <c r="G1727" s="11" t="s">
        <v>9021</v>
      </c>
      <c r="H1727" s="11" t="s">
        <v>9022</v>
      </c>
      <c r="I1727" s="11" t="str">
        <f>HYPERLINK("http://www.sanitalight.it/","www.sanitalight.it")</f>
        <v>www.sanitalight.it</v>
      </c>
      <c r="J1727" s="12">
        <v>2500.7539999999999</v>
      </c>
      <c r="K1727" s="12">
        <v>2500.7539999999999</v>
      </c>
      <c r="L1727" s="13">
        <v>3102.66</v>
      </c>
      <c r="M1727" s="12">
        <v>51.712000000000003</v>
      </c>
      <c r="N1727" s="12">
        <v>51.712000000000003</v>
      </c>
      <c r="O1727" s="12">
        <v>252.68199999999999</v>
      </c>
      <c r="P1727" s="12">
        <v>11</v>
      </c>
      <c r="Q1727" s="12">
        <v>11</v>
      </c>
      <c r="R1727" s="12">
        <v>11</v>
      </c>
    </row>
    <row r="1728" spans="1:18" ht="17" customHeight="1" x14ac:dyDescent="0.15">
      <c r="A1728" s="8" t="s">
        <v>9187</v>
      </c>
      <c r="B1728" s="9" t="s">
        <v>9188</v>
      </c>
      <c r="C1728" s="8" t="s">
        <v>9189</v>
      </c>
      <c r="D1728" s="8" t="s">
        <v>9189</v>
      </c>
      <c r="E1728" s="8" t="s">
        <v>9190</v>
      </c>
      <c r="F1728" s="8" t="s">
        <v>9116</v>
      </c>
      <c r="G1728" s="8" t="s">
        <v>9042</v>
      </c>
      <c r="H1728" s="8" t="s">
        <v>9043</v>
      </c>
      <c r="I1728" s="8" t="str">
        <f>HYPERLINK("http://salvatoresantoro.com/","salvatoresantoro.com")</f>
        <v>salvatoresantoro.com</v>
      </c>
      <c r="J1728" s="10">
        <v>3177.1729999999998</v>
      </c>
      <c r="K1728" s="10">
        <v>3177.1729999999998</v>
      </c>
      <c r="L1728" s="10">
        <v>3100.0329999999999</v>
      </c>
      <c r="M1728" s="10">
        <v>36.866</v>
      </c>
      <c r="N1728" s="10">
        <v>36.866</v>
      </c>
      <c r="O1728" s="10">
        <v>153.41800000000001</v>
      </c>
      <c r="P1728" s="10">
        <v>20</v>
      </c>
      <c r="Q1728" s="10">
        <v>20</v>
      </c>
      <c r="R1728" s="10">
        <v>20</v>
      </c>
    </row>
    <row r="1729" spans="1:18" ht="17" customHeight="1" x14ac:dyDescent="0.15">
      <c r="A1729" s="11" t="s">
        <v>9191</v>
      </c>
      <c r="B1729" s="1" t="s">
        <v>9192</v>
      </c>
      <c r="C1729" s="11" t="s">
        <v>9193</v>
      </c>
      <c r="D1729" s="11" t="s">
        <v>9193</v>
      </c>
      <c r="E1729" s="11" t="s">
        <v>9194</v>
      </c>
      <c r="F1729" s="11" t="s">
        <v>9195</v>
      </c>
      <c r="G1729" s="11" t="s">
        <v>9196</v>
      </c>
      <c r="H1729" s="11" t="s">
        <v>9197</v>
      </c>
      <c r="I1729" s="11" t="str">
        <f>HYPERLINK("http://www.zero363srl.it/","www.zero363srl.it")</f>
        <v>www.zero363srl.it</v>
      </c>
      <c r="J1729" s="12">
        <v>2559.529</v>
      </c>
      <c r="K1729" s="12">
        <v>2559.529</v>
      </c>
      <c r="L1729" s="13">
        <v>3097.1019999999999</v>
      </c>
      <c r="M1729" s="12">
        <v>-931.524</v>
      </c>
      <c r="N1729" s="12">
        <v>-931.524</v>
      </c>
      <c r="O1729" s="12">
        <v>24.797000000000001</v>
      </c>
      <c r="P1729" s="12">
        <v>28</v>
      </c>
      <c r="Q1729" s="12">
        <v>28</v>
      </c>
      <c r="R1729" s="12">
        <v>15</v>
      </c>
    </row>
    <row r="1730" spans="1:18" ht="17" customHeight="1" x14ac:dyDescent="0.15">
      <c r="A1730" s="8" t="s">
        <v>9198</v>
      </c>
      <c r="B1730" s="9" t="s">
        <v>9199</v>
      </c>
      <c r="C1730" s="8" t="s">
        <v>9200</v>
      </c>
      <c r="D1730" s="8" t="s">
        <v>9200</v>
      </c>
      <c r="E1730" s="8" t="s">
        <v>9201</v>
      </c>
      <c r="F1730" s="8" t="s">
        <v>9202</v>
      </c>
      <c r="G1730" s="8" t="s">
        <v>9203</v>
      </c>
      <c r="H1730" s="8" t="s">
        <v>9204</v>
      </c>
      <c r="I1730" s="8" t="str">
        <f>HYPERLINK("http://bssplitting.it/","bssplitting.it")</f>
        <v>bssplitting.it</v>
      </c>
      <c r="J1730" s="10">
        <v>2966.277</v>
      </c>
      <c r="K1730" s="10">
        <v>2966.277</v>
      </c>
      <c r="L1730" s="10">
        <v>3093.2359999999999</v>
      </c>
      <c r="M1730" s="10">
        <v>515.78399999999999</v>
      </c>
      <c r="N1730" s="10">
        <v>515.78399999999999</v>
      </c>
      <c r="O1730" s="10">
        <v>695.00800000000004</v>
      </c>
      <c r="P1730" s="10">
        <v>30</v>
      </c>
      <c r="Q1730" s="10">
        <v>30</v>
      </c>
      <c r="R1730" s="10">
        <v>31</v>
      </c>
    </row>
    <row r="1731" spans="1:18" ht="17" customHeight="1" x14ac:dyDescent="0.15">
      <c r="A1731" s="11" t="s">
        <v>9205</v>
      </c>
      <c r="B1731" s="1" t="s">
        <v>9206</v>
      </c>
      <c r="C1731" s="11" t="s">
        <v>9207</v>
      </c>
      <c r="D1731" s="11" t="s">
        <v>9207</v>
      </c>
      <c r="E1731" s="11" t="s">
        <v>9208</v>
      </c>
      <c r="F1731" s="11" t="s">
        <v>9209</v>
      </c>
      <c r="G1731" s="11" t="s">
        <v>9210</v>
      </c>
      <c r="H1731" s="11" t="s">
        <v>9211</v>
      </c>
      <c r="I1731" s="11" t="str">
        <f>HYPERLINK("http://biagini1968.com/","biagini1968.com")</f>
        <v>biagini1968.com</v>
      </c>
      <c r="J1731" s="12">
        <v>3544.6529999999998</v>
      </c>
      <c r="K1731" s="12">
        <v>3544.6529999999998</v>
      </c>
      <c r="L1731" s="13">
        <v>3091.8960000000002</v>
      </c>
      <c r="M1731" s="12">
        <v>398.20400000000001</v>
      </c>
      <c r="N1731" s="12">
        <v>398.20400000000001</v>
      </c>
      <c r="O1731" s="12">
        <v>280.37900000000002</v>
      </c>
      <c r="P1731" s="12">
        <v>30</v>
      </c>
      <c r="Q1731" s="12">
        <v>30</v>
      </c>
      <c r="R1731" s="12">
        <v>30</v>
      </c>
    </row>
    <row r="1732" spans="1:18" ht="17" customHeight="1" x14ac:dyDescent="0.15">
      <c r="A1732" s="8" t="s">
        <v>9212</v>
      </c>
      <c r="B1732" s="9" t="s">
        <v>9213</v>
      </c>
      <c r="C1732" s="8" t="s">
        <v>9214</v>
      </c>
      <c r="D1732" s="8" t="s">
        <v>9214</v>
      </c>
      <c r="E1732" s="8" t="s">
        <v>9215</v>
      </c>
      <c r="F1732" s="8" t="s">
        <v>9216</v>
      </c>
      <c r="G1732" s="8" t="s">
        <v>9217</v>
      </c>
      <c r="H1732" s="8" t="s">
        <v>9197</v>
      </c>
      <c r="I1732" s="8" t="str">
        <f>HYPERLINK("http://selfmaglieria.com/","selfmaglieria.com")</f>
        <v>selfmaglieria.com</v>
      </c>
      <c r="J1732" s="10">
        <v>3227.7449999999999</v>
      </c>
      <c r="K1732" s="10">
        <v>3227.7449999999999</v>
      </c>
      <c r="L1732" s="10">
        <v>3084.5839999999998</v>
      </c>
      <c r="M1732" s="10">
        <v>71.542000000000002</v>
      </c>
      <c r="N1732" s="10">
        <v>71.542000000000002</v>
      </c>
      <c r="O1732" s="10">
        <v>21.395</v>
      </c>
      <c r="P1732" s="15" t="s">
        <v>9218</v>
      </c>
      <c r="Q1732" s="15" t="s">
        <v>9218</v>
      </c>
      <c r="R1732" s="10">
        <v>31</v>
      </c>
    </row>
    <row r="1733" spans="1:18" ht="17" customHeight="1" x14ac:dyDescent="0.15">
      <c r="A1733" s="11" t="s">
        <v>9219</v>
      </c>
      <c r="B1733" s="1" t="s">
        <v>9220</v>
      </c>
      <c r="C1733" s="11" t="s">
        <v>9221</v>
      </c>
      <c r="D1733" s="11" t="s">
        <v>9221</v>
      </c>
      <c r="E1733" s="11" t="s">
        <v>9222</v>
      </c>
      <c r="F1733" s="11" t="s">
        <v>9223</v>
      </c>
      <c r="G1733" s="11" t="s">
        <v>9203</v>
      </c>
      <c r="H1733" s="11" t="s">
        <v>9204</v>
      </c>
      <c r="I1733" s="11" t="str">
        <f>HYPERLINK("http://www.lindaconfezioni.eu/","www.lindaconfezioni.eu")</f>
        <v>www.lindaconfezioni.eu</v>
      </c>
      <c r="J1733" s="12">
        <v>4558.0129999999999</v>
      </c>
      <c r="K1733" s="12">
        <v>4558.0129999999999</v>
      </c>
      <c r="L1733" s="13">
        <v>3083.9659999999999</v>
      </c>
      <c r="M1733" s="12">
        <v>1022.475</v>
      </c>
      <c r="N1733" s="12">
        <v>1022.475</v>
      </c>
      <c r="O1733" s="12">
        <v>466.29199999999997</v>
      </c>
      <c r="P1733" s="12">
        <v>32</v>
      </c>
      <c r="Q1733" s="12">
        <v>32</v>
      </c>
      <c r="R1733" s="12">
        <v>25</v>
      </c>
    </row>
    <row r="1734" spans="1:18" ht="17" customHeight="1" x14ac:dyDescent="0.15">
      <c r="A1734" s="8" t="s">
        <v>9224</v>
      </c>
      <c r="B1734" s="9" t="s">
        <v>9225</v>
      </c>
      <c r="C1734" s="8" t="s">
        <v>9226</v>
      </c>
      <c r="D1734" s="8" t="s">
        <v>9226</v>
      </c>
      <c r="E1734" s="8" t="s">
        <v>9227</v>
      </c>
      <c r="F1734" s="8" t="s">
        <v>9202</v>
      </c>
      <c r="G1734" s="8" t="s">
        <v>9228</v>
      </c>
      <c r="H1734" s="8" t="s">
        <v>9229</v>
      </c>
      <c r="I1734" s="8" t="str">
        <f>HYPERLINK("http://www.conceriapellegrini.com/","www.conceriapellegrini.com")</f>
        <v>www.conceriapellegrini.com</v>
      </c>
      <c r="J1734" s="10">
        <v>2830.152</v>
      </c>
      <c r="K1734" s="10">
        <v>2830.152</v>
      </c>
      <c r="L1734" s="10">
        <v>3082.58</v>
      </c>
      <c r="M1734" s="10">
        <v>6.1459999999999999</v>
      </c>
      <c r="N1734" s="10">
        <v>6.1459999999999999</v>
      </c>
      <c r="O1734" s="10">
        <v>2.5270000000000001</v>
      </c>
      <c r="P1734" s="10">
        <v>14</v>
      </c>
      <c r="Q1734" s="10">
        <v>14</v>
      </c>
      <c r="R1734" s="10">
        <v>14</v>
      </c>
    </row>
    <row r="1735" spans="1:18" ht="17" customHeight="1" x14ac:dyDescent="0.15">
      <c r="A1735" s="11" t="s">
        <v>9230</v>
      </c>
      <c r="B1735" s="1" t="s">
        <v>9231</v>
      </c>
      <c r="C1735" s="11" t="s">
        <v>9232</v>
      </c>
      <c r="D1735" s="11" t="s">
        <v>9232</v>
      </c>
      <c r="E1735" s="11" t="s">
        <v>9233</v>
      </c>
      <c r="F1735" s="11" t="s">
        <v>9234</v>
      </c>
      <c r="G1735" s="11" t="s">
        <v>9235</v>
      </c>
      <c r="H1735" s="11" t="s">
        <v>9236</v>
      </c>
      <c r="I1735" s="11" t="str">
        <f>HYPERLINK("http://www.perlaover.it/","www.perlaover.it")</f>
        <v>www.perlaover.it</v>
      </c>
      <c r="J1735" s="12">
        <v>3253.78</v>
      </c>
      <c r="K1735" s="12">
        <v>3253.78</v>
      </c>
      <c r="L1735" s="13">
        <v>3082.3249999999998</v>
      </c>
      <c r="M1735" s="12">
        <v>93.421000000000006</v>
      </c>
      <c r="N1735" s="12">
        <v>93.421000000000006</v>
      </c>
      <c r="O1735" s="12">
        <v>85.394000000000005</v>
      </c>
      <c r="P1735" s="14" t="s">
        <v>9218</v>
      </c>
      <c r="Q1735" s="14" t="s">
        <v>9218</v>
      </c>
      <c r="R1735" s="12">
        <v>5</v>
      </c>
    </row>
    <row r="1736" spans="1:18" ht="43" customHeight="1" x14ac:dyDescent="0.15">
      <c r="A1736" s="8" t="s">
        <v>9237</v>
      </c>
      <c r="B1736" s="9" t="s">
        <v>9238</v>
      </c>
      <c r="C1736" s="8" t="s">
        <v>9239</v>
      </c>
      <c r="D1736" s="8" t="s">
        <v>9239</v>
      </c>
      <c r="E1736" s="8" t="s">
        <v>9240</v>
      </c>
      <c r="F1736" s="8" t="s">
        <v>9234</v>
      </c>
      <c r="G1736" s="8" t="s">
        <v>9241</v>
      </c>
      <c r="H1736" s="8" t="s">
        <v>9236</v>
      </c>
      <c r="I1736" s="8" t="str">
        <f>HYPERLINK("http://www.temptationpositano.com/","www.temptationpositano.com")</f>
        <v>www.temptationpositano.com</v>
      </c>
      <c r="J1736" s="10">
        <v>3267.683</v>
      </c>
      <c r="K1736" s="10">
        <v>3267.683</v>
      </c>
      <c r="L1736" s="10">
        <v>3079.25</v>
      </c>
      <c r="M1736" s="10">
        <v>324.30500000000001</v>
      </c>
      <c r="N1736" s="10">
        <v>324.30500000000001</v>
      </c>
      <c r="O1736" s="10">
        <v>385.93099999999998</v>
      </c>
      <c r="P1736" s="10">
        <v>15</v>
      </c>
      <c r="Q1736" s="10">
        <v>15</v>
      </c>
      <c r="R1736" s="10">
        <v>16</v>
      </c>
    </row>
    <row r="1737" spans="1:18" ht="29.5" customHeight="1" x14ac:dyDescent="0.15">
      <c r="A1737" s="11" t="s">
        <v>9242</v>
      </c>
      <c r="B1737" s="1" t="s">
        <v>9243</v>
      </c>
      <c r="C1737" s="11" t="s">
        <v>9244</v>
      </c>
      <c r="D1737" s="11" t="s">
        <v>9244</v>
      </c>
      <c r="E1737" s="11" t="s">
        <v>9245</v>
      </c>
      <c r="F1737" s="11" t="s">
        <v>9202</v>
      </c>
      <c r="G1737" s="11" t="s">
        <v>9246</v>
      </c>
      <c r="H1737" s="11" t="s">
        <v>9229</v>
      </c>
      <c r="I1737" s="11" t="str">
        <f>HYPERLINK("http://mpg.it/","mpg.it")</f>
        <v>mpg.it</v>
      </c>
      <c r="J1737" s="12">
        <v>3746.5230000000001</v>
      </c>
      <c r="K1737" s="12">
        <v>3746.5230000000001</v>
      </c>
      <c r="L1737" s="13">
        <v>3077.2890000000002</v>
      </c>
      <c r="M1737" s="12">
        <v>9.57</v>
      </c>
      <c r="N1737" s="12">
        <v>9.57</v>
      </c>
      <c r="O1737" s="12">
        <v>17.706</v>
      </c>
      <c r="P1737" s="12">
        <v>15</v>
      </c>
      <c r="Q1737" s="12">
        <v>15</v>
      </c>
      <c r="R1737" s="12">
        <v>16</v>
      </c>
    </row>
    <row r="1738" spans="1:18" ht="29.5" customHeight="1" x14ac:dyDescent="0.15">
      <c r="A1738" s="8" t="s">
        <v>9247</v>
      </c>
      <c r="B1738" s="9" t="s">
        <v>9248</v>
      </c>
      <c r="C1738" s="8" t="s">
        <v>9249</v>
      </c>
      <c r="D1738" s="8" t="s">
        <v>9249</v>
      </c>
      <c r="E1738" s="8" t="s">
        <v>9250</v>
      </c>
      <c r="F1738" s="8" t="s">
        <v>9234</v>
      </c>
      <c r="G1738" s="8" t="s">
        <v>9251</v>
      </c>
      <c r="H1738" s="8" t="s">
        <v>9229</v>
      </c>
      <c r="I1738" s="8" t="str">
        <f>HYPERLINK("http://www.solomodasrl.com/","www.solomodasrl.com")</f>
        <v>www.solomodasrl.com</v>
      </c>
      <c r="J1738" s="10">
        <v>2697.1680000000001</v>
      </c>
      <c r="K1738" s="10">
        <v>2697.1680000000001</v>
      </c>
      <c r="L1738" s="10">
        <v>3074.3440000000001</v>
      </c>
      <c r="M1738" s="10">
        <v>-73.614000000000004</v>
      </c>
      <c r="N1738" s="10">
        <v>-73.614000000000004</v>
      </c>
      <c r="O1738" s="10">
        <v>-8.9559999999999995</v>
      </c>
      <c r="P1738" s="10">
        <v>7</v>
      </c>
      <c r="Q1738" s="10">
        <v>7</v>
      </c>
      <c r="R1738" s="10">
        <v>7</v>
      </c>
    </row>
    <row r="1739" spans="1:18" ht="29.5" customHeight="1" x14ac:dyDescent="0.15">
      <c r="A1739" s="11" t="s">
        <v>9252</v>
      </c>
      <c r="B1739" s="1" t="s">
        <v>9253</v>
      </c>
      <c r="C1739" s="11" t="s">
        <v>9254</v>
      </c>
      <c r="D1739" s="11" t="s">
        <v>9254</v>
      </c>
      <c r="E1739" s="11" t="s">
        <v>9255</v>
      </c>
      <c r="F1739" s="11" t="s">
        <v>9202</v>
      </c>
      <c r="G1739" s="11" t="s">
        <v>9203</v>
      </c>
      <c r="H1739" s="11" t="s">
        <v>9204</v>
      </c>
      <c r="I1739" s="11" t="str">
        <f>HYPERLINK("http://www.ambraautomotive.com/","www.ambraautomotive.com")</f>
        <v>www.ambraautomotive.com</v>
      </c>
      <c r="J1739" s="12">
        <v>4341.5730000000003</v>
      </c>
      <c r="K1739" s="12">
        <v>4341.5730000000003</v>
      </c>
      <c r="L1739" s="13">
        <v>3067.2939999999999</v>
      </c>
      <c r="M1739" s="12">
        <v>51.619</v>
      </c>
      <c r="N1739" s="12">
        <v>51.619</v>
      </c>
      <c r="O1739" s="12">
        <v>91.792000000000002</v>
      </c>
      <c r="P1739" s="12">
        <v>4</v>
      </c>
      <c r="Q1739" s="12">
        <v>4</v>
      </c>
      <c r="R1739" s="12">
        <v>4</v>
      </c>
    </row>
    <row r="1740" spans="1:18" ht="17" customHeight="1" x14ac:dyDescent="0.15">
      <c r="A1740" s="8" t="s">
        <v>9256</v>
      </c>
      <c r="B1740" s="9" t="s">
        <v>9257</v>
      </c>
      <c r="C1740" s="8" t="s">
        <v>9258</v>
      </c>
      <c r="D1740" s="8" t="s">
        <v>9258</v>
      </c>
      <c r="E1740" s="8" t="s">
        <v>9259</v>
      </c>
      <c r="F1740" s="8" t="s">
        <v>9223</v>
      </c>
      <c r="G1740" s="8" t="s">
        <v>9260</v>
      </c>
      <c r="H1740" s="8" t="s">
        <v>9236</v>
      </c>
      <c r="I1740" s="8" t="str">
        <f>HYPERLINK("http://www.klixsjeans.com/","www.klixsjeans.com")</f>
        <v>www.klixsjeans.com</v>
      </c>
      <c r="J1740" s="10">
        <v>2449.6419999999998</v>
      </c>
      <c r="K1740" s="10">
        <v>2449.6419999999998</v>
      </c>
      <c r="L1740" s="10">
        <v>3062.4430000000002</v>
      </c>
      <c r="M1740" s="10">
        <v>78.992999999999995</v>
      </c>
      <c r="N1740" s="10">
        <v>78.992999999999995</v>
      </c>
      <c r="O1740" s="10">
        <v>71.179000000000002</v>
      </c>
      <c r="P1740" s="15" t="s">
        <v>9218</v>
      </c>
      <c r="Q1740" s="15" t="s">
        <v>9218</v>
      </c>
      <c r="R1740" s="10">
        <v>6</v>
      </c>
    </row>
    <row r="1741" spans="1:18" ht="17" customHeight="1" x14ac:dyDescent="0.15">
      <c r="A1741" s="11" t="s">
        <v>9261</v>
      </c>
      <c r="B1741" s="1" t="s">
        <v>9262</v>
      </c>
      <c r="C1741" s="11" t="s">
        <v>9263</v>
      </c>
      <c r="D1741" s="11" t="s">
        <v>9263</v>
      </c>
      <c r="E1741" s="11" t="s">
        <v>9264</v>
      </c>
      <c r="F1741" s="11" t="s">
        <v>9265</v>
      </c>
      <c r="G1741" s="11" t="s">
        <v>9235</v>
      </c>
      <c r="H1741" s="11" t="s">
        <v>9236</v>
      </c>
      <c r="I1741" s="11" t="str">
        <f>HYPERLINK("http://simeonegloves.com/","simeonegloves.com")</f>
        <v>simeonegloves.com</v>
      </c>
      <c r="J1741" s="12">
        <v>1992.903</v>
      </c>
      <c r="K1741" s="12">
        <v>1992.903</v>
      </c>
      <c r="L1741" s="13">
        <v>3062.4189999999999</v>
      </c>
      <c r="M1741" s="12">
        <v>69.42</v>
      </c>
      <c r="N1741" s="12">
        <v>69.42</v>
      </c>
      <c r="O1741" s="12">
        <v>72.13</v>
      </c>
      <c r="P1741" s="12">
        <v>26</v>
      </c>
      <c r="Q1741" s="12">
        <v>26</v>
      </c>
      <c r="R1741" s="12">
        <v>28</v>
      </c>
    </row>
    <row r="1742" spans="1:18" ht="17" customHeight="1" x14ac:dyDescent="0.15">
      <c r="A1742" s="8" t="s">
        <v>9266</v>
      </c>
      <c r="B1742" s="9" t="s">
        <v>9267</v>
      </c>
      <c r="C1742" s="8" t="s">
        <v>9268</v>
      </c>
      <c r="D1742" s="8" t="s">
        <v>9268</v>
      </c>
      <c r="E1742" s="8" t="s">
        <v>9269</v>
      </c>
      <c r="F1742" s="8" t="s">
        <v>9202</v>
      </c>
      <c r="G1742" s="8" t="s">
        <v>9203</v>
      </c>
      <c r="H1742" s="8" t="s">
        <v>9204</v>
      </c>
      <c r="I1742" s="8" t="str">
        <f>HYPERLINK("http://newpel.com/","newpel.com")</f>
        <v>newpel.com</v>
      </c>
      <c r="J1742" s="10">
        <v>2614.357</v>
      </c>
      <c r="K1742" s="10">
        <v>2614.357</v>
      </c>
      <c r="L1742" s="10">
        <v>3057.8240000000001</v>
      </c>
      <c r="M1742" s="10">
        <v>-97.444000000000003</v>
      </c>
      <c r="N1742" s="10">
        <v>-97.444000000000003</v>
      </c>
      <c r="O1742" s="10">
        <v>9.6959999999999997</v>
      </c>
      <c r="P1742" s="10">
        <v>7</v>
      </c>
      <c r="Q1742" s="10">
        <v>7</v>
      </c>
      <c r="R1742" s="10">
        <v>6</v>
      </c>
    </row>
    <row r="1743" spans="1:18" ht="17" customHeight="1" x14ac:dyDescent="0.15">
      <c r="A1743" s="11" t="s">
        <v>9270</v>
      </c>
      <c r="B1743" s="1" t="s">
        <v>9271</v>
      </c>
      <c r="C1743" s="11" t="s">
        <v>9272</v>
      </c>
      <c r="D1743" s="11" t="s">
        <v>9272</v>
      </c>
      <c r="E1743" s="11" t="s">
        <v>9273</v>
      </c>
      <c r="F1743" s="11" t="s">
        <v>9274</v>
      </c>
      <c r="G1743" s="11" t="s">
        <v>9275</v>
      </c>
      <c r="H1743" s="11" t="s">
        <v>9276</v>
      </c>
      <c r="I1743" s="11" t="str">
        <f>HYPERLINK("http://www.calzaturificiognv.it/","www.calzaturificiognv.it")</f>
        <v>www.calzaturificiognv.it</v>
      </c>
      <c r="J1743" s="12">
        <v>3327.5909999999999</v>
      </c>
      <c r="K1743" s="12">
        <v>3327.5909999999999</v>
      </c>
      <c r="L1743" s="13">
        <v>3056.1410000000001</v>
      </c>
      <c r="M1743" s="12">
        <v>117.53400000000001</v>
      </c>
      <c r="N1743" s="12">
        <v>117.53400000000001</v>
      </c>
      <c r="O1743" s="12">
        <v>45.378999999999998</v>
      </c>
      <c r="P1743" s="12">
        <v>19</v>
      </c>
      <c r="Q1743" s="12">
        <v>19</v>
      </c>
      <c r="R1743" s="12">
        <v>18</v>
      </c>
    </row>
    <row r="1744" spans="1:18" ht="17" customHeight="1" x14ac:dyDescent="0.15">
      <c r="A1744" s="8" t="s">
        <v>9277</v>
      </c>
      <c r="B1744" s="9" t="s">
        <v>9278</v>
      </c>
      <c r="C1744" s="8" t="s">
        <v>9279</v>
      </c>
      <c r="D1744" s="8" t="s">
        <v>9279</v>
      </c>
      <c r="E1744" s="8" t="s">
        <v>9280</v>
      </c>
      <c r="F1744" s="8" t="s">
        <v>9202</v>
      </c>
      <c r="G1744" s="8" t="s">
        <v>9203</v>
      </c>
      <c r="H1744" s="8" t="s">
        <v>9204</v>
      </c>
      <c r="I1744" s="8" t="str">
        <f>HYPERLINK("http://www.centomo.it/","http://www.centomo.it")</f>
        <v>http://www.centomo.it</v>
      </c>
      <c r="J1744" s="10">
        <v>2642.8130000000001</v>
      </c>
      <c r="K1744" s="10">
        <v>2642.8130000000001</v>
      </c>
      <c r="L1744" s="10">
        <v>3052.152</v>
      </c>
      <c r="M1744" s="10">
        <v>-305.35700000000003</v>
      </c>
      <c r="N1744" s="10">
        <v>-305.35700000000003</v>
      </c>
      <c r="O1744" s="10">
        <v>-810.32299999999998</v>
      </c>
      <c r="P1744" s="10">
        <v>14</v>
      </c>
      <c r="Q1744" s="10">
        <v>14</v>
      </c>
      <c r="R1744" s="10">
        <v>15</v>
      </c>
    </row>
    <row r="1745" spans="1:18" ht="17" customHeight="1" x14ac:dyDescent="0.15">
      <c r="A1745" s="11" t="s">
        <v>9281</v>
      </c>
      <c r="B1745" s="1" t="s">
        <v>9282</v>
      </c>
      <c r="C1745" s="11" t="s">
        <v>9283</v>
      </c>
      <c r="D1745" s="11" t="s">
        <v>9283</v>
      </c>
      <c r="E1745" s="11" t="s">
        <v>9284</v>
      </c>
      <c r="F1745" s="11" t="s">
        <v>9274</v>
      </c>
      <c r="G1745" s="11" t="s">
        <v>9285</v>
      </c>
      <c r="H1745" s="11" t="s">
        <v>9276</v>
      </c>
      <c r="I1745" s="11" t="str">
        <f>HYPERLINK("http://www.bernacchini.com/","www.bernacchini.com")</f>
        <v>www.bernacchini.com</v>
      </c>
      <c r="J1745" s="12">
        <v>3473.4189999999999</v>
      </c>
      <c r="K1745" s="12">
        <v>3473.4189999999999</v>
      </c>
      <c r="L1745" s="13">
        <v>3051.82</v>
      </c>
      <c r="M1745" s="12">
        <v>263.51900000000001</v>
      </c>
      <c r="N1745" s="12">
        <v>263.51900000000001</v>
      </c>
      <c r="O1745" s="12">
        <v>82.203999999999994</v>
      </c>
      <c r="P1745" s="12">
        <v>17</v>
      </c>
      <c r="Q1745" s="12">
        <v>17</v>
      </c>
      <c r="R1745" s="12">
        <v>17</v>
      </c>
    </row>
    <row r="1746" spans="1:18" ht="17" customHeight="1" x14ac:dyDescent="0.15">
      <c r="A1746" s="8" t="s">
        <v>9286</v>
      </c>
      <c r="B1746" s="9" t="s">
        <v>9287</v>
      </c>
      <c r="C1746" s="8" t="s">
        <v>9288</v>
      </c>
      <c r="D1746" s="8" t="s">
        <v>9288</v>
      </c>
      <c r="E1746" s="8" t="s">
        <v>9289</v>
      </c>
      <c r="F1746" s="8" t="s">
        <v>9216</v>
      </c>
      <c r="G1746" s="8" t="s">
        <v>9290</v>
      </c>
      <c r="H1746" s="8" t="s">
        <v>9229</v>
      </c>
      <c r="I1746" s="8" t="str">
        <f>HYPERLINK("http://cashmeritaly.com/","cashmeritaly.com")</f>
        <v>cashmeritaly.com</v>
      </c>
      <c r="J1746" s="10">
        <v>2935.4569999999999</v>
      </c>
      <c r="K1746" s="10">
        <v>2935.4569999999999</v>
      </c>
      <c r="L1746" s="10">
        <v>3051.6350000000002</v>
      </c>
      <c r="M1746" s="10">
        <v>64.733000000000004</v>
      </c>
      <c r="N1746" s="10">
        <v>64.733000000000004</v>
      </c>
      <c r="O1746" s="10">
        <v>84.027000000000001</v>
      </c>
      <c r="P1746" s="15" t="s">
        <v>9218</v>
      </c>
      <c r="Q1746" s="15" t="s">
        <v>9218</v>
      </c>
      <c r="R1746" s="10">
        <v>18</v>
      </c>
    </row>
    <row r="1747" spans="1:18" ht="17" customHeight="1" x14ac:dyDescent="0.15">
      <c r="A1747" s="11" t="s">
        <v>9291</v>
      </c>
      <c r="B1747" s="1" t="s">
        <v>9292</v>
      </c>
      <c r="C1747" s="11" t="s">
        <v>9293</v>
      </c>
      <c r="D1747" s="11" t="s">
        <v>9293</v>
      </c>
      <c r="E1747" s="11" t="s">
        <v>9294</v>
      </c>
      <c r="F1747" s="11" t="s">
        <v>9274</v>
      </c>
      <c r="G1747" s="11" t="s">
        <v>9295</v>
      </c>
      <c r="H1747" s="11" t="s">
        <v>9276</v>
      </c>
      <c r="I1747" s="11" t="str">
        <f>HYPERLINK("http://www.janetandjanet.com/","www.janetandjanet.com")</f>
        <v>www.janetandjanet.com</v>
      </c>
      <c r="J1747" s="12">
        <v>1189.278</v>
      </c>
      <c r="K1747" s="12">
        <v>1189.278</v>
      </c>
      <c r="L1747" s="13">
        <v>3050.277</v>
      </c>
      <c r="M1747" s="12">
        <v>-314.392</v>
      </c>
      <c r="N1747" s="12">
        <v>-314.392</v>
      </c>
      <c r="O1747" s="12">
        <v>13.864000000000001</v>
      </c>
      <c r="P1747" s="12">
        <v>3</v>
      </c>
      <c r="Q1747" s="12">
        <v>3</v>
      </c>
      <c r="R1747" s="12">
        <v>6</v>
      </c>
    </row>
    <row r="1748" spans="1:18" ht="29.5" customHeight="1" x14ac:dyDescent="0.15">
      <c r="A1748" s="8" t="s">
        <v>9296</v>
      </c>
      <c r="B1748" s="9" t="s">
        <v>9297</v>
      </c>
      <c r="C1748" s="8" t="s">
        <v>9298</v>
      </c>
      <c r="D1748" s="8" t="s">
        <v>9298</v>
      </c>
      <c r="E1748" s="8" t="s">
        <v>9299</v>
      </c>
      <c r="F1748" s="8" t="s">
        <v>9300</v>
      </c>
      <c r="G1748" s="8" t="s">
        <v>9196</v>
      </c>
      <c r="H1748" s="8" t="s">
        <v>9197</v>
      </c>
      <c r="I1748" s="8" t="str">
        <f>HYPERLINK("http://miomojo.com/","miomojo.com")</f>
        <v>miomojo.com</v>
      </c>
      <c r="J1748" s="10">
        <v>1824.153</v>
      </c>
      <c r="K1748" s="10">
        <v>1824.153</v>
      </c>
      <c r="L1748" s="10">
        <v>3049.5509999999999</v>
      </c>
      <c r="M1748" s="10">
        <v>0.48899999999999999</v>
      </c>
      <c r="N1748" s="10">
        <v>0.48899999999999999</v>
      </c>
      <c r="O1748" s="10">
        <v>249.46</v>
      </c>
      <c r="P1748" s="15" t="s">
        <v>9218</v>
      </c>
      <c r="Q1748" s="15" t="s">
        <v>9218</v>
      </c>
      <c r="R1748" s="10">
        <v>6</v>
      </c>
    </row>
    <row r="1749" spans="1:18" ht="29.5" customHeight="1" x14ac:dyDescent="0.15">
      <c r="A1749" s="11" t="s">
        <v>9301</v>
      </c>
      <c r="B1749" s="1" t="s">
        <v>9302</v>
      </c>
      <c r="C1749" s="11" t="s">
        <v>9303</v>
      </c>
      <c r="D1749" s="11" t="s">
        <v>9303</v>
      </c>
      <c r="E1749" s="11" t="s">
        <v>9304</v>
      </c>
      <c r="F1749" s="11" t="s">
        <v>9305</v>
      </c>
      <c r="G1749" s="11" t="s">
        <v>9306</v>
      </c>
      <c r="H1749" s="11" t="s">
        <v>9197</v>
      </c>
      <c r="I1749" s="11" t="str">
        <f>HYPERLINK("http://www.wootitights.it/","www.wootitights.it")</f>
        <v>www.wootitights.it</v>
      </c>
      <c r="J1749" s="12">
        <v>2857.1080000000002</v>
      </c>
      <c r="K1749" s="12">
        <v>2857.1080000000002</v>
      </c>
      <c r="L1749" s="13">
        <v>3043.3229999999999</v>
      </c>
      <c r="M1749" s="12">
        <v>3.657</v>
      </c>
      <c r="N1749" s="12">
        <v>3.657</v>
      </c>
      <c r="O1749" s="12">
        <v>16.681999999999999</v>
      </c>
      <c r="P1749" s="12">
        <v>21</v>
      </c>
      <c r="Q1749" s="12">
        <v>21</v>
      </c>
      <c r="R1749" s="12">
        <v>21</v>
      </c>
    </row>
    <row r="1750" spans="1:18" ht="17" customHeight="1" x14ac:dyDescent="0.15">
      <c r="A1750" s="8" t="s">
        <v>9307</v>
      </c>
      <c r="B1750" s="9" t="s">
        <v>9308</v>
      </c>
      <c r="C1750" s="8" t="s">
        <v>9309</v>
      </c>
      <c r="D1750" s="8" t="s">
        <v>9309</v>
      </c>
      <c r="E1750" s="8" t="s">
        <v>9310</v>
      </c>
      <c r="F1750" s="8" t="s">
        <v>9274</v>
      </c>
      <c r="G1750" s="8" t="s">
        <v>9311</v>
      </c>
      <c r="H1750" s="8" t="s">
        <v>9312</v>
      </c>
      <c r="I1750" s="8" t="str">
        <f>HYPERLINK("http://www.extrostyle.it/","www.extrostyle.it")</f>
        <v>www.extrostyle.it</v>
      </c>
      <c r="J1750" s="10">
        <v>3383.471</v>
      </c>
      <c r="K1750" s="10">
        <v>3383.471</v>
      </c>
      <c r="L1750" s="10">
        <v>3043.0259999999998</v>
      </c>
      <c r="M1750" s="10">
        <v>32.024999999999999</v>
      </c>
      <c r="N1750" s="10">
        <v>32.024999999999999</v>
      </c>
      <c r="O1750" s="10">
        <v>164.089</v>
      </c>
      <c r="P1750" s="10">
        <v>34</v>
      </c>
      <c r="Q1750" s="10">
        <v>34</v>
      </c>
      <c r="R1750" s="10">
        <v>35</v>
      </c>
    </row>
    <row r="1751" spans="1:18" ht="17" customHeight="1" x14ac:dyDescent="0.15">
      <c r="A1751" s="11" t="s">
        <v>9313</v>
      </c>
      <c r="B1751" s="1" t="s">
        <v>9314</v>
      </c>
      <c r="C1751" s="11" t="s">
        <v>9315</v>
      </c>
      <c r="D1751" s="11" t="s">
        <v>9315</v>
      </c>
      <c r="E1751" s="11" t="s">
        <v>9316</v>
      </c>
      <c r="F1751" s="11" t="s">
        <v>9274</v>
      </c>
      <c r="G1751" s="11" t="s">
        <v>9317</v>
      </c>
      <c r="H1751" s="11" t="s">
        <v>9204</v>
      </c>
      <c r="I1751" s="11" t="str">
        <f>HYPERLINK("http://www.shoes-project.it/","www.shoes-project.it")</f>
        <v>www.shoes-project.it</v>
      </c>
      <c r="J1751" s="12">
        <v>4468.0039999999999</v>
      </c>
      <c r="K1751" s="12">
        <v>4468.0039999999999</v>
      </c>
      <c r="L1751" s="13">
        <v>3042.9070000000002</v>
      </c>
      <c r="M1751" s="12">
        <v>130.45400000000001</v>
      </c>
      <c r="N1751" s="12">
        <v>130.45400000000001</v>
      </c>
      <c r="O1751" s="12">
        <v>117.82</v>
      </c>
      <c r="P1751" s="12">
        <v>25</v>
      </c>
      <c r="Q1751" s="12">
        <v>25</v>
      </c>
      <c r="R1751" s="12">
        <v>25</v>
      </c>
    </row>
    <row r="1752" spans="1:18" ht="17" customHeight="1" x14ac:dyDescent="0.15">
      <c r="A1752" s="8" t="s">
        <v>9318</v>
      </c>
      <c r="B1752" s="9" t="s">
        <v>9319</v>
      </c>
      <c r="C1752" s="8" t="s">
        <v>9320</v>
      </c>
      <c r="D1752" s="8" t="s">
        <v>9320</v>
      </c>
      <c r="E1752" s="8" t="s">
        <v>9321</v>
      </c>
      <c r="F1752" s="8" t="s">
        <v>9322</v>
      </c>
      <c r="G1752" s="8" t="s">
        <v>9323</v>
      </c>
      <c r="H1752" s="8" t="s">
        <v>9204</v>
      </c>
      <c r="I1752" s="8" t="str">
        <f>HYPERLINK("http://piemmegiserramenti.com/","piemmegiserramenti.com")</f>
        <v>piemmegiserramenti.com</v>
      </c>
      <c r="J1752" s="10">
        <v>3545.7240000000002</v>
      </c>
      <c r="K1752" s="10">
        <v>3545.7240000000002</v>
      </c>
      <c r="L1752" s="10">
        <v>3042.7280000000001</v>
      </c>
      <c r="M1752" s="10">
        <v>642.63900000000001</v>
      </c>
      <c r="N1752" s="10">
        <v>642.63900000000001</v>
      </c>
      <c r="O1752" s="10">
        <v>492.26799999999997</v>
      </c>
      <c r="P1752" s="10">
        <v>38</v>
      </c>
      <c r="Q1752" s="10">
        <v>38</v>
      </c>
      <c r="R1752" s="10">
        <v>33</v>
      </c>
    </row>
    <row r="1753" spans="1:18" ht="17" customHeight="1" x14ac:dyDescent="0.15">
      <c r="A1753" s="11" t="s">
        <v>9324</v>
      </c>
      <c r="B1753" s="1" t="s">
        <v>9325</v>
      </c>
      <c r="C1753" s="11" t="s">
        <v>9326</v>
      </c>
      <c r="D1753" s="11" t="s">
        <v>9326</v>
      </c>
      <c r="E1753" s="11" t="s">
        <v>9327</v>
      </c>
      <c r="F1753" s="11" t="s">
        <v>9305</v>
      </c>
      <c r="G1753" s="11" t="s">
        <v>9328</v>
      </c>
      <c r="H1753" s="11" t="s">
        <v>9204</v>
      </c>
      <c r="I1753" s="11" t="str">
        <f>HYPERLINK("http://www.newkokos.it/","www.newkokos.it")</f>
        <v>www.newkokos.it</v>
      </c>
      <c r="J1753" s="12">
        <v>2833.4229999999998</v>
      </c>
      <c r="K1753" s="12">
        <v>2833.4229999999998</v>
      </c>
      <c r="L1753" s="13">
        <v>3042.4430000000002</v>
      </c>
      <c r="M1753" s="12">
        <v>251.89400000000001</v>
      </c>
      <c r="N1753" s="12">
        <v>251.89400000000001</v>
      </c>
      <c r="O1753" s="12">
        <v>221.58500000000001</v>
      </c>
      <c r="P1753" s="12">
        <v>11</v>
      </c>
      <c r="Q1753" s="12">
        <v>11</v>
      </c>
      <c r="R1753" s="12">
        <v>13</v>
      </c>
    </row>
    <row r="1754" spans="1:18" ht="17" customHeight="1" x14ac:dyDescent="0.15">
      <c r="A1754" s="8" t="s">
        <v>9329</v>
      </c>
      <c r="B1754" s="9" t="s">
        <v>9330</v>
      </c>
      <c r="C1754" s="8" t="s">
        <v>9331</v>
      </c>
      <c r="D1754" s="8" t="s">
        <v>9331</v>
      </c>
      <c r="E1754" s="8" t="s">
        <v>9332</v>
      </c>
      <c r="F1754" s="8" t="s">
        <v>9234</v>
      </c>
      <c r="G1754" s="8" t="s">
        <v>9333</v>
      </c>
      <c r="H1754" s="8" t="s">
        <v>9334</v>
      </c>
      <c r="I1754" s="8" t="str">
        <f>HYPERLINK("http://ldonna.it/","ldonna.it")</f>
        <v>ldonna.it</v>
      </c>
      <c r="J1754" s="10">
        <v>3004.846</v>
      </c>
      <c r="K1754" s="10">
        <v>3004.846</v>
      </c>
      <c r="L1754" s="10">
        <v>3037.252</v>
      </c>
      <c r="M1754" s="10">
        <v>77.415999999999997</v>
      </c>
      <c r="N1754" s="10">
        <v>77.415999999999997</v>
      </c>
      <c r="O1754" s="10">
        <v>151.11199999999999</v>
      </c>
      <c r="P1754" s="10">
        <v>41</v>
      </c>
      <c r="Q1754" s="10">
        <v>41</v>
      </c>
      <c r="R1754" s="10">
        <v>37</v>
      </c>
    </row>
    <row r="1755" spans="1:18" ht="17" customHeight="1" x14ac:dyDescent="0.15">
      <c r="A1755" s="11" t="s">
        <v>9335</v>
      </c>
      <c r="B1755" s="1" t="s">
        <v>9336</v>
      </c>
      <c r="C1755" s="11" t="s">
        <v>9337</v>
      </c>
      <c r="D1755" s="11" t="s">
        <v>9337</v>
      </c>
      <c r="E1755" s="11" t="s">
        <v>9338</v>
      </c>
      <c r="F1755" s="11" t="s">
        <v>9234</v>
      </c>
      <c r="G1755" s="11" t="s">
        <v>9339</v>
      </c>
      <c r="H1755" s="11" t="s">
        <v>9340</v>
      </c>
      <c r="I1755" s="11" t="str">
        <f>HYPERLINK("http://gicatextile.it/","gicatextile.it")</f>
        <v>gicatextile.it</v>
      </c>
      <c r="J1755" s="12">
        <v>3945.92</v>
      </c>
      <c r="K1755" s="12">
        <v>3945.92</v>
      </c>
      <c r="L1755" s="13">
        <v>3035.6460000000002</v>
      </c>
      <c r="M1755" s="12">
        <v>133.077</v>
      </c>
      <c r="N1755" s="12">
        <v>133.077</v>
      </c>
      <c r="O1755" s="12">
        <v>6.51</v>
      </c>
      <c r="P1755" s="12">
        <v>9</v>
      </c>
      <c r="Q1755" s="12">
        <v>9</v>
      </c>
      <c r="R1755" s="12">
        <v>9</v>
      </c>
    </row>
    <row r="1756" spans="1:18" ht="29.5" customHeight="1" x14ac:dyDescent="0.15">
      <c r="A1756" s="8" t="s">
        <v>9341</v>
      </c>
      <c r="B1756" s="9" t="s">
        <v>9342</v>
      </c>
      <c r="C1756" s="8" t="s">
        <v>9343</v>
      </c>
      <c r="D1756" s="8" t="s">
        <v>9343</v>
      </c>
      <c r="E1756" s="8" t="s">
        <v>9344</v>
      </c>
      <c r="F1756" s="8" t="s">
        <v>9305</v>
      </c>
      <c r="G1756" s="8" t="s">
        <v>9345</v>
      </c>
      <c r="H1756" s="8" t="s">
        <v>9197</v>
      </c>
      <c r="I1756" s="8" t="str">
        <f>HYPERLINK("http://www.pierremantoux.com/","http://www.pierremantoux.com")</f>
        <v>http://www.pierremantoux.com</v>
      </c>
      <c r="J1756" s="10">
        <v>3590.4119999999998</v>
      </c>
      <c r="K1756" s="10">
        <v>3590.4119999999998</v>
      </c>
      <c r="L1756" s="10">
        <v>3035.57</v>
      </c>
      <c r="M1756" s="10">
        <v>-75.953000000000003</v>
      </c>
      <c r="N1756" s="10">
        <v>-75.953000000000003</v>
      </c>
      <c r="O1756" s="10">
        <v>2.94</v>
      </c>
      <c r="P1756" s="10">
        <v>26</v>
      </c>
      <c r="Q1756" s="10">
        <v>26</v>
      </c>
      <c r="R1756" s="10">
        <v>26</v>
      </c>
    </row>
    <row r="1757" spans="1:18" ht="29.5" customHeight="1" x14ac:dyDescent="0.15">
      <c r="A1757" s="11" t="s">
        <v>9346</v>
      </c>
      <c r="B1757" s="1" t="s">
        <v>9347</v>
      </c>
      <c r="C1757" s="11" t="s">
        <v>9348</v>
      </c>
      <c r="D1757" s="11" t="s">
        <v>9348</v>
      </c>
      <c r="E1757" s="11" t="s">
        <v>9349</v>
      </c>
      <c r="F1757" s="11" t="s">
        <v>9322</v>
      </c>
      <c r="G1757" s="11" t="s">
        <v>9285</v>
      </c>
      <c r="H1757" s="11" t="s">
        <v>9276</v>
      </c>
      <c r="I1757" s="11" t="str">
        <f>HYPERLINK("http://www.morrovallese.it/","www.morrovallese.it")</f>
        <v>www.morrovallese.it</v>
      </c>
      <c r="J1757" s="12">
        <v>3967.91</v>
      </c>
      <c r="K1757" s="12">
        <v>3967.91</v>
      </c>
      <c r="L1757" s="13">
        <v>3035.4679999999998</v>
      </c>
      <c r="M1757" s="12">
        <v>186.13300000000001</v>
      </c>
      <c r="N1757" s="12">
        <v>186.13300000000001</v>
      </c>
      <c r="O1757" s="12">
        <v>49.707999999999998</v>
      </c>
      <c r="P1757" s="14" t="s">
        <v>9218</v>
      </c>
      <c r="Q1757" s="14" t="s">
        <v>9218</v>
      </c>
      <c r="R1757" s="12">
        <v>33</v>
      </c>
    </row>
    <row r="1758" spans="1:18" ht="17" customHeight="1" x14ac:dyDescent="0.15">
      <c r="A1758" s="8" t="s">
        <v>9350</v>
      </c>
      <c r="B1758" s="9" t="s">
        <v>9351</v>
      </c>
      <c r="C1758" s="8" t="s">
        <v>9352</v>
      </c>
      <c r="D1758" s="8" t="s">
        <v>9352</v>
      </c>
      <c r="E1758" s="8" t="s">
        <v>9353</v>
      </c>
      <c r="F1758" s="8" t="s">
        <v>9234</v>
      </c>
      <c r="G1758" s="8" t="s">
        <v>9203</v>
      </c>
      <c r="H1758" s="8" t="s">
        <v>9204</v>
      </c>
      <c r="I1758" s="8" t="str">
        <f>HYPERLINK("http://zanettimoda.com/","zanettimoda.com")</f>
        <v>zanettimoda.com</v>
      </c>
      <c r="J1758" s="10">
        <v>6139.3739999999998</v>
      </c>
      <c r="K1758" s="10">
        <v>6139.3739999999998</v>
      </c>
      <c r="L1758" s="10">
        <v>3034.1329999999998</v>
      </c>
      <c r="M1758" s="10">
        <v>52.030999999999999</v>
      </c>
      <c r="N1758" s="10">
        <v>52.030999999999999</v>
      </c>
      <c r="O1758" s="10">
        <v>-170.33799999999999</v>
      </c>
      <c r="P1758" s="10">
        <v>27</v>
      </c>
      <c r="Q1758" s="10">
        <v>27</v>
      </c>
      <c r="R1758" s="10">
        <v>22</v>
      </c>
    </row>
    <row r="1759" spans="1:18" ht="17" customHeight="1" x14ac:dyDescent="0.15">
      <c r="A1759" s="11" t="s">
        <v>9354</v>
      </c>
      <c r="B1759" s="1" t="s">
        <v>9355</v>
      </c>
      <c r="C1759" s="11" t="s">
        <v>9356</v>
      </c>
      <c r="D1759" s="11" t="s">
        <v>9356</v>
      </c>
      <c r="E1759" s="11" t="s">
        <v>9357</v>
      </c>
      <c r="F1759" s="11" t="s">
        <v>9223</v>
      </c>
      <c r="G1759" s="11" t="s">
        <v>9339</v>
      </c>
      <c r="H1759" s="11" t="s">
        <v>9340</v>
      </c>
      <c r="I1759" s="11" t="str">
        <f>HYPERLINK("http://www.davidq.it/","www.davidq.it")</f>
        <v>www.davidq.it</v>
      </c>
      <c r="J1759" s="12">
        <v>2924.3710000000001</v>
      </c>
      <c r="K1759" s="12">
        <v>2924.3710000000001</v>
      </c>
      <c r="L1759" s="13">
        <v>3032.0509999999999</v>
      </c>
      <c r="M1759" s="12">
        <v>89.962000000000003</v>
      </c>
      <c r="N1759" s="12">
        <v>89.962000000000003</v>
      </c>
      <c r="O1759" s="12">
        <v>165.17400000000001</v>
      </c>
      <c r="P1759" s="12">
        <v>14</v>
      </c>
      <c r="Q1759" s="12">
        <v>14</v>
      </c>
      <c r="R1759" s="12">
        <v>24</v>
      </c>
    </row>
    <row r="1760" spans="1:18" ht="17" customHeight="1" x14ac:dyDescent="0.15">
      <c r="A1760" s="8" t="s">
        <v>9358</v>
      </c>
      <c r="B1760" s="9" t="s">
        <v>9359</v>
      </c>
      <c r="C1760" s="8" t="s">
        <v>9360</v>
      </c>
      <c r="D1760" s="8" t="s">
        <v>9360</v>
      </c>
      <c r="E1760" s="8" t="s">
        <v>9361</v>
      </c>
      <c r="F1760" s="8" t="s">
        <v>9300</v>
      </c>
      <c r="G1760" s="8" t="s">
        <v>9217</v>
      </c>
      <c r="H1760" s="8" t="s">
        <v>9197</v>
      </c>
      <c r="I1760" s="8" t="str">
        <f>HYPERLINK("http://www.platinosrl.it/","www.platinosrl.it")</f>
        <v>www.platinosrl.it</v>
      </c>
      <c r="J1760" s="10">
        <v>2909.317</v>
      </c>
      <c r="K1760" s="10">
        <v>2909.317</v>
      </c>
      <c r="L1760" s="10">
        <v>3030.6550000000002</v>
      </c>
      <c r="M1760" s="10">
        <v>127.44499999999999</v>
      </c>
      <c r="N1760" s="10">
        <v>127.44499999999999</v>
      </c>
      <c r="O1760" s="10">
        <v>62.237000000000002</v>
      </c>
      <c r="P1760" s="10">
        <v>10</v>
      </c>
      <c r="Q1760" s="10">
        <v>10</v>
      </c>
      <c r="R1760" s="10">
        <v>11</v>
      </c>
    </row>
    <row r="1761" spans="1:18" ht="17" customHeight="1" x14ac:dyDescent="0.15">
      <c r="A1761" s="11" t="s">
        <v>9362</v>
      </c>
      <c r="B1761" s="1" t="s">
        <v>9363</v>
      </c>
      <c r="C1761" s="11" t="s">
        <v>9364</v>
      </c>
      <c r="D1761" s="11" t="s">
        <v>9364</v>
      </c>
      <c r="E1761" s="11" t="s">
        <v>9365</v>
      </c>
      <c r="F1761" s="11" t="s">
        <v>9366</v>
      </c>
      <c r="G1761" s="11" t="s">
        <v>9367</v>
      </c>
      <c r="H1761" s="11" t="s">
        <v>9368</v>
      </c>
      <c r="I1761" s="11" t="str">
        <f>HYPERLINK("http://magicdream.it/","magicdream.it")</f>
        <v>magicdream.it</v>
      </c>
      <c r="J1761" s="12">
        <v>2403.002</v>
      </c>
      <c r="K1761" s="12">
        <v>2403.002</v>
      </c>
      <c r="L1761" s="13">
        <v>3027.4349999999999</v>
      </c>
      <c r="M1761" s="12">
        <v>81.926000000000002</v>
      </c>
      <c r="N1761" s="12">
        <v>81.926000000000002</v>
      </c>
      <c r="O1761" s="12">
        <v>123.313</v>
      </c>
      <c r="P1761" s="14" t="s">
        <v>9369</v>
      </c>
      <c r="Q1761" s="14" t="s">
        <v>9369</v>
      </c>
      <c r="R1761" s="12">
        <v>24</v>
      </c>
    </row>
    <row r="1762" spans="1:18" ht="17" customHeight="1" x14ac:dyDescent="0.15">
      <c r="A1762" s="8" t="s">
        <v>9370</v>
      </c>
      <c r="B1762" s="9" t="s">
        <v>9371</v>
      </c>
      <c r="C1762" s="8" t="s">
        <v>9372</v>
      </c>
      <c r="D1762" s="8" t="s">
        <v>9372</v>
      </c>
      <c r="E1762" s="8" t="s">
        <v>9373</v>
      </c>
      <c r="F1762" s="8" t="s">
        <v>9374</v>
      </c>
      <c r="G1762" s="8" t="s">
        <v>9375</v>
      </c>
      <c r="H1762" s="8" t="s">
        <v>9376</v>
      </c>
      <c r="I1762" s="8" t="str">
        <f>HYPERLINK("http://www.calzebeneduci.it/","www.calzebeneduci.it")</f>
        <v>www.calzebeneduci.it</v>
      </c>
      <c r="J1762" s="10">
        <v>3493.2440000000001</v>
      </c>
      <c r="K1762" s="10">
        <v>3493.2440000000001</v>
      </c>
      <c r="L1762" s="10">
        <v>3025.7910000000002</v>
      </c>
      <c r="M1762" s="10">
        <v>91.566999999999993</v>
      </c>
      <c r="N1762" s="10">
        <v>91.566999999999993</v>
      </c>
      <c r="O1762" s="10">
        <v>72.123999999999995</v>
      </c>
      <c r="P1762" s="10">
        <v>11</v>
      </c>
      <c r="Q1762" s="10">
        <v>11</v>
      </c>
      <c r="R1762" s="10">
        <v>11</v>
      </c>
    </row>
    <row r="1763" spans="1:18" ht="17" customHeight="1" x14ac:dyDescent="0.15">
      <c r="A1763" s="11" t="s">
        <v>9377</v>
      </c>
      <c r="B1763" s="1" t="s">
        <v>9378</v>
      </c>
      <c r="C1763" s="11" t="s">
        <v>9379</v>
      </c>
      <c r="D1763" s="11" t="s">
        <v>9379</v>
      </c>
      <c r="E1763" s="11" t="s">
        <v>9380</v>
      </c>
      <c r="F1763" s="11" t="s">
        <v>9381</v>
      </c>
      <c r="G1763" s="11" t="s">
        <v>9382</v>
      </c>
      <c r="H1763" s="11" t="s">
        <v>9383</v>
      </c>
      <c r="I1763" s="11" t="str">
        <f>HYPERLINK("http://www.rubberitalysrl.it/","http://www.rubberitalysrl.it")</f>
        <v>http://www.rubberitalysrl.it</v>
      </c>
      <c r="J1763" s="12">
        <v>2555.337</v>
      </c>
      <c r="K1763" s="12">
        <v>2555.337</v>
      </c>
      <c r="L1763" s="13">
        <v>3024.6660000000002</v>
      </c>
      <c r="M1763" s="12">
        <v>7.9320000000000004</v>
      </c>
      <c r="N1763" s="12">
        <v>7.9320000000000004</v>
      </c>
      <c r="O1763" s="12">
        <v>24.553999999999998</v>
      </c>
      <c r="P1763" s="12">
        <v>26</v>
      </c>
      <c r="Q1763" s="12">
        <v>26</v>
      </c>
      <c r="R1763" s="12">
        <v>29</v>
      </c>
    </row>
    <row r="1764" spans="1:18" ht="17" customHeight="1" x14ac:dyDescent="0.15">
      <c r="A1764" s="8" t="s">
        <v>9384</v>
      </c>
      <c r="B1764" s="9" t="s">
        <v>9385</v>
      </c>
      <c r="C1764" s="8" t="s">
        <v>9386</v>
      </c>
      <c r="D1764" s="8" t="s">
        <v>9386</v>
      </c>
      <c r="E1764" s="8" t="s">
        <v>9387</v>
      </c>
      <c r="F1764" s="8" t="s">
        <v>9388</v>
      </c>
      <c r="G1764" s="8" t="s">
        <v>9389</v>
      </c>
      <c r="H1764" s="8" t="s">
        <v>9390</v>
      </c>
      <c r="I1764" s="8" t="str">
        <f>HYPERLINK("http://suolificiopegaso.com/","suolificiopegaso.com")</f>
        <v>suolificiopegaso.com</v>
      </c>
      <c r="J1764" s="10">
        <v>2750.924</v>
      </c>
      <c r="K1764" s="10">
        <v>2750.924</v>
      </c>
      <c r="L1764" s="10">
        <v>3023.8110000000001</v>
      </c>
      <c r="M1764" s="10">
        <v>490.298</v>
      </c>
      <c r="N1764" s="10">
        <v>490.298</v>
      </c>
      <c r="O1764" s="10">
        <v>412.61500000000001</v>
      </c>
      <c r="P1764" s="10">
        <v>21</v>
      </c>
      <c r="Q1764" s="10">
        <v>21</v>
      </c>
      <c r="R1764" s="10">
        <v>20</v>
      </c>
    </row>
    <row r="1765" spans="1:18" ht="17" customHeight="1" x14ac:dyDescent="0.15">
      <c r="A1765" s="11" t="s">
        <v>9391</v>
      </c>
      <c r="B1765" s="1" t="s">
        <v>9392</v>
      </c>
      <c r="C1765" s="11" t="s">
        <v>9393</v>
      </c>
      <c r="D1765" s="11" t="s">
        <v>9393</v>
      </c>
      <c r="E1765" s="11" t="s">
        <v>9394</v>
      </c>
      <c r="F1765" s="11" t="s">
        <v>9395</v>
      </c>
      <c r="G1765" s="11" t="s">
        <v>9396</v>
      </c>
      <c r="H1765" s="11" t="s">
        <v>9397</v>
      </c>
      <c r="I1765" s="11" t="str">
        <f>HYPERLINK("http://germano1952.it/","germano1952.it")</f>
        <v>germano1952.it</v>
      </c>
      <c r="J1765" s="12">
        <v>3762.761</v>
      </c>
      <c r="K1765" s="12">
        <v>3762.761</v>
      </c>
      <c r="L1765" s="13">
        <v>3021.6860000000001</v>
      </c>
      <c r="M1765" s="12">
        <v>49.679000000000002</v>
      </c>
      <c r="N1765" s="12">
        <v>49.679000000000002</v>
      </c>
      <c r="O1765" s="12">
        <v>55.725000000000001</v>
      </c>
      <c r="P1765" s="12">
        <v>13</v>
      </c>
      <c r="Q1765" s="12">
        <v>13</v>
      </c>
      <c r="R1765" s="12">
        <v>13</v>
      </c>
    </row>
    <row r="1766" spans="1:18" ht="17" customHeight="1" x14ac:dyDescent="0.15">
      <c r="A1766" s="8" t="s">
        <v>9398</v>
      </c>
      <c r="B1766" s="9" t="s">
        <v>9399</v>
      </c>
      <c r="C1766" s="8" t="s">
        <v>9400</v>
      </c>
      <c r="D1766" s="8" t="s">
        <v>9400</v>
      </c>
      <c r="E1766" s="8" t="s">
        <v>9401</v>
      </c>
      <c r="F1766" s="8" t="s">
        <v>9402</v>
      </c>
      <c r="G1766" s="8" t="s">
        <v>9403</v>
      </c>
      <c r="H1766" s="8" t="s">
        <v>9404</v>
      </c>
      <c r="I1766" s="8" t="str">
        <f>HYPERLINK("http://www.mistralcreativevision.com/","www.mistralcreativevision.com")</f>
        <v>www.mistralcreativevision.com</v>
      </c>
      <c r="J1766" s="10">
        <v>2950.7469999999998</v>
      </c>
      <c r="K1766" s="10">
        <v>2950.7469999999998</v>
      </c>
      <c r="L1766" s="10">
        <v>3021.4839999999999</v>
      </c>
      <c r="M1766" s="10">
        <v>178.85900000000001</v>
      </c>
      <c r="N1766" s="10">
        <v>178.85900000000001</v>
      </c>
      <c r="O1766" s="10">
        <v>25.117999999999999</v>
      </c>
      <c r="P1766" s="10">
        <v>21</v>
      </c>
      <c r="Q1766" s="10">
        <v>21</v>
      </c>
      <c r="R1766" s="10">
        <v>16</v>
      </c>
    </row>
    <row r="1767" spans="1:18" ht="17" customHeight="1" x14ac:dyDescent="0.15">
      <c r="A1767" s="11" t="s">
        <v>9405</v>
      </c>
      <c r="B1767" s="1" t="s">
        <v>9406</v>
      </c>
      <c r="C1767" s="11" t="s">
        <v>9407</v>
      </c>
      <c r="D1767" s="11" t="s">
        <v>9407</v>
      </c>
      <c r="E1767" s="11" t="s">
        <v>9408</v>
      </c>
      <c r="F1767" s="11" t="s">
        <v>9374</v>
      </c>
      <c r="G1767" s="11" t="s">
        <v>9375</v>
      </c>
      <c r="H1767" s="11" t="s">
        <v>9376</v>
      </c>
      <c r="I1767" s="11" t="str">
        <f>HYPERLINK("http://calzechiarini.com/","calzechiarini.com")</f>
        <v>calzechiarini.com</v>
      </c>
      <c r="J1767" s="12">
        <v>1994.9469999999999</v>
      </c>
      <c r="K1767" s="12">
        <v>1994.9469999999999</v>
      </c>
      <c r="L1767" s="13">
        <v>3021.375</v>
      </c>
      <c r="M1767" s="12">
        <v>17.291</v>
      </c>
      <c r="N1767" s="12">
        <v>17.291</v>
      </c>
      <c r="O1767" s="12">
        <v>4.3360000000000003</v>
      </c>
      <c r="P1767" s="14" t="s">
        <v>9369</v>
      </c>
      <c r="Q1767" s="14" t="s">
        <v>9369</v>
      </c>
      <c r="R1767" s="12">
        <v>12</v>
      </c>
    </row>
    <row r="1768" spans="1:18" ht="17" customHeight="1" x14ac:dyDescent="0.15">
      <c r="A1768" s="8" t="s">
        <v>9409</v>
      </c>
      <c r="B1768" s="9" t="s">
        <v>9410</v>
      </c>
      <c r="C1768" s="8" t="s">
        <v>9411</v>
      </c>
      <c r="D1768" s="8" t="s">
        <v>9411</v>
      </c>
      <c r="E1768" s="8" t="s">
        <v>9412</v>
      </c>
      <c r="F1768" s="8" t="s">
        <v>9381</v>
      </c>
      <c r="G1768" s="8" t="s">
        <v>9413</v>
      </c>
      <c r="H1768" s="8" t="s">
        <v>9383</v>
      </c>
      <c r="I1768" s="8" t="str">
        <f>HYPERLINK("http://foursystemgroup.it/","foursystemgroup.it")</f>
        <v>foursystemgroup.it</v>
      </c>
      <c r="J1768" s="10">
        <v>2953.3870000000002</v>
      </c>
      <c r="K1768" s="10">
        <v>2953.3870000000002</v>
      </c>
      <c r="L1768" s="10">
        <v>3019.7289999999998</v>
      </c>
      <c r="M1768" s="10">
        <v>50.06</v>
      </c>
      <c r="N1768" s="10">
        <v>50.06</v>
      </c>
      <c r="O1768" s="10">
        <v>156.786</v>
      </c>
      <c r="P1768" s="10">
        <v>34</v>
      </c>
      <c r="Q1768" s="10">
        <v>34</v>
      </c>
      <c r="R1768" s="10">
        <v>34</v>
      </c>
    </row>
    <row r="1769" spans="1:18" ht="17" customHeight="1" x14ac:dyDescent="0.15">
      <c r="A1769" s="11" t="s">
        <v>9414</v>
      </c>
      <c r="B1769" s="1" t="s">
        <v>9415</v>
      </c>
      <c r="C1769" s="11" t="s">
        <v>9416</v>
      </c>
      <c r="D1769" s="11" t="s">
        <v>9416</v>
      </c>
      <c r="E1769" s="11" t="s">
        <v>9417</v>
      </c>
      <c r="F1769" s="11" t="s">
        <v>9418</v>
      </c>
      <c r="G1769" s="11" t="s">
        <v>9419</v>
      </c>
      <c r="H1769" s="11" t="s">
        <v>9376</v>
      </c>
      <c r="I1769" s="11" t="str">
        <f>HYPERLINK("http://bonfantiborse.it/","bonfantiborse.it")</f>
        <v>bonfantiborse.it</v>
      </c>
      <c r="J1769" s="12">
        <v>3090.92</v>
      </c>
      <c r="K1769" s="12">
        <v>3090.92</v>
      </c>
      <c r="L1769" s="13">
        <v>3017.7310000000002</v>
      </c>
      <c r="M1769" s="12">
        <v>3.274</v>
      </c>
      <c r="N1769" s="12">
        <v>3.274</v>
      </c>
      <c r="O1769" s="12">
        <v>6.9320000000000004</v>
      </c>
      <c r="P1769" s="14" t="s">
        <v>9369</v>
      </c>
      <c r="Q1769" s="14" t="s">
        <v>9369</v>
      </c>
      <c r="R1769" s="12">
        <v>10</v>
      </c>
    </row>
    <row r="1770" spans="1:18" ht="17" customHeight="1" x14ac:dyDescent="0.15">
      <c r="A1770" s="8" t="s">
        <v>9420</v>
      </c>
      <c r="B1770" s="9" t="s">
        <v>9421</v>
      </c>
      <c r="C1770" s="8" t="s">
        <v>9422</v>
      </c>
      <c r="D1770" s="8" t="s">
        <v>9422</v>
      </c>
      <c r="E1770" s="8" t="s">
        <v>9423</v>
      </c>
      <c r="F1770" s="8" t="s">
        <v>9395</v>
      </c>
      <c r="G1770" s="8" t="s">
        <v>9424</v>
      </c>
      <c r="H1770" s="8" t="s">
        <v>9397</v>
      </c>
      <c r="I1770" s="8" t="str">
        <f>HYPERLINK("http://www.missnaike.com/","www.missnaike.com")</f>
        <v>www.missnaike.com</v>
      </c>
      <c r="J1770" s="10">
        <v>3171.145</v>
      </c>
      <c r="K1770" s="10">
        <v>3171.145</v>
      </c>
      <c r="L1770" s="10">
        <v>3017.0160000000001</v>
      </c>
      <c r="M1770" s="10">
        <v>35.893999999999998</v>
      </c>
      <c r="N1770" s="10">
        <v>35.893999999999998</v>
      </c>
      <c r="O1770" s="10">
        <v>80.075000000000003</v>
      </c>
      <c r="P1770" s="15" t="s">
        <v>9369</v>
      </c>
      <c r="Q1770" s="15" t="s">
        <v>9369</v>
      </c>
      <c r="R1770" s="10">
        <v>13</v>
      </c>
    </row>
    <row r="1771" spans="1:18" ht="17" customHeight="1" x14ac:dyDescent="0.15">
      <c r="A1771" s="11" t="s">
        <v>9425</v>
      </c>
      <c r="B1771" s="1" t="s">
        <v>9426</v>
      </c>
      <c r="C1771" s="11" t="s">
        <v>9427</v>
      </c>
      <c r="D1771" s="11" t="s">
        <v>9427</v>
      </c>
      <c r="E1771" s="11" t="s">
        <v>9428</v>
      </c>
      <c r="F1771" s="11" t="s">
        <v>9429</v>
      </c>
      <c r="G1771" s="11" t="s">
        <v>9375</v>
      </c>
      <c r="H1771" s="11" t="s">
        <v>9376</v>
      </c>
      <c r="I1771" s="11" t="str">
        <f>HYPERLINK("http://www.maresca.it/","www.maresca.it")</f>
        <v>www.maresca.it</v>
      </c>
      <c r="J1771" s="12">
        <v>2315.1680000000001</v>
      </c>
      <c r="K1771" s="12">
        <v>2315.1680000000001</v>
      </c>
      <c r="L1771" s="13">
        <v>3013.9090000000001</v>
      </c>
      <c r="M1771" s="12">
        <v>-57.277999999999999</v>
      </c>
      <c r="N1771" s="12">
        <v>-57.277999999999999</v>
      </c>
      <c r="O1771" s="12">
        <v>16.14</v>
      </c>
      <c r="P1771" s="12">
        <v>24</v>
      </c>
      <c r="Q1771" s="12">
        <v>24</v>
      </c>
      <c r="R1771" s="12">
        <v>26</v>
      </c>
    </row>
    <row r="1772" spans="1:18" ht="17" customHeight="1" x14ac:dyDescent="0.15">
      <c r="A1772" s="8" t="s">
        <v>9430</v>
      </c>
      <c r="B1772" s="9" t="s">
        <v>9431</v>
      </c>
      <c r="C1772" s="8" t="s">
        <v>9432</v>
      </c>
      <c r="D1772" s="8" t="s">
        <v>9432</v>
      </c>
      <c r="E1772" s="8" t="s">
        <v>9433</v>
      </c>
      <c r="F1772" s="8" t="s">
        <v>9402</v>
      </c>
      <c r="G1772" s="8" t="s">
        <v>9434</v>
      </c>
      <c r="H1772" s="8" t="s">
        <v>9390</v>
      </c>
      <c r="I1772" s="8" t="str">
        <f>HYPERLINK("http://www.lineaprojectleather.it/","www.lineaprojectleather.it")</f>
        <v>www.lineaprojectleather.it</v>
      </c>
      <c r="J1772" s="10">
        <v>2513.0479999999998</v>
      </c>
      <c r="K1772" s="10">
        <v>2513.0479999999998</v>
      </c>
      <c r="L1772" s="10">
        <v>3009.989</v>
      </c>
      <c r="M1772" s="10">
        <v>92.820999999999998</v>
      </c>
      <c r="N1772" s="10">
        <v>92.820999999999998</v>
      </c>
      <c r="O1772" s="10">
        <v>140.04900000000001</v>
      </c>
      <c r="P1772" s="10">
        <v>13</v>
      </c>
      <c r="Q1772" s="10">
        <v>13</v>
      </c>
      <c r="R1772" s="10">
        <v>14</v>
      </c>
    </row>
    <row r="1773" spans="1:18" ht="17" customHeight="1" x14ac:dyDescent="0.15">
      <c r="A1773" s="11" t="s">
        <v>9435</v>
      </c>
      <c r="B1773" s="1" t="s">
        <v>9436</v>
      </c>
      <c r="C1773" s="11" t="s">
        <v>9437</v>
      </c>
      <c r="D1773" s="11" t="s">
        <v>9437</v>
      </c>
      <c r="E1773" s="11" t="s">
        <v>9438</v>
      </c>
      <c r="F1773" s="11" t="s">
        <v>9439</v>
      </c>
      <c r="G1773" s="11" t="s">
        <v>9440</v>
      </c>
      <c r="H1773" s="11" t="s">
        <v>9404</v>
      </c>
      <c r="I1773" s="11" t="str">
        <f>HYPERLINK("http://www.madrasaccessori.it/","www.madrasaccessori.it")</f>
        <v>www.madrasaccessori.it</v>
      </c>
      <c r="J1773" s="12">
        <v>2774.8679999999999</v>
      </c>
      <c r="K1773" s="12">
        <v>2774.8679999999999</v>
      </c>
      <c r="L1773" s="13">
        <v>3009.9409999999998</v>
      </c>
      <c r="M1773" s="12">
        <v>75.924999999999997</v>
      </c>
      <c r="N1773" s="12">
        <v>75.924999999999997</v>
      </c>
      <c r="O1773" s="12">
        <v>105.45099999999999</v>
      </c>
      <c r="P1773" s="12">
        <v>3</v>
      </c>
      <c r="Q1773" s="12">
        <v>3</v>
      </c>
      <c r="R1773" s="12">
        <v>4</v>
      </c>
    </row>
    <row r="1774" spans="1:18" ht="17" customHeight="1" x14ac:dyDescent="0.15">
      <c r="A1774" s="8" t="s">
        <v>9441</v>
      </c>
      <c r="B1774" s="9" t="s">
        <v>9442</v>
      </c>
      <c r="C1774" s="8" t="s">
        <v>9443</v>
      </c>
      <c r="D1774" s="8" t="s">
        <v>9443</v>
      </c>
      <c r="E1774" s="8" t="s">
        <v>9444</v>
      </c>
      <c r="F1774" s="8" t="s">
        <v>9445</v>
      </c>
      <c r="G1774" s="8" t="s">
        <v>9446</v>
      </c>
      <c r="H1774" s="8" t="s">
        <v>9447</v>
      </c>
      <c r="I1774" s="8" t="str">
        <f>HYPERLINK("http://www.cashmereumbria.it/","www.cashmereumbria.it")</f>
        <v>www.cashmereumbria.it</v>
      </c>
      <c r="J1774" s="10">
        <v>3506.16</v>
      </c>
      <c r="K1774" s="10">
        <v>3506.16</v>
      </c>
      <c r="L1774" s="10">
        <v>3008.3119999999999</v>
      </c>
      <c r="M1774" s="10">
        <v>63.598999999999997</v>
      </c>
      <c r="N1774" s="10">
        <v>63.598999999999997</v>
      </c>
      <c r="O1774" s="10">
        <v>39.119</v>
      </c>
      <c r="P1774" s="10">
        <v>20</v>
      </c>
      <c r="Q1774" s="10">
        <v>20</v>
      </c>
      <c r="R1774" s="10">
        <v>18</v>
      </c>
    </row>
    <row r="1775" spans="1:18" ht="29.5" customHeight="1" x14ac:dyDescent="0.15">
      <c r="A1775" s="11" t="s">
        <v>9448</v>
      </c>
      <c r="B1775" s="1" t="s">
        <v>9449</v>
      </c>
      <c r="C1775" s="11" t="s">
        <v>9450</v>
      </c>
      <c r="D1775" s="11" t="s">
        <v>9450</v>
      </c>
      <c r="E1775" s="11" t="s">
        <v>9451</v>
      </c>
      <c r="F1775" s="11" t="s">
        <v>9445</v>
      </c>
      <c r="G1775" s="11" t="s">
        <v>9452</v>
      </c>
      <c r="H1775" s="11" t="s">
        <v>9404</v>
      </c>
      <c r="I1775" s="11" t="str">
        <f>HYPERLINK("http://anghiaritexilgroup.it/","anghiaritexilgroup.it")</f>
        <v>anghiaritexilgroup.it</v>
      </c>
      <c r="J1775" s="12">
        <v>4100.8</v>
      </c>
      <c r="K1775" s="12">
        <v>4100.8</v>
      </c>
      <c r="L1775" s="13">
        <v>3004.9949999999999</v>
      </c>
      <c r="M1775" s="12">
        <v>933.01400000000001</v>
      </c>
      <c r="N1775" s="12">
        <v>933.01400000000001</v>
      </c>
      <c r="O1775" s="12">
        <v>562.86099999999999</v>
      </c>
      <c r="P1775" s="12">
        <v>19</v>
      </c>
      <c r="Q1775" s="12">
        <v>19</v>
      </c>
      <c r="R1775" s="12">
        <v>16</v>
      </c>
    </row>
    <row r="1776" spans="1:18" ht="29.5" customHeight="1" x14ac:dyDescent="0.15">
      <c r="A1776" s="8" t="s">
        <v>9453</v>
      </c>
      <c r="B1776" s="9" t="s">
        <v>9454</v>
      </c>
      <c r="C1776" s="8" t="s">
        <v>9455</v>
      </c>
      <c r="D1776" s="8" t="s">
        <v>9455</v>
      </c>
      <c r="E1776" s="8" t="s">
        <v>9456</v>
      </c>
      <c r="F1776" s="8" t="s">
        <v>9402</v>
      </c>
      <c r="G1776" s="8" t="s">
        <v>9457</v>
      </c>
      <c r="H1776" s="8" t="s">
        <v>9376</v>
      </c>
      <c r="I1776" s="8" t="str">
        <f>HYPERLINK("http://mibfur.com/","mibfur.com")</f>
        <v>mibfur.com</v>
      </c>
      <c r="J1776" s="10">
        <v>2587.5340000000001</v>
      </c>
      <c r="K1776" s="10">
        <v>2587.5340000000001</v>
      </c>
      <c r="L1776" s="10">
        <v>3003.21</v>
      </c>
      <c r="M1776" s="10">
        <v>-115.377</v>
      </c>
      <c r="N1776" s="10">
        <v>-115.377</v>
      </c>
      <c r="O1776" s="10">
        <v>-481.21100000000001</v>
      </c>
      <c r="P1776" s="10">
        <v>24</v>
      </c>
      <c r="Q1776" s="10">
        <v>24</v>
      </c>
      <c r="R1776" s="10">
        <v>34</v>
      </c>
    </row>
    <row r="1777" spans="1:18" ht="17" customHeight="1" x14ac:dyDescent="0.15">
      <c r="A1777" s="11" t="s">
        <v>9458</v>
      </c>
      <c r="B1777" s="1" t="s">
        <v>9459</v>
      </c>
      <c r="C1777" s="11" t="s">
        <v>9460</v>
      </c>
      <c r="D1777" s="11" t="s">
        <v>9460</v>
      </c>
      <c r="E1777" s="11" t="s">
        <v>9461</v>
      </c>
      <c r="F1777" s="11" t="s">
        <v>9395</v>
      </c>
      <c r="G1777" s="11" t="s">
        <v>9424</v>
      </c>
      <c r="H1777" s="11" t="s">
        <v>9397</v>
      </c>
      <c r="I1777" s="11" t="str">
        <f>HYPERLINK("http://www.dressecompany.it/","www.dressecompany.it")</f>
        <v>www.dressecompany.it</v>
      </c>
      <c r="J1777" s="12">
        <v>3610.3760000000002</v>
      </c>
      <c r="K1777" s="12">
        <v>3610.3760000000002</v>
      </c>
      <c r="L1777" s="13">
        <v>3001.9479999999999</v>
      </c>
      <c r="M1777" s="12">
        <v>73.692999999999998</v>
      </c>
      <c r="N1777" s="12">
        <v>73.692999999999998</v>
      </c>
      <c r="O1777" s="12">
        <v>53.127000000000002</v>
      </c>
      <c r="P1777" s="12">
        <v>25</v>
      </c>
      <c r="Q1777" s="12">
        <v>25</v>
      </c>
      <c r="R1777" s="12">
        <v>23</v>
      </c>
    </row>
    <row r="1778" spans="1:18" ht="68" customHeight="1" x14ac:dyDescent="0.15">
      <c r="A1778" s="8" t="s">
        <v>9462</v>
      </c>
      <c r="B1778" s="9" t="s">
        <v>9463</v>
      </c>
      <c r="C1778" s="8" t="s">
        <v>9464</v>
      </c>
      <c r="D1778" s="8" t="s">
        <v>9464</v>
      </c>
      <c r="E1778" s="8" t="s">
        <v>9465</v>
      </c>
      <c r="F1778" s="8" t="s">
        <v>9429</v>
      </c>
      <c r="G1778" s="8" t="s">
        <v>9466</v>
      </c>
      <c r="H1778" s="8" t="s">
        <v>9397</v>
      </c>
      <c r="I1778" s="8" t="str">
        <f>HYPERLINK("http://francofedele.it/","francofedele.it")</f>
        <v>francofedele.it</v>
      </c>
      <c r="J1778" s="10">
        <v>3698.886</v>
      </c>
      <c r="K1778" s="10">
        <v>3698.886</v>
      </c>
      <c r="L1778" s="10">
        <v>3001.1460000000002</v>
      </c>
      <c r="M1778" s="10">
        <v>52.466000000000001</v>
      </c>
      <c r="N1778" s="10">
        <v>52.466000000000001</v>
      </c>
      <c r="O1778" s="10">
        <v>44.521999999999998</v>
      </c>
      <c r="P1778" s="15" t="s">
        <v>9369</v>
      </c>
      <c r="Q1778" s="15" t="s">
        <v>9369</v>
      </c>
      <c r="R1778" s="10">
        <v>33</v>
      </c>
    </row>
    <row r="1779" spans="1:18" ht="17" customHeight="1" x14ac:dyDescent="0.15">
      <c r="A1779" s="11" t="s">
        <v>9467</v>
      </c>
      <c r="B1779" s="1" t="s">
        <v>9468</v>
      </c>
      <c r="C1779" s="11" t="s">
        <v>9469</v>
      </c>
      <c r="D1779" s="11" t="s">
        <v>9469</v>
      </c>
      <c r="E1779" s="11" t="s">
        <v>9470</v>
      </c>
      <c r="F1779" s="11" t="s">
        <v>9395</v>
      </c>
      <c r="G1779" s="11" t="s">
        <v>9419</v>
      </c>
      <c r="H1779" s="11" t="s">
        <v>9376</v>
      </c>
      <c r="I1779" s="11" t="str">
        <f>HYPERLINK("http://www.carolchristianpoell.com/","www.carolchristianpoell.com")</f>
        <v>www.carolchristianpoell.com</v>
      </c>
      <c r="J1779" s="12">
        <v>3629.64</v>
      </c>
      <c r="K1779" s="12">
        <v>3629.64</v>
      </c>
      <c r="L1779" s="13">
        <v>3000.2280000000001</v>
      </c>
      <c r="M1779" s="12">
        <v>71.968000000000004</v>
      </c>
      <c r="N1779" s="12">
        <v>71.968000000000004</v>
      </c>
      <c r="O1779" s="12">
        <v>46.335999999999999</v>
      </c>
      <c r="P1779" s="12">
        <v>21</v>
      </c>
      <c r="Q1779" s="12">
        <v>21</v>
      </c>
      <c r="R1779" s="14" t="s">
        <v>9369</v>
      </c>
    </row>
    <row r="1780" spans="1:18" ht="17" customHeight="1" x14ac:dyDescent="0.15">
      <c r="A1780" s="8" t="s">
        <v>9471</v>
      </c>
      <c r="B1780" s="9" t="s">
        <v>9472</v>
      </c>
      <c r="C1780" s="8" t="s">
        <v>9473</v>
      </c>
      <c r="D1780" s="8" t="s">
        <v>9473</v>
      </c>
      <c r="E1780" s="8" t="s">
        <v>9474</v>
      </c>
      <c r="F1780" s="8" t="s">
        <v>9429</v>
      </c>
      <c r="G1780" s="8" t="s">
        <v>9382</v>
      </c>
      <c r="H1780" s="8" t="s">
        <v>9383</v>
      </c>
      <c r="I1780" s="8" t="str">
        <f>HYPERLINK("http://www.missouri.it/","www.missouri.it")</f>
        <v>www.missouri.it</v>
      </c>
      <c r="J1780" s="10">
        <v>2876.7190000000001</v>
      </c>
      <c r="K1780" s="10">
        <v>2876.7190000000001</v>
      </c>
      <c r="L1780" s="10">
        <v>2996.91</v>
      </c>
      <c r="M1780" s="10">
        <v>326.70999999999998</v>
      </c>
      <c r="N1780" s="10">
        <v>326.70999999999998</v>
      </c>
      <c r="O1780" s="10">
        <v>145.834</v>
      </c>
      <c r="P1780" s="10">
        <v>24</v>
      </c>
      <c r="Q1780" s="10">
        <v>24</v>
      </c>
      <c r="R1780" s="10">
        <v>28</v>
      </c>
    </row>
    <row r="1781" spans="1:18" ht="29.5" customHeight="1" x14ac:dyDescent="0.15">
      <c r="A1781" s="11" t="s">
        <v>9475</v>
      </c>
      <c r="B1781" s="1" t="s">
        <v>9476</v>
      </c>
      <c r="C1781" s="11" t="s">
        <v>9477</v>
      </c>
      <c r="D1781" s="11" t="s">
        <v>9477</v>
      </c>
      <c r="E1781" s="11" t="s">
        <v>9478</v>
      </c>
      <c r="F1781" s="11" t="s">
        <v>9479</v>
      </c>
      <c r="G1781" s="11" t="s">
        <v>9480</v>
      </c>
      <c r="H1781" s="11" t="s">
        <v>9481</v>
      </c>
      <c r="I1781" s="11" t="str">
        <f>HYPERLINK("http://www.de-pietri.com/","www.de-pietri.com")</f>
        <v>www.de-pietri.com</v>
      </c>
      <c r="J1781" s="12">
        <v>2995.3739999999998</v>
      </c>
      <c r="K1781" s="14" t="s">
        <v>9369</v>
      </c>
      <c r="L1781" s="13">
        <v>2995.3739999999998</v>
      </c>
      <c r="M1781" s="12">
        <v>367.52300000000002</v>
      </c>
      <c r="N1781" s="14" t="s">
        <v>9369</v>
      </c>
      <c r="O1781" s="12">
        <v>367.52300000000002</v>
      </c>
      <c r="P1781" s="12">
        <v>5</v>
      </c>
      <c r="Q1781" s="14" t="s">
        <v>9369</v>
      </c>
      <c r="R1781" s="12">
        <v>5</v>
      </c>
    </row>
    <row r="1782" spans="1:18" ht="132.75" customHeight="1" x14ac:dyDescent="0.15">
      <c r="A1782" s="8" t="s">
        <v>9482</v>
      </c>
      <c r="B1782" s="9" t="s">
        <v>9483</v>
      </c>
      <c r="C1782" s="8" t="s">
        <v>9484</v>
      </c>
      <c r="D1782" s="8" t="s">
        <v>9484</v>
      </c>
      <c r="E1782" s="8" t="s">
        <v>9485</v>
      </c>
      <c r="F1782" s="8" t="s">
        <v>9418</v>
      </c>
      <c r="G1782" s="8" t="s">
        <v>9486</v>
      </c>
      <c r="H1782" s="8" t="s">
        <v>9487</v>
      </c>
      <c r="I1782" s="8" t="str">
        <f>HYPERLINK("http://www.ripani.com/","www.ripani.com")</f>
        <v>www.ripani.com</v>
      </c>
      <c r="J1782" s="10">
        <v>3129.0030000000002</v>
      </c>
      <c r="K1782" s="10">
        <v>3129.0030000000002</v>
      </c>
      <c r="L1782" s="10">
        <v>2993.0129999999999</v>
      </c>
      <c r="M1782" s="10">
        <v>75.158000000000001</v>
      </c>
      <c r="N1782" s="10">
        <v>75.158000000000001</v>
      </c>
      <c r="O1782" s="10">
        <v>68.742000000000004</v>
      </c>
      <c r="P1782" s="10">
        <v>24</v>
      </c>
      <c r="Q1782" s="10">
        <v>24</v>
      </c>
      <c r="R1782" s="10">
        <v>21</v>
      </c>
    </row>
    <row r="1783" spans="1:18" ht="17" customHeight="1" x14ac:dyDescent="0.15">
      <c r="A1783" s="11" t="s">
        <v>9488</v>
      </c>
      <c r="B1783" s="1" t="s">
        <v>9489</v>
      </c>
      <c r="C1783" s="11" t="s">
        <v>9490</v>
      </c>
      <c r="D1783" s="11" t="s">
        <v>9490</v>
      </c>
      <c r="E1783" s="11" t="s">
        <v>9491</v>
      </c>
      <c r="F1783" s="11" t="s">
        <v>9388</v>
      </c>
      <c r="G1783" s="11" t="s">
        <v>9403</v>
      </c>
      <c r="H1783" s="11" t="s">
        <v>9404</v>
      </c>
      <c r="I1783" s="11" t="str">
        <f>HYPERLINK("http://www.suolificio.com/","www.suolificio.com")</f>
        <v>www.suolificio.com</v>
      </c>
      <c r="J1783" s="12">
        <v>3176.8490000000002</v>
      </c>
      <c r="K1783" s="12">
        <v>3176.8490000000002</v>
      </c>
      <c r="L1783" s="13">
        <v>2988.9639999999999</v>
      </c>
      <c r="M1783" s="12">
        <v>216.65299999999999</v>
      </c>
      <c r="N1783" s="12">
        <v>216.65299999999999</v>
      </c>
      <c r="O1783" s="12">
        <v>345.40300000000002</v>
      </c>
      <c r="P1783" s="12">
        <v>12</v>
      </c>
      <c r="Q1783" s="12">
        <v>12</v>
      </c>
      <c r="R1783" s="12">
        <v>12</v>
      </c>
    </row>
    <row r="1784" spans="1:18" ht="17" customHeight="1" x14ac:dyDescent="0.15">
      <c r="A1784" s="8" t="s">
        <v>9492</v>
      </c>
      <c r="B1784" s="9" t="s">
        <v>9493</v>
      </c>
      <c r="C1784" s="8" t="s">
        <v>9494</v>
      </c>
      <c r="D1784" s="8" t="s">
        <v>9494</v>
      </c>
      <c r="E1784" s="8" t="s">
        <v>9495</v>
      </c>
      <c r="F1784" s="8" t="s">
        <v>9429</v>
      </c>
      <c r="G1784" s="8" t="s">
        <v>9496</v>
      </c>
      <c r="H1784" s="8" t="s">
        <v>9404</v>
      </c>
      <c r="I1784" s="8" t="str">
        <f>HYPERLINK("http://www.calzaturificioettoremasotti.com/","www.calzaturificioettoremasotti.com")</f>
        <v>www.calzaturificioettoremasotti.com</v>
      </c>
      <c r="J1784" s="10">
        <v>3221.7330000000002</v>
      </c>
      <c r="K1784" s="10">
        <v>3221.7330000000002</v>
      </c>
      <c r="L1784" s="10">
        <v>2987.654</v>
      </c>
      <c r="M1784" s="10">
        <v>572.28399999999999</v>
      </c>
      <c r="N1784" s="10">
        <v>572.28399999999999</v>
      </c>
      <c r="O1784" s="10">
        <v>370.24599999999998</v>
      </c>
      <c r="P1784" s="10">
        <v>14</v>
      </c>
      <c r="Q1784" s="10">
        <v>14</v>
      </c>
      <c r="R1784" s="10">
        <v>14</v>
      </c>
    </row>
    <row r="1785" spans="1:18" ht="17" customHeight="1" x14ac:dyDescent="0.15">
      <c r="A1785" s="11" t="s">
        <v>9497</v>
      </c>
      <c r="B1785" s="1" t="s">
        <v>9498</v>
      </c>
      <c r="C1785" s="11" t="s">
        <v>9499</v>
      </c>
      <c r="D1785" s="11" t="s">
        <v>9499</v>
      </c>
      <c r="E1785" s="11" t="s">
        <v>9500</v>
      </c>
      <c r="F1785" s="11" t="s">
        <v>9501</v>
      </c>
      <c r="G1785" s="11" t="s">
        <v>9502</v>
      </c>
      <c r="H1785" s="11" t="s">
        <v>9390</v>
      </c>
      <c r="I1785" s="11" t="str">
        <f>HYPERLINK("http://www.emmepi-italia.com/","www.emmepi-italia.com")</f>
        <v>www.emmepi-italia.com</v>
      </c>
      <c r="J1785" s="12">
        <v>3508.7930000000001</v>
      </c>
      <c r="K1785" s="12">
        <v>3508.7930000000001</v>
      </c>
      <c r="L1785" s="13">
        <v>2980.0540000000001</v>
      </c>
      <c r="M1785" s="12">
        <v>3.774</v>
      </c>
      <c r="N1785" s="12">
        <v>3.774</v>
      </c>
      <c r="O1785" s="12">
        <v>16.946999999999999</v>
      </c>
      <c r="P1785" s="12">
        <v>8</v>
      </c>
      <c r="Q1785" s="12">
        <v>8</v>
      </c>
      <c r="R1785" s="12">
        <v>10</v>
      </c>
    </row>
    <row r="1786" spans="1:18" ht="17" customHeight="1" x14ac:dyDescent="0.15">
      <c r="A1786" s="8" t="s">
        <v>9503</v>
      </c>
      <c r="B1786" s="9" t="s">
        <v>9504</v>
      </c>
      <c r="C1786" s="8" t="s">
        <v>9505</v>
      </c>
      <c r="D1786" s="8" t="s">
        <v>9505</v>
      </c>
      <c r="E1786" s="8" t="s">
        <v>9506</v>
      </c>
      <c r="F1786" s="8" t="s">
        <v>9395</v>
      </c>
      <c r="G1786" s="8" t="s">
        <v>9507</v>
      </c>
      <c r="H1786" s="8" t="s">
        <v>9481</v>
      </c>
      <c r="I1786" s="8" t="str">
        <f>HYPERLINK("http://rota-pantaloni.com/","rota-pantaloni.com")</f>
        <v>rota-pantaloni.com</v>
      </c>
      <c r="J1786" s="10">
        <v>3746.1819999999998</v>
      </c>
      <c r="K1786" s="10">
        <v>3746.1819999999998</v>
      </c>
      <c r="L1786" s="10">
        <v>2974.9740000000002</v>
      </c>
      <c r="M1786" s="10">
        <v>7.2729999999999997</v>
      </c>
      <c r="N1786" s="10">
        <v>7.2729999999999997</v>
      </c>
      <c r="O1786" s="10">
        <v>-39.155000000000001</v>
      </c>
      <c r="P1786" s="10">
        <v>33</v>
      </c>
      <c r="Q1786" s="10">
        <v>33</v>
      </c>
      <c r="R1786" s="10">
        <v>24</v>
      </c>
    </row>
    <row r="1787" spans="1:18" ht="17" customHeight="1" x14ac:dyDescent="0.15">
      <c r="A1787" s="11" t="s">
        <v>9508</v>
      </c>
      <c r="B1787" s="1" t="s">
        <v>9509</v>
      </c>
      <c r="C1787" s="11" t="s">
        <v>9510</v>
      </c>
      <c r="D1787" s="11" t="s">
        <v>9510</v>
      </c>
      <c r="E1787" s="11" t="s">
        <v>9511</v>
      </c>
      <c r="F1787" s="11" t="s">
        <v>9429</v>
      </c>
      <c r="G1787" s="11" t="s">
        <v>9382</v>
      </c>
      <c r="H1787" s="11" t="s">
        <v>9383</v>
      </c>
      <c r="I1787" s="11" t="str">
        <f>HYPERLINK("http://www.rossisrl.it/","www.rossisrl.it")</f>
        <v>www.rossisrl.it</v>
      </c>
      <c r="J1787" s="12">
        <v>3429.2759999999998</v>
      </c>
      <c r="K1787" s="12">
        <v>3429.2759999999998</v>
      </c>
      <c r="L1787" s="13">
        <v>2972.326</v>
      </c>
      <c r="M1787" s="12">
        <v>119.045</v>
      </c>
      <c r="N1787" s="12">
        <v>119.045</v>
      </c>
      <c r="O1787" s="12">
        <v>69.813999999999993</v>
      </c>
      <c r="P1787" s="12">
        <v>30</v>
      </c>
      <c r="Q1787" s="12">
        <v>30</v>
      </c>
      <c r="R1787" s="12">
        <v>20</v>
      </c>
    </row>
    <row r="1788" spans="1:18" ht="17" customHeight="1" x14ac:dyDescent="0.15">
      <c r="A1788" s="8" t="s">
        <v>9512</v>
      </c>
      <c r="B1788" s="9" t="s">
        <v>9513</v>
      </c>
      <c r="C1788" s="8" t="s">
        <v>9514</v>
      </c>
      <c r="D1788" s="8" t="s">
        <v>9514</v>
      </c>
      <c r="E1788" s="8" t="s">
        <v>9515</v>
      </c>
      <c r="F1788" s="8" t="s">
        <v>9479</v>
      </c>
      <c r="G1788" s="8" t="s">
        <v>9389</v>
      </c>
      <c r="H1788" s="8" t="s">
        <v>9390</v>
      </c>
      <c r="I1788" s="8" t="str">
        <f>HYPERLINK("http://www.tailorofvenice.com/","http://www.tailorofvenice.com")</f>
        <v>http://www.tailorofvenice.com</v>
      </c>
      <c r="J1788" s="10">
        <v>2970.616</v>
      </c>
      <c r="K1788" s="15" t="s">
        <v>9369</v>
      </c>
      <c r="L1788" s="10">
        <v>2970.616</v>
      </c>
      <c r="M1788" s="10">
        <v>-20.527000000000001</v>
      </c>
      <c r="N1788" s="15" t="s">
        <v>9369</v>
      </c>
      <c r="O1788" s="10">
        <v>-20.527000000000001</v>
      </c>
      <c r="P1788" s="10">
        <v>9</v>
      </c>
      <c r="Q1788" s="15" t="s">
        <v>9369</v>
      </c>
      <c r="R1788" s="10">
        <v>9</v>
      </c>
    </row>
    <row r="1789" spans="1:18" ht="17" customHeight="1" x14ac:dyDescent="0.15">
      <c r="A1789" s="11" t="s">
        <v>9516</v>
      </c>
      <c r="B1789" s="1" t="s">
        <v>9517</v>
      </c>
      <c r="C1789" s="11" t="s">
        <v>9518</v>
      </c>
      <c r="D1789" s="11" t="s">
        <v>9518</v>
      </c>
      <c r="E1789" s="11" t="s">
        <v>9519</v>
      </c>
      <c r="F1789" s="11" t="s">
        <v>9479</v>
      </c>
      <c r="G1789" s="11" t="s">
        <v>9502</v>
      </c>
      <c r="H1789" s="11" t="s">
        <v>9390</v>
      </c>
      <c r="I1789" s="11" t="str">
        <f>HYPERLINK("http://www.teetimeitaly.it/","www.teetimeitaly.it")</f>
        <v>www.teetimeitaly.it</v>
      </c>
      <c r="J1789" s="12">
        <v>2940.8310000000001</v>
      </c>
      <c r="K1789" s="12">
        <v>2940.8310000000001</v>
      </c>
      <c r="L1789" s="13">
        <v>2968.8049999999998</v>
      </c>
      <c r="M1789" s="12">
        <v>12.145</v>
      </c>
      <c r="N1789" s="12">
        <v>12.145</v>
      </c>
      <c r="O1789" s="12">
        <v>-8.5649999999999995</v>
      </c>
      <c r="P1789" s="12">
        <v>13</v>
      </c>
      <c r="Q1789" s="12">
        <v>13</v>
      </c>
      <c r="R1789" s="12">
        <v>16</v>
      </c>
    </row>
    <row r="1790" spans="1:18" ht="17" customHeight="1" x14ac:dyDescent="0.15">
      <c r="A1790" s="8" t="s">
        <v>9520</v>
      </c>
      <c r="B1790" s="9" t="s">
        <v>9521</v>
      </c>
      <c r="C1790" s="8" t="s">
        <v>9522</v>
      </c>
      <c r="D1790" s="8" t="s">
        <v>9522</v>
      </c>
      <c r="E1790" s="8" t="s">
        <v>9523</v>
      </c>
      <c r="F1790" s="8" t="s">
        <v>9524</v>
      </c>
      <c r="G1790" s="8" t="s">
        <v>9525</v>
      </c>
      <c r="H1790" s="8" t="s">
        <v>9376</v>
      </c>
      <c r="I1790" s="8" t="str">
        <f>HYPERLINK("http://albumdifamiglia.com/","albumdifamiglia.com")</f>
        <v>albumdifamiglia.com</v>
      </c>
      <c r="J1790" s="10">
        <v>3539.3220000000001</v>
      </c>
      <c r="K1790" s="10">
        <v>3539.3220000000001</v>
      </c>
      <c r="L1790" s="10">
        <v>2966.2220000000002</v>
      </c>
      <c r="M1790" s="10">
        <v>426.35500000000002</v>
      </c>
      <c r="N1790" s="10">
        <v>426.35500000000002</v>
      </c>
      <c r="O1790" s="10">
        <v>306.78500000000003</v>
      </c>
      <c r="P1790" s="10">
        <v>9</v>
      </c>
      <c r="Q1790" s="10">
        <v>9</v>
      </c>
      <c r="R1790" s="10">
        <v>8</v>
      </c>
    </row>
    <row r="1791" spans="1:18" ht="17" customHeight="1" x14ac:dyDescent="0.15">
      <c r="A1791" s="11" t="s">
        <v>9526</v>
      </c>
      <c r="B1791" s="1" t="s">
        <v>9527</v>
      </c>
      <c r="C1791" s="11" t="s">
        <v>9528</v>
      </c>
      <c r="D1791" s="11" t="s">
        <v>9528</v>
      </c>
      <c r="E1791" s="11" t="s">
        <v>9529</v>
      </c>
      <c r="F1791" s="11" t="s">
        <v>9479</v>
      </c>
      <c r="G1791" s="11" t="s">
        <v>9530</v>
      </c>
      <c r="H1791" s="11" t="s">
        <v>9531</v>
      </c>
      <c r="I1791" s="11" t="str">
        <f>HYPERLINK("http://v2brand.it/","v2brand.it")</f>
        <v>v2brand.it</v>
      </c>
      <c r="J1791" s="12">
        <v>3914.0439999999999</v>
      </c>
      <c r="K1791" s="12">
        <v>3914.0439999999999</v>
      </c>
      <c r="L1791" s="13">
        <v>2963.6979999999999</v>
      </c>
      <c r="M1791" s="12">
        <v>102.79300000000001</v>
      </c>
      <c r="N1791" s="12">
        <v>102.79300000000001</v>
      </c>
      <c r="O1791" s="12">
        <v>51.957000000000001</v>
      </c>
      <c r="P1791" s="12">
        <v>7</v>
      </c>
      <c r="Q1791" s="12">
        <v>7</v>
      </c>
      <c r="R1791" s="12">
        <v>6</v>
      </c>
    </row>
    <row r="1792" spans="1:18" ht="17" customHeight="1" x14ac:dyDescent="0.15">
      <c r="A1792" s="8" t="s">
        <v>9532</v>
      </c>
      <c r="B1792" s="9" t="s">
        <v>9533</v>
      </c>
      <c r="C1792" s="8" t="s">
        <v>9534</v>
      </c>
      <c r="D1792" s="8" t="s">
        <v>9534</v>
      </c>
      <c r="E1792" s="8" t="s">
        <v>9535</v>
      </c>
      <c r="F1792" s="8" t="s">
        <v>9402</v>
      </c>
      <c r="G1792" s="8" t="s">
        <v>9434</v>
      </c>
      <c r="H1792" s="8" t="s">
        <v>9390</v>
      </c>
      <c r="I1792" s="8" t="str">
        <f>HYPERLINK("http://www.comet-pelli.com/","www.comet-pelli.com")</f>
        <v>www.comet-pelli.com</v>
      </c>
      <c r="J1792" s="10">
        <v>2963.6579999999999</v>
      </c>
      <c r="K1792" s="10">
        <v>2963.6579999999999</v>
      </c>
      <c r="L1792" s="10">
        <v>2961.5</v>
      </c>
      <c r="M1792" s="10">
        <v>183.64500000000001</v>
      </c>
      <c r="N1792" s="10">
        <v>183.64500000000001</v>
      </c>
      <c r="O1792" s="10">
        <v>172.459</v>
      </c>
      <c r="P1792" s="10">
        <v>5</v>
      </c>
      <c r="Q1792" s="10">
        <v>5</v>
      </c>
      <c r="R1792" s="10">
        <v>6</v>
      </c>
    </row>
    <row r="1793" spans="1:18" ht="17" customHeight="1" x14ac:dyDescent="0.15">
      <c r="A1793" s="11" t="s">
        <v>9536</v>
      </c>
      <c r="B1793" s="1" t="s">
        <v>9537</v>
      </c>
      <c r="C1793" s="11" t="s">
        <v>9538</v>
      </c>
      <c r="D1793" s="11" t="s">
        <v>9538</v>
      </c>
      <c r="E1793" s="11" t="s">
        <v>9539</v>
      </c>
      <c r="F1793" s="11" t="s">
        <v>9540</v>
      </c>
      <c r="G1793" s="11" t="s">
        <v>9541</v>
      </c>
      <c r="H1793" s="11" t="s">
        <v>9542</v>
      </c>
      <c r="I1793" s="11" t="str">
        <f>HYPERLINK("http://maelo.com/","maelo.com")</f>
        <v>maelo.com</v>
      </c>
      <c r="J1793" s="12">
        <v>5178.9359999999997</v>
      </c>
      <c r="K1793" s="12">
        <v>5178.9359999999997</v>
      </c>
      <c r="L1793" s="13">
        <v>2957.9380000000001</v>
      </c>
      <c r="M1793" s="12">
        <v>59.064999999999998</v>
      </c>
      <c r="N1793" s="12">
        <v>59.064999999999998</v>
      </c>
      <c r="O1793" s="12">
        <v>-73.289000000000001</v>
      </c>
      <c r="P1793" s="14" t="s">
        <v>9543</v>
      </c>
      <c r="Q1793" s="14" t="s">
        <v>9543</v>
      </c>
      <c r="R1793" s="12">
        <v>16</v>
      </c>
    </row>
    <row r="1794" spans="1:18" ht="17" customHeight="1" x14ac:dyDescent="0.15">
      <c r="A1794" s="8" t="s">
        <v>9544</v>
      </c>
      <c r="B1794" s="9" t="s">
        <v>9545</v>
      </c>
      <c r="C1794" s="8" t="s">
        <v>9546</v>
      </c>
      <c r="D1794" s="8" t="s">
        <v>9546</v>
      </c>
      <c r="E1794" s="8" t="s">
        <v>9547</v>
      </c>
      <c r="F1794" s="8" t="s">
        <v>9540</v>
      </c>
      <c r="G1794" s="8" t="s">
        <v>9548</v>
      </c>
      <c r="H1794" s="8" t="s">
        <v>9549</v>
      </c>
      <c r="I1794" s="8" t="str">
        <f>HYPERLINK("http://www.lorenzomasiero.it/","www.lorenzomasiero.it")</f>
        <v>www.lorenzomasiero.it</v>
      </c>
      <c r="J1794" s="10">
        <v>3059.75</v>
      </c>
      <c r="K1794" s="10">
        <v>3059.75</v>
      </c>
      <c r="L1794" s="10">
        <v>2957.5329999999999</v>
      </c>
      <c r="M1794" s="10">
        <v>1.379</v>
      </c>
      <c r="N1794" s="10">
        <v>1.379</v>
      </c>
      <c r="O1794" s="10">
        <v>4.0060000000000002</v>
      </c>
      <c r="P1794" s="10">
        <v>18</v>
      </c>
      <c r="Q1794" s="10">
        <v>18</v>
      </c>
      <c r="R1794" s="10">
        <v>13</v>
      </c>
    </row>
    <row r="1795" spans="1:18" ht="29.5" customHeight="1" x14ac:dyDescent="0.15">
      <c r="A1795" s="11" t="s">
        <v>9550</v>
      </c>
      <c r="B1795" s="1" t="s">
        <v>9551</v>
      </c>
      <c r="C1795" s="11" t="s">
        <v>9552</v>
      </c>
      <c r="D1795" s="11" t="s">
        <v>9552</v>
      </c>
      <c r="E1795" s="11" t="s">
        <v>9553</v>
      </c>
      <c r="F1795" s="11" t="s">
        <v>9554</v>
      </c>
      <c r="G1795" s="11" t="s">
        <v>9548</v>
      </c>
      <c r="H1795" s="11" t="s">
        <v>9549</v>
      </c>
      <c r="I1795" s="11" t="str">
        <f>HYPERLINK("http://mazzonetto.it/","mazzonetto.it")</f>
        <v>mazzonetto.it</v>
      </c>
      <c r="J1795" s="12">
        <v>782.33199999999999</v>
      </c>
      <c r="K1795" s="12">
        <v>782.33199999999999</v>
      </c>
      <c r="L1795" s="13">
        <v>2956.3049999999998</v>
      </c>
      <c r="M1795" s="12">
        <v>51.768000000000001</v>
      </c>
      <c r="N1795" s="12">
        <v>51.768000000000001</v>
      </c>
      <c r="O1795" s="12">
        <v>444.49599999999998</v>
      </c>
      <c r="P1795" s="12">
        <v>5</v>
      </c>
      <c r="Q1795" s="12">
        <v>5</v>
      </c>
      <c r="R1795" s="12">
        <v>35</v>
      </c>
    </row>
    <row r="1796" spans="1:18" ht="17" customHeight="1" x14ac:dyDescent="0.15">
      <c r="A1796" s="8" t="s">
        <v>9555</v>
      </c>
      <c r="B1796" s="9" t="s">
        <v>9556</v>
      </c>
      <c r="C1796" s="8" t="s">
        <v>9557</v>
      </c>
      <c r="D1796" s="8" t="s">
        <v>9557</v>
      </c>
      <c r="E1796" s="8" t="s">
        <v>9558</v>
      </c>
      <c r="F1796" s="8" t="s">
        <v>9559</v>
      </c>
      <c r="G1796" s="8" t="s">
        <v>9560</v>
      </c>
      <c r="H1796" s="8" t="s">
        <v>9561</v>
      </c>
      <c r="I1796" s="8" t="str">
        <f>HYPERLINK("http://www.muccillogroup.it/","www.muccillogroup.it")</f>
        <v>www.muccillogroup.it</v>
      </c>
      <c r="J1796" s="10">
        <v>2230.0259999999998</v>
      </c>
      <c r="K1796" s="10">
        <v>2230.0259999999998</v>
      </c>
      <c r="L1796" s="10">
        <v>2954.9009999999998</v>
      </c>
      <c r="M1796" s="10">
        <v>7.9710000000000001</v>
      </c>
      <c r="N1796" s="10">
        <v>7.9710000000000001</v>
      </c>
      <c r="O1796" s="10">
        <v>5.8419999999999996</v>
      </c>
      <c r="P1796" s="15" t="s">
        <v>9543</v>
      </c>
      <c r="Q1796" s="15" t="s">
        <v>9543</v>
      </c>
      <c r="R1796" s="10">
        <v>9</v>
      </c>
    </row>
    <row r="1797" spans="1:18" ht="17" customHeight="1" x14ac:dyDescent="0.15">
      <c r="A1797" s="11" t="s">
        <v>9562</v>
      </c>
      <c r="B1797" s="1" t="s">
        <v>9563</v>
      </c>
      <c r="C1797" s="11" t="s">
        <v>9564</v>
      </c>
      <c r="D1797" s="11" t="s">
        <v>9564</v>
      </c>
      <c r="E1797" s="11" t="s">
        <v>9565</v>
      </c>
      <c r="F1797" s="11" t="s">
        <v>9559</v>
      </c>
      <c r="G1797" s="11" t="s">
        <v>9566</v>
      </c>
      <c r="H1797" s="11" t="s">
        <v>9542</v>
      </c>
      <c r="I1797" s="11" t="str">
        <f>HYPERLINK("http://lebbsrl.it/","lebbsrl.it")</f>
        <v>lebbsrl.it</v>
      </c>
      <c r="J1797" s="12">
        <v>2228.6179999999999</v>
      </c>
      <c r="K1797" s="12">
        <v>2228.6179999999999</v>
      </c>
      <c r="L1797" s="13">
        <v>2952.4560000000001</v>
      </c>
      <c r="M1797" s="12">
        <v>8.4809999999999999</v>
      </c>
      <c r="N1797" s="12">
        <v>8.4809999999999999</v>
      </c>
      <c r="O1797" s="12">
        <v>23.053000000000001</v>
      </c>
      <c r="P1797" s="12">
        <v>5</v>
      </c>
      <c r="Q1797" s="12">
        <v>5</v>
      </c>
      <c r="R1797" s="12">
        <v>5</v>
      </c>
    </row>
    <row r="1798" spans="1:18" ht="17" customHeight="1" x14ac:dyDescent="0.15">
      <c r="A1798" s="8" t="s">
        <v>9567</v>
      </c>
      <c r="B1798" s="9" t="s">
        <v>9568</v>
      </c>
      <c r="C1798" s="8" t="s">
        <v>9569</v>
      </c>
      <c r="D1798" s="8" t="s">
        <v>9569</v>
      </c>
      <c r="E1798" s="8" t="s">
        <v>9570</v>
      </c>
      <c r="F1798" s="8" t="s">
        <v>9571</v>
      </c>
      <c r="G1798" s="8" t="s">
        <v>9572</v>
      </c>
      <c r="H1798" s="8" t="s">
        <v>9573</v>
      </c>
      <c r="I1798" s="8" t="str">
        <f>HYPERLINK("http://www.calzecarol.it/","www.calzecarol.it")</f>
        <v>www.calzecarol.it</v>
      </c>
      <c r="J1798" s="10">
        <v>3214.2559999999999</v>
      </c>
      <c r="K1798" s="10">
        <v>3214.2559999999999</v>
      </c>
      <c r="L1798" s="10">
        <v>2951.8069999999998</v>
      </c>
      <c r="M1798" s="10">
        <v>182.71299999999999</v>
      </c>
      <c r="N1798" s="10">
        <v>182.71299999999999</v>
      </c>
      <c r="O1798" s="10">
        <v>156.697</v>
      </c>
      <c r="P1798" s="10">
        <v>11</v>
      </c>
      <c r="Q1798" s="10">
        <v>11</v>
      </c>
      <c r="R1798" s="10">
        <v>11</v>
      </c>
    </row>
    <row r="1799" spans="1:18" ht="17" customHeight="1" x14ac:dyDescent="0.15">
      <c r="A1799" s="11" t="s">
        <v>9574</v>
      </c>
      <c r="B1799" s="1" t="s">
        <v>9575</v>
      </c>
      <c r="C1799" s="11" t="s">
        <v>9576</v>
      </c>
      <c r="D1799" s="11" t="s">
        <v>9576</v>
      </c>
      <c r="E1799" s="11" t="s">
        <v>9577</v>
      </c>
      <c r="F1799" s="11" t="s">
        <v>9578</v>
      </c>
      <c r="G1799" s="11" t="s">
        <v>9579</v>
      </c>
      <c r="H1799" s="11" t="s">
        <v>9549</v>
      </c>
      <c r="I1799" s="11" t="str">
        <f>HYPERLINK("http://www.maasciugaturapelli.it/","www.maasciugaturapelli.it")</f>
        <v>www.maasciugaturapelli.it</v>
      </c>
      <c r="J1799" s="12">
        <v>2833.2649999999999</v>
      </c>
      <c r="K1799" s="12">
        <v>2833.2649999999999</v>
      </c>
      <c r="L1799" s="13">
        <v>2945.5520000000001</v>
      </c>
      <c r="M1799" s="12">
        <v>727.279</v>
      </c>
      <c r="N1799" s="12">
        <v>727.279</v>
      </c>
      <c r="O1799" s="12">
        <v>714.44899999999996</v>
      </c>
      <c r="P1799" s="12">
        <v>18</v>
      </c>
      <c r="Q1799" s="12">
        <v>18</v>
      </c>
      <c r="R1799" s="12">
        <v>18</v>
      </c>
    </row>
    <row r="1800" spans="1:18" ht="17" customHeight="1" x14ac:dyDescent="0.15">
      <c r="A1800" s="8" t="s">
        <v>9580</v>
      </c>
      <c r="B1800" s="9" t="s">
        <v>9581</v>
      </c>
      <c r="C1800" s="8" t="s">
        <v>9582</v>
      </c>
      <c r="D1800" s="8" t="s">
        <v>9582</v>
      </c>
      <c r="E1800" s="8" t="s">
        <v>9583</v>
      </c>
      <c r="F1800" s="8" t="s">
        <v>9578</v>
      </c>
      <c r="G1800" s="8" t="s">
        <v>9579</v>
      </c>
      <c r="H1800" s="8" t="s">
        <v>9549</v>
      </c>
      <c r="I1800" s="8" t="str">
        <f>HYPERLINK("http://www.conceriam3.com/","www.conceriam3.com")</f>
        <v>www.conceriam3.com</v>
      </c>
      <c r="J1800" s="10">
        <v>2636.4639999999999</v>
      </c>
      <c r="K1800" s="10">
        <v>2636.4639999999999</v>
      </c>
      <c r="L1800" s="10">
        <v>2943.45</v>
      </c>
      <c r="M1800" s="10">
        <v>-28.701000000000001</v>
      </c>
      <c r="N1800" s="10">
        <v>-28.701000000000001</v>
      </c>
      <c r="O1800" s="10">
        <v>-60.527999999999999</v>
      </c>
      <c r="P1800" s="10">
        <v>9</v>
      </c>
      <c r="Q1800" s="10">
        <v>9</v>
      </c>
      <c r="R1800" s="10">
        <v>8</v>
      </c>
    </row>
    <row r="1801" spans="1:18" ht="17" customHeight="1" x14ac:dyDescent="0.15">
      <c r="A1801" s="11" t="s">
        <v>9584</v>
      </c>
      <c r="B1801" s="1" t="s">
        <v>9585</v>
      </c>
      <c r="C1801" s="11" t="s">
        <v>9586</v>
      </c>
      <c r="D1801" s="11" t="s">
        <v>9586</v>
      </c>
      <c r="E1801" s="11" t="s">
        <v>9587</v>
      </c>
      <c r="F1801" s="11" t="s">
        <v>9588</v>
      </c>
      <c r="G1801" s="11" t="s">
        <v>9589</v>
      </c>
      <c r="H1801" s="11" t="s">
        <v>9590</v>
      </c>
      <c r="I1801" s="11" t="str">
        <f>HYPERLINK("http://www.emmetidifranco.it/","www.emmetidifranco.it")</f>
        <v>www.emmetidifranco.it</v>
      </c>
      <c r="J1801" s="12">
        <v>2690.2260000000001</v>
      </c>
      <c r="K1801" s="12">
        <v>2690.2260000000001</v>
      </c>
      <c r="L1801" s="13">
        <v>2939.1410000000001</v>
      </c>
      <c r="M1801" s="12">
        <v>41.472000000000001</v>
      </c>
      <c r="N1801" s="12">
        <v>41.472000000000001</v>
      </c>
      <c r="O1801" s="12">
        <v>108.01600000000001</v>
      </c>
      <c r="P1801" s="12">
        <v>14</v>
      </c>
      <c r="Q1801" s="12">
        <v>14</v>
      </c>
      <c r="R1801" s="12">
        <v>14</v>
      </c>
    </row>
    <row r="1802" spans="1:18" ht="17" customHeight="1" x14ac:dyDescent="0.15">
      <c r="A1802" s="8" t="s">
        <v>9591</v>
      </c>
      <c r="B1802" s="9" t="s">
        <v>9592</v>
      </c>
      <c r="C1802" s="8" t="s">
        <v>9593</v>
      </c>
      <c r="D1802" s="8" t="s">
        <v>9593</v>
      </c>
      <c r="E1802" s="8" t="s">
        <v>9594</v>
      </c>
      <c r="F1802" s="8" t="s">
        <v>9595</v>
      </c>
      <c r="G1802" s="8" t="s">
        <v>9589</v>
      </c>
      <c r="H1802" s="8" t="s">
        <v>9590</v>
      </c>
      <c r="I1802" s="8" t="str">
        <f>HYPERLINK("http://ilmarchiodoro.it/","ilmarchiodoro.it")</f>
        <v>ilmarchiodoro.it</v>
      </c>
      <c r="J1802" s="10">
        <v>2166.6439999999998</v>
      </c>
      <c r="K1802" s="10">
        <v>2166.6439999999998</v>
      </c>
      <c r="L1802" s="10">
        <v>2937.8710000000001</v>
      </c>
      <c r="M1802" s="10">
        <v>208.69399999999999</v>
      </c>
      <c r="N1802" s="10">
        <v>208.69399999999999</v>
      </c>
      <c r="O1802" s="10">
        <v>645.28200000000004</v>
      </c>
      <c r="P1802" s="10">
        <v>12</v>
      </c>
      <c r="Q1802" s="10">
        <v>12</v>
      </c>
      <c r="R1802" s="10">
        <v>12</v>
      </c>
    </row>
    <row r="1803" spans="1:18" ht="17" customHeight="1" x14ac:dyDescent="0.15">
      <c r="A1803" s="11" t="s">
        <v>9596</v>
      </c>
      <c r="B1803" s="1" t="s">
        <v>9597</v>
      </c>
      <c r="C1803" s="11" t="s">
        <v>9598</v>
      </c>
      <c r="D1803" s="11" t="s">
        <v>9598</v>
      </c>
      <c r="E1803" s="11" t="s">
        <v>9599</v>
      </c>
      <c r="F1803" s="11" t="s">
        <v>9600</v>
      </c>
      <c r="G1803" s="11" t="s">
        <v>9601</v>
      </c>
      <c r="H1803" s="11" t="s">
        <v>9602</v>
      </c>
      <c r="I1803" s="11" t="str">
        <f>HYPERLINK("http://www.sertexsrl.it/","www.sertexsrl.it")</f>
        <v>www.sertexsrl.it</v>
      </c>
      <c r="J1803" s="12">
        <v>1879.5809999999999</v>
      </c>
      <c r="K1803" s="12">
        <v>1879.5809999999999</v>
      </c>
      <c r="L1803" s="13">
        <v>2936.056</v>
      </c>
      <c r="M1803" s="12">
        <v>63.988999999999997</v>
      </c>
      <c r="N1803" s="12">
        <v>63.988999999999997</v>
      </c>
      <c r="O1803" s="12">
        <v>91.052000000000007</v>
      </c>
      <c r="P1803" s="14" t="s">
        <v>9543</v>
      </c>
      <c r="Q1803" s="14" t="s">
        <v>9543</v>
      </c>
      <c r="R1803" s="12">
        <v>14</v>
      </c>
    </row>
    <row r="1804" spans="1:18" ht="17" customHeight="1" x14ac:dyDescent="0.15">
      <c r="A1804" s="8" t="s">
        <v>9603</v>
      </c>
      <c r="B1804" s="9" t="s">
        <v>9604</v>
      </c>
      <c r="C1804" s="8" t="s">
        <v>9605</v>
      </c>
      <c r="D1804" s="8" t="s">
        <v>9605</v>
      </c>
      <c r="E1804" s="8" t="s">
        <v>9606</v>
      </c>
      <c r="F1804" s="8" t="s">
        <v>9540</v>
      </c>
      <c r="G1804" s="8" t="s">
        <v>9541</v>
      </c>
      <c r="H1804" s="8" t="s">
        <v>9542</v>
      </c>
      <c r="I1804" s="8" t="str">
        <f>HYPERLINK("http://www.momino.it/","www.momino.it")</f>
        <v>www.momino.it</v>
      </c>
      <c r="J1804" s="10">
        <v>3012.9679999999998</v>
      </c>
      <c r="K1804" s="10">
        <v>3012.9679999999998</v>
      </c>
      <c r="L1804" s="10">
        <v>2932.7350000000001</v>
      </c>
      <c r="M1804" s="10">
        <v>69.150000000000006</v>
      </c>
      <c r="N1804" s="10">
        <v>69.150000000000006</v>
      </c>
      <c r="O1804" s="10">
        <v>91.236999999999995</v>
      </c>
      <c r="P1804" s="10">
        <v>18</v>
      </c>
      <c r="Q1804" s="10">
        <v>18</v>
      </c>
      <c r="R1804" s="10">
        <v>18</v>
      </c>
    </row>
    <row r="1805" spans="1:18" ht="17" customHeight="1" x14ac:dyDescent="0.15">
      <c r="A1805" s="11" t="s">
        <v>9607</v>
      </c>
      <c r="B1805" s="1" t="s">
        <v>9608</v>
      </c>
      <c r="C1805" s="11" t="s">
        <v>9609</v>
      </c>
      <c r="D1805" s="11" t="s">
        <v>9609</v>
      </c>
      <c r="E1805" s="11" t="s">
        <v>9610</v>
      </c>
      <c r="F1805" s="11" t="s">
        <v>9554</v>
      </c>
      <c r="G1805" s="11" t="s">
        <v>9611</v>
      </c>
      <c r="H1805" s="11" t="s">
        <v>9612</v>
      </c>
      <c r="I1805" s="11" t="str">
        <f>HYPERLINK("http://www.rapitexsrl.it/","www.rapitexsrl.it")</f>
        <v>www.rapitexsrl.it</v>
      </c>
      <c r="J1805" s="12">
        <v>5035.3670000000002</v>
      </c>
      <c r="K1805" s="12">
        <v>4054.69</v>
      </c>
      <c r="L1805" s="13">
        <v>2927.7910000000002</v>
      </c>
      <c r="M1805" s="12">
        <v>243.2</v>
      </c>
      <c r="N1805" s="12">
        <v>164.733</v>
      </c>
      <c r="O1805" s="12">
        <v>119.52500000000001</v>
      </c>
      <c r="P1805" s="14" t="s">
        <v>9543</v>
      </c>
      <c r="Q1805" s="12">
        <v>17</v>
      </c>
      <c r="R1805" s="12">
        <v>8</v>
      </c>
    </row>
    <row r="1806" spans="1:18" ht="17" customHeight="1" x14ac:dyDescent="0.15">
      <c r="A1806" s="8" t="s">
        <v>9613</v>
      </c>
      <c r="B1806" s="9" t="s">
        <v>9614</v>
      </c>
      <c r="C1806" s="8" t="s">
        <v>9615</v>
      </c>
      <c r="D1806" s="8" t="s">
        <v>9615</v>
      </c>
      <c r="E1806" s="8" t="s">
        <v>9616</v>
      </c>
      <c r="F1806" s="8" t="s">
        <v>9617</v>
      </c>
      <c r="G1806" s="8" t="s">
        <v>9618</v>
      </c>
      <c r="H1806" s="8" t="s">
        <v>9612</v>
      </c>
      <c r="I1806" s="8" t="str">
        <f>HYPERLINK("http://www.suolificiogloria.com/","www.suolificiogloria.com")</f>
        <v>www.suolificiogloria.com</v>
      </c>
      <c r="J1806" s="10">
        <v>2390.4209999999998</v>
      </c>
      <c r="K1806" s="10">
        <v>2390.4209999999998</v>
      </c>
      <c r="L1806" s="10">
        <v>2927.0659999999998</v>
      </c>
      <c r="M1806" s="10">
        <v>191.69800000000001</v>
      </c>
      <c r="N1806" s="10">
        <v>191.69800000000001</v>
      </c>
      <c r="O1806" s="10">
        <v>212.27099999999999</v>
      </c>
      <c r="P1806" s="10">
        <v>23</v>
      </c>
      <c r="Q1806" s="10">
        <v>23</v>
      </c>
      <c r="R1806" s="10">
        <v>23</v>
      </c>
    </row>
    <row r="1807" spans="1:18" ht="17" customHeight="1" x14ac:dyDescent="0.15">
      <c r="A1807" s="11" t="s">
        <v>9619</v>
      </c>
      <c r="B1807" s="1" t="s">
        <v>9620</v>
      </c>
      <c r="C1807" s="11" t="s">
        <v>9621</v>
      </c>
      <c r="D1807" s="11" t="s">
        <v>9621</v>
      </c>
      <c r="E1807" s="11" t="s">
        <v>9622</v>
      </c>
      <c r="F1807" s="11" t="s">
        <v>9578</v>
      </c>
      <c r="G1807" s="11" t="s">
        <v>9623</v>
      </c>
      <c r="H1807" s="11" t="s">
        <v>9590</v>
      </c>
      <c r="I1807" s="11" t="str">
        <f>HYPERLINK("http://thuleconceria.it/","thuleconceria.it")</f>
        <v>thuleconceria.it</v>
      </c>
      <c r="J1807" s="12">
        <v>2053.0770000000002</v>
      </c>
      <c r="K1807" s="12">
        <v>2053.0770000000002</v>
      </c>
      <c r="L1807" s="13">
        <v>2920.127</v>
      </c>
      <c r="M1807" s="12">
        <v>-188.13399999999999</v>
      </c>
      <c r="N1807" s="12">
        <v>-188.13399999999999</v>
      </c>
      <c r="O1807" s="12">
        <v>14.047000000000001</v>
      </c>
      <c r="P1807" s="14" t="s">
        <v>9543</v>
      </c>
      <c r="Q1807" s="14" t="s">
        <v>9543</v>
      </c>
      <c r="R1807" s="12">
        <v>17</v>
      </c>
    </row>
    <row r="1808" spans="1:18" ht="17" customHeight="1" x14ac:dyDescent="0.15">
      <c r="A1808" s="8" t="s">
        <v>9624</v>
      </c>
      <c r="B1808" s="9" t="s">
        <v>9625</v>
      </c>
      <c r="C1808" s="8" t="s">
        <v>9626</v>
      </c>
      <c r="D1808" s="8" t="s">
        <v>9626</v>
      </c>
      <c r="E1808" s="8" t="s">
        <v>9627</v>
      </c>
      <c r="F1808" s="8" t="s">
        <v>9628</v>
      </c>
      <c r="G1808" s="8" t="s">
        <v>9629</v>
      </c>
      <c r="H1808" s="8" t="s">
        <v>9549</v>
      </c>
      <c r="I1808" s="8" t="str">
        <f>HYPERLINK("http://www.giordanigiancarlo.com/","www.giordanigiancarlo.com")</f>
        <v>www.giordanigiancarlo.com</v>
      </c>
      <c r="J1808" s="10">
        <v>2959.1260000000002</v>
      </c>
      <c r="K1808" s="10">
        <v>2959.1260000000002</v>
      </c>
      <c r="L1808" s="10">
        <v>2914.7640000000001</v>
      </c>
      <c r="M1808" s="10">
        <v>62.686999999999998</v>
      </c>
      <c r="N1808" s="10">
        <v>62.686999999999998</v>
      </c>
      <c r="O1808" s="10">
        <v>178.66800000000001</v>
      </c>
      <c r="P1808" s="10">
        <v>20</v>
      </c>
      <c r="Q1808" s="10">
        <v>20</v>
      </c>
      <c r="R1808" s="10">
        <v>17</v>
      </c>
    </row>
    <row r="1809" spans="1:18" ht="17" customHeight="1" x14ac:dyDescent="0.15">
      <c r="A1809" s="11" t="s">
        <v>9630</v>
      </c>
      <c r="B1809" s="1" t="s">
        <v>9631</v>
      </c>
      <c r="C1809" s="11" t="s">
        <v>9632</v>
      </c>
      <c r="D1809" s="11" t="s">
        <v>9632</v>
      </c>
      <c r="E1809" s="11" t="s">
        <v>9633</v>
      </c>
      <c r="F1809" s="11" t="s">
        <v>9578</v>
      </c>
      <c r="G1809" s="11" t="s">
        <v>9623</v>
      </c>
      <c r="H1809" s="11" t="s">
        <v>9590</v>
      </c>
      <c r="I1809" s="11" t="str">
        <f>HYPERLINK("http://www.de.labretagna.com/","www.de.labretagna.com")</f>
        <v>www.de.labretagna.com</v>
      </c>
      <c r="J1809" s="12">
        <v>2629.4679999999998</v>
      </c>
      <c r="K1809" s="12">
        <v>2629.4679999999998</v>
      </c>
      <c r="L1809" s="13">
        <v>2913.74</v>
      </c>
      <c r="M1809" s="12">
        <v>-197.06700000000001</v>
      </c>
      <c r="N1809" s="12">
        <v>-197.06700000000001</v>
      </c>
      <c r="O1809" s="12">
        <v>-290.72800000000001</v>
      </c>
      <c r="P1809" s="12">
        <v>10</v>
      </c>
      <c r="Q1809" s="12">
        <v>10</v>
      </c>
      <c r="R1809" s="12">
        <v>11</v>
      </c>
    </row>
    <row r="1810" spans="1:18" ht="17" customHeight="1" x14ac:dyDescent="0.15">
      <c r="A1810" s="8" t="s">
        <v>9634</v>
      </c>
      <c r="B1810" s="9" t="s">
        <v>9635</v>
      </c>
      <c r="C1810" s="8" t="s">
        <v>9636</v>
      </c>
      <c r="D1810" s="8" t="s">
        <v>9636</v>
      </c>
      <c r="E1810" s="8" t="s">
        <v>9637</v>
      </c>
      <c r="F1810" s="8" t="s">
        <v>9540</v>
      </c>
      <c r="G1810" s="8" t="s">
        <v>9541</v>
      </c>
      <c r="H1810" s="8" t="s">
        <v>9542</v>
      </c>
      <c r="I1810" s="8" t="str">
        <f>HYPERLINK("http://www.tiemmegi.com/","www.tiemmegi.com")</f>
        <v>www.tiemmegi.com</v>
      </c>
      <c r="J1810" s="10">
        <v>3496.3589999999999</v>
      </c>
      <c r="K1810" s="10">
        <v>3496.3589999999999</v>
      </c>
      <c r="L1810" s="10">
        <v>2910.2040000000002</v>
      </c>
      <c r="M1810" s="10">
        <v>76.058999999999997</v>
      </c>
      <c r="N1810" s="10">
        <v>76.058999999999997</v>
      </c>
      <c r="O1810" s="10">
        <v>22.510999999999999</v>
      </c>
      <c r="P1810" s="10">
        <v>17</v>
      </c>
      <c r="Q1810" s="10">
        <v>17</v>
      </c>
      <c r="R1810" s="10">
        <v>17</v>
      </c>
    </row>
    <row r="1811" spans="1:18" ht="17" customHeight="1" x14ac:dyDescent="0.15">
      <c r="A1811" s="11" t="s">
        <v>9638</v>
      </c>
      <c r="B1811" s="1" t="s">
        <v>9639</v>
      </c>
      <c r="C1811" s="11" t="s">
        <v>9640</v>
      </c>
      <c r="D1811" s="11" t="s">
        <v>9640</v>
      </c>
      <c r="E1811" s="11" t="s">
        <v>9641</v>
      </c>
      <c r="F1811" s="11" t="s">
        <v>9642</v>
      </c>
      <c r="G1811" s="11" t="s">
        <v>9643</v>
      </c>
      <c r="H1811" s="11" t="s">
        <v>9590</v>
      </c>
      <c r="I1811" s="11" t="str">
        <f>HYPERLINK("http://www.hidesins.com/","www.hidesins.com")</f>
        <v>www.hidesins.com</v>
      </c>
      <c r="J1811" s="12">
        <v>3900.8040000000001</v>
      </c>
      <c r="K1811" s="12">
        <v>3900.8040000000001</v>
      </c>
      <c r="L1811" s="13">
        <v>2897.558</v>
      </c>
      <c r="M1811" s="12">
        <v>10.77</v>
      </c>
      <c r="N1811" s="12">
        <v>10.77</v>
      </c>
      <c r="O1811" s="12">
        <v>80.587000000000003</v>
      </c>
      <c r="P1811" s="12">
        <v>43</v>
      </c>
      <c r="Q1811" s="12">
        <v>43</v>
      </c>
      <c r="R1811" s="12">
        <v>43</v>
      </c>
    </row>
    <row r="1812" spans="1:18" ht="29.5" customHeight="1" x14ac:dyDescent="0.15">
      <c r="A1812" s="8" t="s">
        <v>9644</v>
      </c>
      <c r="B1812" s="9" t="s">
        <v>9645</v>
      </c>
      <c r="C1812" s="8" t="s">
        <v>9646</v>
      </c>
      <c r="D1812" s="8" t="s">
        <v>9646</v>
      </c>
      <c r="E1812" s="8" t="s">
        <v>9647</v>
      </c>
      <c r="F1812" s="8" t="s">
        <v>9559</v>
      </c>
      <c r="G1812" s="8" t="s">
        <v>9648</v>
      </c>
      <c r="H1812" s="8" t="s">
        <v>9649</v>
      </c>
      <c r="I1812" s="8" t="str">
        <f>HYPERLINK("http://www.ifc-ap.it/","www.ifc-ap.it")</f>
        <v>www.ifc-ap.it</v>
      </c>
      <c r="J1812" s="10">
        <v>1643.7439999999999</v>
      </c>
      <c r="K1812" s="10">
        <v>1643.7439999999999</v>
      </c>
      <c r="L1812" s="10">
        <v>2897.1790000000001</v>
      </c>
      <c r="M1812" s="10">
        <v>20.943999999999999</v>
      </c>
      <c r="N1812" s="10">
        <v>20.943999999999999</v>
      </c>
      <c r="O1812" s="10">
        <v>74.703999999999994</v>
      </c>
      <c r="P1812" s="10">
        <v>15</v>
      </c>
      <c r="Q1812" s="10">
        <v>15</v>
      </c>
      <c r="R1812" s="10">
        <v>14</v>
      </c>
    </row>
    <row r="1813" spans="1:18" ht="17" customHeight="1" x14ac:dyDescent="0.15">
      <c r="A1813" s="11" t="s">
        <v>9650</v>
      </c>
      <c r="B1813" s="1" t="s">
        <v>9651</v>
      </c>
      <c r="C1813" s="11" t="s">
        <v>9652</v>
      </c>
      <c r="D1813" s="11" t="s">
        <v>9652</v>
      </c>
      <c r="E1813" s="11" t="s">
        <v>9653</v>
      </c>
      <c r="F1813" s="11" t="s">
        <v>9559</v>
      </c>
      <c r="G1813" s="11" t="s">
        <v>9643</v>
      </c>
      <c r="H1813" s="11" t="s">
        <v>9590</v>
      </c>
      <c r="I1813" s="11" t="str">
        <f>HYPERLINK("http://www.158c.it/","www.158c.it")</f>
        <v>www.158c.it</v>
      </c>
      <c r="J1813" s="12">
        <v>3758.4270000000001</v>
      </c>
      <c r="K1813" s="12">
        <v>3758.4270000000001</v>
      </c>
      <c r="L1813" s="13">
        <v>2896.8159999999998</v>
      </c>
      <c r="M1813" s="12">
        <v>122.51600000000001</v>
      </c>
      <c r="N1813" s="12">
        <v>122.51600000000001</v>
      </c>
      <c r="O1813" s="12">
        <v>66.957999999999998</v>
      </c>
      <c r="P1813" s="12">
        <v>8</v>
      </c>
      <c r="Q1813" s="12">
        <v>8</v>
      </c>
      <c r="R1813" s="12">
        <v>9</v>
      </c>
    </row>
    <row r="1814" spans="1:18" ht="17" customHeight="1" x14ac:dyDescent="0.15">
      <c r="A1814" s="8" t="s">
        <v>9654</v>
      </c>
      <c r="B1814" s="9" t="s">
        <v>9655</v>
      </c>
      <c r="C1814" s="8" t="s">
        <v>9656</v>
      </c>
      <c r="D1814" s="8" t="s">
        <v>9656</v>
      </c>
      <c r="E1814" s="8" t="s">
        <v>9657</v>
      </c>
      <c r="F1814" s="8" t="s">
        <v>9540</v>
      </c>
      <c r="G1814" s="8" t="s">
        <v>9658</v>
      </c>
      <c r="H1814" s="8" t="s">
        <v>9561</v>
      </c>
      <c r="I1814" s="8" t="str">
        <f>HYPERLINK("http://www.gresil.it/","www.gresil.it")</f>
        <v>www.gresil.it</v>
      </c>
      <c r="J1814" s="10">
        <v>3269.6030000000001</v>
      </c>
      <c r="K1814" s="10">
        <v>3269.6030000000001</v>
      </c>
      <c r="L1814" s="10">
        <v>2896.183</v>
      </c>
      <c r="M1814" s="10">
        <v>112.42</v>
      </c>
      <c r="N1814" s="10">
        <v>112.42</v>
      </c>
      <c r="O1814" s="10">
        <v>153.96600000000001</v>
      </c>
      <c r="P1814" s="15" t="s">
        <v>9543</v>
      </c>
      <c r="Q1814" s="15" t="s">
        <v>9543</v>
      </c>
      <c r="R1814" s="10">
        <v>16</v>
      </c>
    </row>
    <row r="1815" spans="1:18" ht="17" customHeight="1" x14ac:dyDescent="0.15">
      <c r="A1815" s="11" t="s">
        <v>9659</v>
      </c>
      <c r="B1815" s="1" t="s">
        <v>9660</v>
      </c>
      <c r="C1815" s="11" t="s">
        <v>9661</v>
      </c>
      <c r="D1815" s="11" t="s">
        <v>9661</v>
      </c>
      <c r="E1815" s="11" t="s">
        <v>9662</v>
      </c>
      <c r="F1815" s="11" t="s">
        <v>9663</v>
      </c>
      <c r="G1815" s="11" t="s">
        <v>9664</v>
      </c>
      <c r="H1815" s="11" t="s">
        <v>9573</v>
      </c>
      <c r="I1815" s="11" t="str">
        <f>HYPERLINK("http://www.aem.srl/","www.aem.srl")</f>
        <v>www.aem.srl</v>
      </c>
      <c r="J1815" s="12">
        <v>3315.6970000000001</v>
      </c>
      <c r="K1815" s="12">
        <v>3315.6970000000001</v>
      </c>
      <c r="L1815" s="13">
        <v>2896.1019999999999</v>
      </c>
      <c r="M1815" s="12">
        <v>14.234</v>
      </c>
      <c r="N1815" s="12">
        <v>14.234</v>
      </c>
      <c r="O1815" s="12">
        <v>-8.407</v>
      </c>
      <c r="P1815" s="14" t="s">
        <v>9543</v>
      </c>
      <c r="Q1815" s="14" t="s">
        <v>9543</v>
      </c>
      <c r="R1815" s="12">
        <v>33</v>
      </c>
    </row>
    <row r="1816" spans="1:18" ht="17" customHeight="1" x14ac:dyDescent="0.15">
      <c r="A1816" s="8" t="s">
        <v>9665</v>
      </c>
      <c r="B1816" s="9" t="s">
        <v>9666</v>
      </c>
      <c r="C1816" s="8" t="s">
        <v>9667</v>
      </c>
      <c r="D1816" s="8" t="s">
        <v>9667</v>
      </c>
      <c r="E1816" s="8" t="s">
        <v>9668</v>
      </c>
      <c r="F1816" s="8" t="s">
        <v>9540</v>
      </c>
      <c r="G1816" s="8" t="s">
        <v>9541</v>
      </c>
      <c r="H1816" s="8" t="s">
        <v>9542</v>
      </c>
      <c r="I1816" s="8" t="str">
        <f>HYPERLINK("http://calzaturificiogordon.it/","calzaturificiogordon.it")</f>
        <v>calzaturificiogordon.it</v>
      </c>
      <c r="J1816" s="10">
        <v>1493.663</v>
      </c>
      <c r="K1816" s="10">
        <v>1649.4290000000001</v>
      </c>
      <c r="L1816" s="10">
        <v>2895.319</v>
      </c>
      <c r="M1816" s="10">
        <v>29.04</v>
      </c>
      <c r="N1816" s="10">
        <v>25.824000000000002</v>
      </c>
      <c r="O1816" s="10">
        <v>261.548</v>
      </c>
      <c r="P1816" s="10">
        <v>10</v>
      </c>
      <c r="Q1816" s="10">
        <v>13</v>
      </c>
      <c r="R1816" s="10">
        <v>15</v>
      </c>
    </row>
    <row r="1817" spans="1:18" ht="17" customHeight="1" x14ac:dyDescent="0.15">
      <c r="A1817" s="11" t="s">
        <v>9669</v>
      </c>
      <c r="B1817" s="1" t="s">
        <v>9670</v>
      </c>
      <c r="C1817" s="11" t="s">
        <v>9671</v>
      </c>
      <c r="D1817" s="11" t="s">
        <v>9671</v>
      </c>
      <c r="E1817" s="11" t="s">
        <v>9672</v>
      </c>
      <c r="F1817" s="11" t="s">
        <v>9617</v>
      </c>
      <c r="G1817" s="11" t="s">
        <v>9658</v>
      </c>
      <c r="H1817" s="11" t="s">
        <v>9561</v>
      </c>
      <c r="I1817" s="11" t="str">
        <f>HYPERLINK("http://www.silversrl.com/","www.silversrl.com")</f>
        <v>www.silversrl.com</v>
      </c>
      <c r="J1817" s="12">
        <v>2744.239</v>
      </c>
      <c r="K1817" s="12">
        <v>2744.239</v>
      </c>
      <c r="L1817" s="13">
        <v>2893.2080000000001</v>
      </c>
      <c r="M1817" s="12">
        <v>71.049000000000007</v>
      </c>
      <c r="N1817" s="12">
        <v>71.049000000000007</v>
      </c>
      <c r="O1817" s="12">
        <v>71.671999999999997</v>
      </c>
      <c r="P1817" s="14" t="s">
        <v>9543</v>
      </c>
      <c r="Q1817" s="14" t="s">
        <v>9543</v>
      </c>
      <c r="R1817" s="12">
        <v>22</v>
      </c>
    </row>
    <row r="1818" spans="1:18" ht="17" customHeight="1" x14ac:dyDescent="0.15">
      <c r="A1818" s="8" t="s">
        <v>9673</v>
      </c>
      <c r="B1818" s="9" t="s">
        <v>9674</v>
      </c>
      <c r="C1818" s="8" t="s">
        <v>9675</v>
      </c>
      <c r="D1818" s="8" t="s">
        <v>9675</v>
      </c>
      <c r="E1818" s="8" t="s">
        <v>9676</v>
      </c>
      <c r="F1818" s="8" t="s">
        <v>9578</v>
      </c>
      <c r="G1818" s="8" t="s">
        <v>9589</v>
      </c>
      <c r="H1818" s="8" t="s">
        <v>9590</v>
      </c>
      <c r="I1818" s="8" t="str">
        <f>HYPERLINK("http://www.guidofalcinispa.com/","www.guidofalcinispa.com")</f>
        <v>www.guidofalcinispa.com</v>
      </c>
      <c r="J1818" s="10">
        <v>2627.4789999999998</v>
      </c>
      <c r="K1818" s="10">
        <v>2627.4789999999998</v>
      </c>
      <c r="L1818" s="10">
        <v>2890.8449999999998</v>
      </c>
      <c r="M1818" s="10">
        <v>6.1529999999999996</v>
      </c>
      <c r="N1818" s="10">
        <v>6.1529999999999996</v>
      </c>
      <c r="O1818" s="10">
        <v>-65.451999999999998</v>
      </c>
      <c r="P1818" s="10">
        <v>7</v>
      </c>
      <c r="Q1818" s="10">
        <v>7</v>
      </c>
      <c r="R1818" s="10">
        <v>7</v>
      </c>
    </row>
    <row r="1819" spans="1:18" ht="17" customHeight="1" x14ac:dyDescent="0.15">
      <c r="A1819" s="11" t="s">
        <v>9677</v>
      </c>
      <c r="B1819" s="1" t="s">
        <v>9678</v>
      </c>
      <c r="C1819" s="11" t="s">
        <v>9679</v>
      </c>
      <c r="D1819" s="11" t="s">
        <v>9679</v>
      </c>
      <c r="E1819" s="11" t="s">
        <v>9680</v>
      </c>
      <c r="F1819" s="11" t="s">
        <v>9663</v>
      </c>
      <c r="G1819" s="11" t="s">
        <v>9681</v>
      </c>
      <c r="H1819" s="11" t="s">
        <v>9602</v>
      </c>
      <c r="I1819" s="11" t="str">
        <f>HYPERLINK("http://www.odietamoshop.com/","www.odietamoshop.com")</f>
        <v>www.odietamoshop.com</v>
      </c>
      <c r="J1819" s="12">
        <v>1618.557</v>
      </c>
      <c r="K1819" s="12">
        <v>1618.557</v>
      </c>
      <c r="L1819" s="13">
        <v>2884.4929999999999</v>
      </c>
      <c r="M1819" s="12">
        <v>11.837</v>
      </c>
      <c r="N1819" s="12">
        <v>11.837</v>
      </c>
      <c r="O1819" s="12">
        <v>53.709000000000003</v>
      </c>
      <c r="P1819" s="14" t="s">
        <v>9543</v>
      </c>
      <c r="Q1819" s="14" t="s">
        <v>9543</v>
      </c>
      <c r="R1819" s="12">
        <v>5</v>
      </c>
    </row>
    <row r="1820" spans="1:18" ht="17" customHeight="1" x14ac:dyDescent="0.15">
      <c r="A1820" s="8" t="s">
        <v>9682</v>
      </c>
      <c r="B1820" s="9" t="s">
        <v>9683</v>
      </c>
      <c r="C1820" s="8" t="s">
        <v>9684</v>
      </c>
      <c r="D1820" s="8" t="s">
        <v>9684</v>
      </c>
      <c r="E1820" s="8" t="s">
        <v>9685</v>
      </c>
      <c r="F1820" s="8" t="s">
        <v>9628</v>
      </c>
      <c r="G1820" s="8" t="s">
        <v>9686</v>
      </c>
      <c r="H1820" s="8" t="s">
        <v>9561</v>
      </c>
      <c r="I1820" s="8" t="str">
        <f>HYPERLINK("http://www.capeceabitidalavoro.com/","www.capeceabitidalavoro.com")</f>
        <v>www.capeceabitidalavoro.com</v>
      </c>
      <c r="J1820" s="10">
        <v>3498.34</v>
      </c>
      <c r="K1820" s="10">
        <v>3498.34</v>
      </c>
      <c r="L1820" s="10">
        <v>2883.9659999999999</v>
      </c>
      <c r="M1820" s="10">
        <v>61.332000000000001</v>
      </c>
      <c r="N1820" s="10">
        <v>61.332000000000001</v>
      </c>
      <c r="O1820" s="10">
        <v>62.927</v>
      </c>
      <c r="P1820" s="10">
        <v>17</v>
      </c>
      <c r="Q1820" s="10">
        <v>17</v>
      </c>
      <c r="R1820" s="10">
        <v>14</v>
      </c>
    </row>
    <row r="1821" spans="1:18" ht="17" customHeight="1" x14ac:dyDescent="0.15">
      <c r="A1821" s="11" t="s">
        <v>9687</v>
      </c>
      <c r="B1821" s="1" t="s">
        <v>9688</v>
      </c>
      <c r="C1821" s="11" t="s">
        <v>9689</v>
      </c>
      <c r="D1821" s="11" t="s">
        <v>9689</v>
      </c>
      <c r="E1821" s="11" t="s">
        <v>9690</v>
      </c>
      <c r="F1821" s="11" t="s">
        <v>9540</v>
      </c>
      <c r="G1821" s="11" t="s">
        <v>9629</v>
      </c>
      <c r="H1821" s="11" t="s">
        <v>9549</v>
      </c>
      <c r="I1821" s="11" t="str">
        <f>HYPERLINK("http://maripe.com/","maripe.com")</f>
        <v>maripe.com</v>
      </c>
      <c r="J1821" s="12">
        <v>2058.038</v>
      </c>
      <c r="K1821" s="12">
        <v>2058.038</v>
      </c>
      <c r="L1821" s="13">
        <v>2882.0149999999999</v>
      </c>
      <c r="M1821" s="12">
        <v>299.48399999999998</v>
      </c>
      <c r="N1821" s="12">
        <v>299.48399999999998</v>
      </c>
      <c r="O1821" s="12">
        <v>761.68899999999996</v>
      </c>
      <c r="P1821" s="12">
        <v>7</v>
      </c>
      <c r="Q1821" s="12">
        <v>7</v>
      </c>
      <c r="R1821" s="12">
        <v>8</v>
      </c>
    </row>
    <row r="1822" spans="1:18" ht="17" customHeight="1" x14ac:dyDescent="0.15">
      <c r="A1822" s="8" t="s">
        <v>9691</v>
      </c>
      <c r="B1822" s="9" t="s">
        <v>9692</v>
      </c>
      <c r="C1822" s="8" t="s">
        <v>9693</v>
      </c>
      <c r="D1822" s="8" t="s">
        <v>9693</v>
      </c>
      <c r="E1822" s="8" t="s">
        <v>9694</v>
      </c>
      <c r="F1822" s="8" t="s">
        <v>9578</v>
      </c>
      <c r="G1822" s="8" t="s">
        <v>9623</v>
      </c>
      <c r="H1822" s="8" t="s">
        <v>9590</v>
      </c>
      <c r="I1822" s="8" t="str">
        <f>HYPERLINK("http://www.sctannery.it/","www.sctannery.it")</f>
        <v>www.sctannery.it</v>
      </c>
      <c r="J1822" s="10">
        <v>3526.9580000000001</v>
      </c>
      <c r="K1822" s="10">
        <v>3526.9580000000001</v>
      </c>
      <c r="L1822" s="10">
        <v>2875.598</v>
      </c>
      <c r="M1822" s="10">
        <v>34.155999999999999</v>
      </c>
      <c r="N1822" s="10">
        <v>34.155999999999999</v>
      </c>
      <c r="O1822" s="10">
        <v>15.547000000000001</v>
      </c>
      <c r="P1822" s="15" t="s">
        <v>9543</v>
      </c>
      <c r="Q1822" s="15" t="s">
        <v>9543</v>
      </c>
      <c r="R1822" s="10">
        <v>8</v>
      </c>
    </row>
    <row r="1823" spans="1:18" ht="17" customHeight="1" x14ac:dyDescent="0.15">
      <c r="A1823" s="11" t="s">
        <v>9695</v>
      </c>
      <c r="B1823" s="1" t="s">
        <v>9696</v>
      </c>
      <c r="C1823" s="11" t="s">
        <v>9697</v>
      </c>
      <c r="D1823" s="11" t="s">
        <v>9697</v>
      </c>
      <c r="E1823" s="11" t="s">
        <v>9698</v>
      </c>
      <c r="F1823" s="11" t="s">
        <v>9600</v>
      </c>
      <c r="G1823" s="11" t="s">
        <v>9699</v>
      </c>
      <c r="H1823" s="11" t="s">
        <v>9542</v>
      </c>
      <c r="I1823" s="11" t="str">
        <f>HYPERLINK("http://tipos.it/","tipos.it")</f>
        <v>tipos.it</v>
      </c>
      <c r="J1823" s="12">
        <v>2911.3620000000001</v>
      </c>
      <c r="K1823" s="12">
        <v>2911.3620000000001</v>
      </c>
      <c r="L1823" s="13">
        <v>2873.0770000000002</v>
      </c>
      <c r="M1823" s="12">
        <v>199.321</v>
      </c>
      <c r="N1823" s="12">
        <v>199.321</v>
      </c>
      <c r="O1823" s="12">
        <v>349.471</v>
      </c>
      <c r="P1823" s="12">
        <v>6</v>
      </c>
      <c r="Q1823" s="12">
        <v>6</v>
      </c>
      <c r="R1823" s="12">
        <v>5</v>
      </c>
    </row>
    <row r="1824" spans="1:18" ht="17" customHeight="1" x14ac:dyDescent="0.15">
      <c r="A1824" s="8" t="s">
        <v>9700</v>
      </c>
      <c r="B1824" s="9" t="s">
        <v>9701</v>
      </c>
      <c r="C1824" s="8" t="s">
        <v>9702</v>
      </c>
      <c r="D1824" s="8" t="s">
        <v>9702</v>
      </c>
      <c r="E1824" s="8" t="s">
        <v>9703</v>
      </c>
      <c r="F1824" s="8" t="s">
        <v>9663</v>
      </c>
      <c r="G1824" s="8" t="s">
        <v>9704</v>
      </c>
      <c r="H1824" s="8" t="s">
        <v>9602</v>
      </c>
      <c r="I1824" s="8" t="str">
        <f>HYPERLINK("http://sosud.it/","sosud.it")</f>
        <v>sosud.it</v>
      </c>
      <c r="J1824" s="10">
        <v>3239.0230000000001</v>
      </c>
      <c r="K1824" s="10">
        <v>3239.0230000000001</v>
      </c>
      <c r="L1824" s="10">
        <v>2868.1419999999998</v>
      </c>
      <c r="M1824" s="10">
        <v>53.000999999999998</v>
      </c>
      <c r="N1824" s="10">
        <v>53.000999999999998</v>
      </c>
      <c r="O1824" s="10">
        <v>267.06200000000001</v>
      </c>
      <c r="P1824" s="15" t="s">
        <v>9543</v>
      </c>
      <c r="Q1824" s="15" t="s">
        <v>9543</v>
      </c>
      <c r="R1824" s="10">
        <v>53</v>
      </c>
    </row>
    <row r="1825" spans="1:18" ht="17" customHeight="1" x14ac:dyDescent="0.15">
      <c r="A1825" s="11" t="s">
        <v>9705</v>
      </c>
      <c r="B1825" s="1" t="s">
        <v>9706</v>
      </c>
      <c r="C1825" s="11" t="s">
        <v>9707</v>
      </c>
      <c r="D1825" s="11" t="s">
        <v>9707</v>
      </c>
      <c r="E1825" s="11" t="s">
        <v>9708</v>
      </c>
      <c r="F1825" s="11" t="s">
        <v>9709</v>
      </c>
      <c r="G1825" s="11" t="s">
        <v>9710</v>
      </c>
      <c r="H1825" s="11" t="s">
        <v>9711</v>
      </c>
      <c r="I1825" s="11" t="str">
        <f>HYPERLINK("http://www.elemarmoda.it/","www.elemarmoda.it")</f>
        <v>www.elemarmoda.it</v>
      </c>
      <c r="J1825" s="12">
        <v>3415.386</v>
      </c>
      <c r="K1825" s="12">
        <v>3415.386</v>
      </c>
      <c r="L1825" s="13">
        <v>2860.9340000000002</v>
      </c>
      <c r="M1825" s="12">
        <v>179.24199999999999</v>
      </c>
      <c r="N1825" s="12">
        <v>179.24199999999999</v>
      </c>
      <c r="O1825" s="12">
        <v>20.047999999999998</v>
      </c>
      <c r="P1825" s="12">
        <v>31</v>
      </c>
      <c r="Q1825" s="12">
        <v>31</v>
      </c>
      <c r="R1825" s="12">
        <v>30</v>
      </c>
    </row>
    <row r="1826" spans="1:18" ht="43" customHeight="1" x14ac:dyDescent="0.15">
      <c r="A1826" s="8" t="s">
        <v>9712</v>
      </c>
      <c r="B1826" s="9" t="s">
        <v>9713</v>
      </c>
      <c r="C1826" s="8" t="s">
        <v>9714</v>
      </c>
      <c r="D1826" s="8" t="s">
        <v>9714</v>
      </c>
      <c r="E1826" s="8" t="s">
        <v>9715</v>
      </c>
      <c r="F1826" s="8" t="s">
        <v>9716</v>
      </c>
      <c r="G1826" s="8" t="s">
        <v>9717</v>
      </c>
      <c r="H1826" s="8" t="s">
        <v>9718</v>
      </c>
      <c r="I1826" s="8" t="str">
        <f>HYPERLINK("http://ilcappello.it/","ilcappello.it")</f>
        <v>ilcappello.it</v>
      </c>
      <c r="J1826" s="10">
        <v>3130.8510000000001</v>
      </c>
      <c r="K1826" s="10">
        <v>3130.8510000000001</v>
      </c>
      <c r="L1826" s="10">
        <v>2860.7350000000001</v>
      </c>
      <c r="M1826" s="10">
        <v>22.727</v>
      </c>
      <c r="N1826" s="10">
        <v>22.727</v>
      </c>
      <c r="O1826" s="10">
        <v>48.488</v>
      </c>
      <c r="P1826" s="10">
        <v>17</v>
      </c>
      <c r="Q1826" s="10">
        <v>17</v>
      </c>
      <c r="R1826" s="10">
        <v>17</v>
      </c>
    </row>
    <row r="1827" spans="1:18" ht="17" customHeight="1" x14ac:dyDescent="0.15">
      <c r="A1827" s="11" t="s">
        <v>9719</v>
      </c>
      <c r="B1827" s="1" t="s">
        <v>9720</v>
      </c>
      <c r="C1827" s="11" t="s">
        <v>9721</v>
      </c>
      <c r="D1827" s="11" t="s">
        <v>9721</v>
      </c>
      <c r="E1827" s="11" t="s">
        <v>9722</v>
      </c>
      <c r="F1827" s="11" t="s">
        <v>9723</v>
      </c>
      <c r="G1827" s="11" t="s">
        <v>9724</v>
      </c>
      <c r="H1827" s="11" t="s">
        <v>9725</v>
      </c>
      <c r="I1827" s="11" t="str">
        <f>HYPERLINK("http://www.stanghellini.it/","www.stanghellini.it")</f>
        <v>www.stanghellini.it</v>
      </c>
      <c r="J1827" s="12">
        <v>2578.0250000000001</v>
      </c>
      <c r="K1827" s="12">
        <v>2578.0250000000001</v>
      </c>
      <c r="L1827" s="13">
        <v>2857.895</v>
      </c>
      <c r="M1827" s="12">
        <v>94.078000000000003</v>
      </c>
      <c r="N1827" s="12">
        <v>94.078000000000003</v>
      </c>
      <c r="O1827" s="12">
        <v>-453.75599999999997</v>
      </c>
      <c r="P1827" s="12">
        <v>30</v>
      </c>
      <c r="Q1827" s="12">
        <v>30</v>
      </c>
      <c r="R1827" s="12">
        <v>28</v>
      </c>
    </row>
    <row r="1828" spans="1:18" ht="29.5" customHeight="1" x14ac:dyDescent="0.15">
      <c r="A1828" s="8" t="s">
        <v>9726</v>
      </c>
      <c r="B1828" s="9" t="s">
        <v>9727</v>
      </c>
      <c r="C1828" s="8" t="s">
        <v>9728</v>
      </c>
      <c r="D1828" s="8" t="s">
        <v>9729</v>
      </c>
      <c r="E1828" s="8" t="s">
        <v>9730</v>
      </c>
      <c r="F1828" s="8" t="s">
        <v>9731</v>
      </c>
      <c r="G1828" s="8" t="s">
        <v>9732</v>
      </c>
      <c r="H1828" s="8" t="s">
        <v>9733</v>
      </c>
      <c r="I1828" s="8" t="str">
        <f>HYPERLINK("http://www.maestrami.com/","www.maestrami.com")</f>
        <v>www.maestrami.com</v>
      </c>
      <c r="J1828" s="10">
        <v>3115.317</v>
      </c>
      <c r="K1828" s="10">
        <v>3115.317</v>
      </c>
      <c r="L1828" s="10">
        <v>2857.5569999999998</v>
      </c>
      <c r="M1828" s="10">
        <v>83.759</v>
      </c>
      <c r="N1828" s="10">
        <v>83.759</v>
      </c>
      <c r="O1828" s="10">
        <v>38.052999999999997</v>
      </c>
      <c r="P1828" s="10">
        <v>11</v>
      </c>
      <c r="Q1828" s="10">
        <v>11</v>
      </c>
      <c r="R1828" s="10">
        <v>11</v>
      </c>
    </row>
    <row r="1829" spans="1:18" ht="17" customHeight="1" x14ac:dyDescent="0.15">
      <c r="A1829" s="11" t="s">
        <v>9734</v>
      </c>
      <c r="B1829" s="1" t="s">
        <v>9735</v>
      </c>
      <c r="C1829" s="11" t="s">
        <v>9736</v>
      </c>
      <c r="D1829" s="11" t="s">
        <v>9736</v>
      </c>
      <c r="E1829" s="11" t="s">
        <v>9737</v>
      </c>
      <c r="F1829" s="11" t="s">
        <v>9716</v>
      </c>
      <c r="G1829" s="11" t="s">
        <v>9738</v>
      </c>
      <c r="H1829" s="11" t="s">
        <v>9739</v>
      </c>
      <c r="I1829" s="11" t="str">
        <f>HYPERLINK("http://www.berrettificiodepa.it/","www.berrettificiodepa.it")</f>
        <v>www.berrettificiodepa.it</v>
      </c>
      <c r="J1829" s="12">
        <v>3717.7860000000001</v>
      </c>
      <c r="K1829" s="12">
        <v>3717.7860000000001</v>
      </c>
      <c r="L1829" s="13">
        <v>2853.0659999999998</v>
      </c>
      <c r="M1829" s="12">
        <v>170.85599999999999</v>
      </c>
      <c r="N1829" s="12">
        <v>170.85599999999999</v>
      </c>
      <c r="O1829" s="12">
        <v>160.10599999999999</v>
      </c>
      <c r="P1829" s="14" t="s">
        <v>9740</v>
      </c>
      <c r="Q1829" s="14" t="s">
        <v>9740</v>
      </c>
      <c r="R1829" s="12">
        <v>45</v>
      </c>
    </row>
    <row r="1830" spans="1:18" ht="17" customHeight="1" x14ac:dyDescent="0.15">
      <c r="A1830" s="8" t="s">
        <v>9741</v>
      </c>
      <c r="B1830" s="9" t="s">
        <v>9742</v>
      </c>
      <c r="C1830" s="8" t="s">
        <v>9743</v>
      </c>
      <c r="D1830" s="8" t="s">
        <v>9743</v>
      </c>
      <c r="E1830" s="8" t="s">
        <v>9744</v>
      </c>
      <c r="F1830" s="8" t="s">
        <v>9723</v>
      </c>
      <c r="G1830" s="8" t="s">
        <v>9745</v>
      </c>
      <c r="H1830" s="8" t="s">
        <v>9711</v>
      </c>
      <c r="I1830" s="8" t="str">
        <f>HYPERLINK("http://ideeinpelle.it/","ideeinpelle.it")</f>
        <v>ideeinpelle.it</v>
      </c>
      <c r="J1830" s="10">
        <v>3581.4250000000002</v>
      </c>
      <c r="K1830" s="10">
        <v>3581.4250000000002</v>
      </c>
      <c r="L1830" s="10">
        <v>2836.74</v>
      </c>
      <c r="M1830" s="10">
        <v>7.4509999999999996</v>
      </c>
      <c r="N1830" s="10">
        <v>7.4509999999999996</v>
      </c>
      <c r="O1830" s="10">
        <v>9.891</v>
      </c>
      <c r="P1830" s="10">
        <v>7</v>
      </c>
      <c r="Q1830" s="10">
        <v>7</v>
      </c>
      <c r="R1830" s="10">
        <v>8</v>
      </c>
    </row>
    <row r="1831" spans="1:18" ht="17" customHeight="1" x14ac:dyDescent="0.15">
      <c r="A1831" s="11" t="s">
        <v>9746</v>
      </c>
      <c r="B1831" s="1" t="s">
        <v>9747</v>
      </c>
      <c r="C1831" s="11" t="s">
        <v>9748</v>
      </c>
      <c r="D1831" s="11" t="s">
        <v>9748</v>
      </c>
      <c r="E1831" s="11" t="s">
        <v>9749</v>
      </c>
      <c r="F1831" s="11" t="s">
        <v>9750</v>
      </c>
      <c r="G1831" s="11" t="s">
        <v>9745</v>
      </c>
      <c r="H1831" s="11" t="s">
        <v>9711</v>
      </c>
      <c r="I1831" s="11" t="str">
        <f>HYPERLINK("http://www.certaldese.it/","www.certaldese.it")</f>
        <v>www.certaldese.it</v>
      </c>
      <c r="J1831" s="12">
        <v>3351.951</v>
      </c>
      <c r="K1831" s="12">
        <v>3351.951</v>
      </c>
      <c r="L1831" s="13">
        <v>2828.2330000000002</v>
      </c>
      <c r="M1831" s="12">
        <v>18.552</v>
      </c>
      <c r="N1831" s="12">
        <v>18.552</v>
      </c>
      <c r="O1831" s="12">
        <v>2.9249999999999998</v>
      </c>
      <c r="P1831" s="12">
        <v>39</v>
      </c>
      <c r="Q1831" s="12">
        <v>39</v>
      </c>
      <c r="R1831" s="12">
        <v>37</v>
      </c>
    </row>
    <row r="1832" spans="1:18" ht="17" customHeight="1" x14ac:dyDescent="0.15">
      <c r="A1832" s="8" t="s">
        <v>9751</v>
      </c>
      <c r="B1832" s="9" t="s">
        <v>9752</v>
      </c>
      <c r="C1832" s="8" t="s">
        <v>9753</v>
      </c>
      <c r="D1832" s="8" t="s">
        <v>9753</v>
      </c>
      <c r="E1832" s="8" t="s">
        <v>9754</v>
      </c>
      <c r="F1832" s="8" t="s">
        <v>9709</v>
      </c>
      <c r="G1832" s="8" t="s">
        <v>9755</v>
      </c>
      <c r="H1832" s="8" t="s">
        <v>9756</v>
      </c>
      <c r="I1832" s="8" t="str">
        <f>HYPERLINK("http://normeet.it/","normeet.it")</f>
        <v>normeet.it</v>
      </c>
      <c r="J1832" s="10">
        <v>3417.86</v>
      </c>
      <c r="K1832" s="10">
        <v>3417.86</v>
      </c>
      <c r="L1832" s="10">
        <v>2821.9540000000002</v>
      </c>
      <c r="M1832" s="10">
        <v>2.4300000000000002</v>
      </c>
      <c r="N1832" s="10">
        <v>2.4300000000000002</v>
      </c>
      <c r="O1832" s="10">
        <v>1.7490000000000001</v>
      </c>
      <c r="P1832" s="10">
        <v>11</v>
      </c>
      <c r="Q1832" s="10">
        <v>11</v>
      </c>
      <c r="R1832" s="10">
        <v>11</v>
      </c>
    </row>
    <row r="1833" spans="1:18" ht="29.5" customHeight="1" x14ac:dyDescent="0.15">
      <c r="A1833" s="11" t="s">
        <v>9757</v>
      </c>
      <c r="B1833" s="1" t="s">
        <v>9758</v>
      </c>
      <c r="C1833" s="11" t="s">
        <v>9759</v>
      </c>
      <c r="D1833" s="11" t="s">
        <v>9759</v>
      </c>
      <c r="E1833" s="11" t="s">
        <v>9760</v>
      </c>
      <c r="F1833" s="11" t="s">
        <v>9731</v>
      </c>
      <c r="G1833" s="11" t="s">
        <v>9761</v>
      </c>
      <c r="H1833" s="11" t="s">
        <v>9762</v>
      </c>
      <c r="I1833" s="11" t="str">
        <f>HYPERLINK("http://ww.trebarrabi.it/","ww.trebarrabi.it")</f>
        <v>ww.trebarrabi.it</v>
      </c>
      <c r="J1833" s="12">
        <v>2887.8020000000001</v>
      </c>
      <c r="K1833" s="12">
        <v>2887.8020000000001</v>
      </c>
      <c r="L1833" s="13">
        <v>2820.7359999999999</v>
      </c>
      <c r="M1833" s="12">
        <v>172.75200000000001</v>
      </c>
      <c r="N1833" s="12">
        <v>172.75200000000001</v>
      </c>
      <c r="O1833" s="12">
        <v>149.346</v>
      </c>
      <c r="P1833" s="14" t="s">
        <v>9740</v>
      </c>
      <c r="Q1833" s="14" t="s">
        <v>9740</v>
      </c>
      <c r="R1833" s="12">
        <v>7</v>
      </c>
    </row>
    <row r="1834" spans="1:18" ht="17" customHeight="1" x14ac:dyDescent="0.15">
      <c r="A1834" s="8" t="s">
        <v>9763</v>
      </c>
      <c r="B1834" s="9" t="s">
        <v>9764</v>
      </c>
      <c r="C1834" s="8" t="s">
        <v>9765</v>
      </c>
      <c r="D1834" s="8" t="s">
        <v>9765</v>
      </c>
      <c r="E1834" s="8" t="s">
        <v>9766</v>
      </c>
      <c r="F1834" s="8" t="s">
        <v>9750</v>
      </c>
      <c r="G1834" s="8" t="s">
        <v>9717</v>
      </c>
      <c r="H1834" s="8" t="s">
        <v>9718</v>
      </c>
      <c r="I1834" s="8" t="str">
        <f>HYPERLINK("http://www.solettificiocoba.com/","www.solettificiocoba.com")</f>
        <v>www.solettificiocoba.com</v>
      </c>
      <c r="J1834" s="10">
        <v>3599.6709999999998</v>
      </c>
      <c r="K1834" s="10">
        <v>3599.6709999999998</v>
      </c>
      <c r="L1834" s="10">
        <v>2820.3609999999999</v>
      </c>
      <c r="M1834" s="10">
        <v>371.96800000000002</v>
      </c>
      <c r="N1834" s="10">
        <v>371.96800000000002</v>
      </c>
      <c r="O1834" s="10">
        <v>49.052</v>
      </c>
      <c r="P1834" s="10">
        <v>28</v>
      </c>
      <c r="Q1834" s="10">
        <v>28</v>
      </c>
      <c r="R1834" s="10">
        <v>26</v>
      </c>
    </row>
    <row r="1835" spans="1:18" ht="17" customHeight="1" x14ac:dyDescent="0.15">
      <c r="A1835" s="11" t="s">
        <v>9767</v>
      </c>
      <c r="B1835" s="1" t="s">
        <v>9768</v>
      </c>
      <c r="C1835" s="11" t="s">
        <v>9769</v>
      </c>
      <c r="D1835" s="11" t="s">
        <v>9769</v>
      </c>
      <c r="E1835" s="11" t="s">
        <v>9770</v>
      </c>
      <c r="F1835" s="11" t="s">
        <v>9750</v>
      </c>
      <c r="G1835" s="11" t="s">
        <v>9771</v>
      </c>
      <c r="H1835" s="11" t="s">
        <v>9756</v>
      </c>
      <c r="I1835" s="11" t="str">
        <f>HYPERLINK("http://www.hf2000.com/","www.hf2000.com")</f>
        <v>www.hf2000.com</v>
      </c>
      <c r="J1835" s="12">
        <v>1966.5150000000001</v>
      </c>
      <c r="K1835" s="12">
        <v>1966.5150000000001</v>
      </c>
      <c r="L1835" s="13">
        <v>2818.7919999999999</v>
      </c>
      <c r="M1835" s="12">
        <v>46.137</v>
      </c>
      <c r="N1835" s="12">
        <v>46.137</v>
      </c>
      <c r="O1835" s="12">
        <v>-697.19399999999996</v>
      </c>
      <c r="P1835" s="14" t="s">
        <v>9740</v>
      </c>
      <c r="Q1835" s="14" t="s">
        <v>9740</v>
      </c>
      <c r="R1835" s="12">
        <v>27</v>
      </c>
    </row>
    <row r="1836" spans="1:18" ht="17" customHeight="1" x14ac:dyDescent="0.15">
      <c r="A1836" s="8" t="s">
        <v>9772</v>
      </c>
      <c r="B1836" s="9" t="s">
        <v>9773</v>
      </c>
      <c r="C1836" s="8" t="s">
        <v>9774</v>
      </c>
      <c r="D1836" s="8" t="s">
        <v>9774</v>
      </c>
      <c r="E1836" s="8" t="s">
        <v>9775</v>
      </c>
      <c r="F1836" s="8" t="s">
        <v>9776</v>
      </c>
      <c r="G1836" s="8" t="s">
        <v>9777</v>
      </c>
      <c r="H1836" s="8" t="s">
        <v>9725</v>
      </c>
      <c r="I1836" s="8" t="str">
        <f>HYPERLINK("http://www.topsystemsrl.com/","www.topsystemsrl.com")</f>
        <v>www.topsystemsrl.com</v>
      </c>
      <c r="J1836" s="10">
        <v>2153.17</v>
      </c>
      <c r="K1836" s="10">
        <v>2153.17</v>
      </c>
      <c r="L1836" s="10">
        <v>2818.6129999999998</v>
      </c>
      <c r="M1836" s="10">
        <v>54.43</v>
      </c>
      <c r="N1836" s="10">
        <v>54.43</v>
      </c>
      <c r="O1836" s="10">
        <v>228.202</v>
      </c>
      <c r="P1836" s="10">
        <v>25</v>
      </c>
      <c r="Q1836" s="10">
        <v>25</v>
      </c>
      <c r="R1836" s="10">
        <v>31</v>
      </c>
    </row>
    <row r="1837" spans="1:18" ht="17" customHeight="1" x14ac:dyDescent="0.15">
      <c r="A1837" s="11" t="s">
        <v>9778</v>
      </c>
      <c r="B1837" s="1" t="s">
        <v>9779</v>
      </c>
      <c r="C1837" s="11" t="s">
        <v>9780</v>
      </c>
      <c r="D1837" s="11" t="s">
        <v>9780</v>
      </c>
      <c r="E1837" s="11" t="s">
        <v>9781</v>
      </c>
      <c r="F1837" s="11" t="s">
        <v>9716</v>
      </c>
      <c r="G1837" s="11" t="s">
        <v>9782</v>
      </c>
      <c r="H1837" s="11" t="s">
        <v>9783</v>
      </c>
      <c r="I1837" s="11" t="str">
        <f>HYPERLINK("http://gaiaconfezioni.it/","gaiaconfezioni.it")</f>
        <v>gaiaconfezioni.it</v>
      </c>
      <c r="J1837" s="12">
        <v>2628.377</v>
      </c>
      <c r="K1837" s="12">
        <v>2628.377</v>
      </c>
      <c r="L1837" s="13">
        <v>2813.1289999999999</v>
      </c>
      <c r="M1837" s="12">
        <v>-27.643000000000001</v>
      </c>
      <c r="N1837" s="12">
        <v>-27.643000000000001</v>
      </c>
      <c r="O1837" s="12">
        <v>112.08199999999999</v>
      </c>
      <c r="P1837" s="12">
        <v>43</v>
      </c>
      <c r="Q1837" s="12">
        <v>43</v>
      </c>
      <c r="R1837" s="12">
        <v>49</v>
      </c>
    </row>
    <row r="1838" spans="1:18" ht="17" customHeight="1" x14ac:dyDescent="0.15">
      <c r="A1838" s="8" t="s">
        <v>9784</v>
      </c>
      <c r="B1838" s="9" t="s">
        <v>9785</v>
      </c>
      <c r="C1838" s="8" t="s">
        <v>9786</v>
      </c>
      <c r="D1838" s="8" t="s">
        <v>9787</v>
      </c>
      <c r="E1838" s="8" t="s">
        <v>9788</v>
      </c>
      <c r="F1838" s="8" t="s">
        <v>9776</v>
      </c>
      <c r="G1838" s="8" t="s">
        <v>9789</v>
      </c>
      <c r="H1838" s="8" t="s">
        <v>9711</v>
      </c>
      <c r="I1838" s="8" t="str">
        <f>HYPERLINK("http://lepori.com/","lepori.com")</f>
        <v>lepori.com</v>
      </c>
      <c r="J1838" s="10">
        <v>3566.6480000000001</v>
      </c>
      <c r="K1838" s="10">
        <v>3566.6480000000001</v>
      </c>
      <c r="L1838" s="10">
        <v>2812.8890000000001</v>
      </c>
      <c r="M1838" s="10">
        <v>-321.77600000000001</v>
      </c>
      <c r="N1838" s="10">
        <v>-321.77600000000001</v>
      </c>
      <c r="O1838" s="10">
        <v>-985.97199999999998</v>
      </c>
      <c r="P1838" s="15" t="s">
        <v>9740</v>
      </c>
      <c r="Q1838" s="15" t="s">
        <v>9740</v>
      </c>
      <c r="R1838" s="10">
        <v>22</v>
      </c>
    </row>
    <row r="1839" spans="1:18" ht="17" customHeight="1" x14ac:dyDescent="0.15">
      <c r="A1839" s="11" t="s">
        <v>9790</v>
      </c>
      <c r="B1839" s="1" t="s">
        <v>9791</v>
      </c>
      <c r="C1839" s="11" t="s">
        <v>9792</v>
      </c>
      <c r="D1839" s="11" t="s">
        <v>9792</v>
      </c>
      <c r="E1839" s="11" t="s">
        <v>9793</v>
      </c>
      <c r="F1839" s="11" t="s">
        <v>9723</v>
      </c>
      <c r="G1839" s="11" t="s">
        <v>9724</v>
      </c>
      <c r="H1839" s="11" t="s">
        <v>9725</v>
      </c>
      <c r="I1839" s="11" t="str">
        <f>HYPERLINK("http://www.deapel.it/","www.deapel.it")</f>
        <v>www.deapel.it</v>
      </c>
      <c r="J1839" s="12">
        <v>2543.1570000000002</v>
      </c>
      <c r="K1839" s="12">
        <v>2543.1570000000002</v>
      </c>
      <c r="L1839" s="13">
        <v>2808.9589999999998</v>
      </c>
      <c r="M1839" s="12">
        <v>241.60599999999999</v>
      </c>
      <c r="N1839" s="12">
        <v>241.60599999999999</v>
      </c>
      <c r="O1839" s="12">
        <v>339.61900000000003</v>
      </c>
      <c r="P1839" s="12">
        <v>18</v>
      </c>
      <c r="Q1839" s="12">
        <v>18</v>
      </c>
      <c r="R1839" s="12">
        <v>18</v>
      </c>
    </row>
    <row r="1840" spans="1:18" ht="17" customHeight="1" x14ac:dyDescent="0.15">
      <c r="A1840" s="8" t="s">
        <v>9794</v>
      </c>
      <c r="B1840" s="9" t="s">
        <v>9795</v>
      </c>
      <c r="C1840" s="8" t="s">
        <v>9796</v>
      </c>
      <c r="D1840" s="8" t="s">
        <v>9796</v>
      </c>
      <c r="E1840" s="8" t="s">
        <v>9797</v>
      </c>
      <c r="F1840" s="8" t="s">
        <v>9723</v>
      </c>
      <c r="G1840" s="8" t="s">
        <v>9724</v>
      </c>
      <c r="H1840" s="8" t="s">
        <v>9725</v>
      </c>
      <c r="I1840" s="8" t="str">
        <f>HYPERLINK("http://fapel.com/","fapel.com")</f>
        <v>fapel.com</v>
      </c>
      <c r="J1840" s="10">
        <v>2203.7579999999998</v>
      </c>
      <c r="K1840" s="10">
        <v>2203.7579999999998</v>
      </c>
      <c r="L1840" s="10">
        <v>2807.0830000000001</v>
      </c>
      <c r="M1840" s="10">
        <v>36.770000000000003</v>
      </c>
      <c r="N1840" s="10">
        <v>36.770000000000003</v>
      </c>
      <c r="O1840" s="10">
        <v>62.192</v>
      </c>
      <c r="P1840" s="10">
        <v>9</v>
      </c>
      <c r="Q1840" s="10">
        <v>9</v>
      </c>
      <c r="R1840" s="10">
        <v>8</v>
      </c>
    </row>
    <row r="1841" spans="1:18" ht="17" customHeight="1" x14ac:dyDescent="0.15">
      <c r="A1841" s="11" t="s">
        <v>9798</v>
      </c>
      <c r="B1841" s="1" t="s">
        <v>9799</v>
      </c>
      <c r="C1841" s="11" t="s">
        <v>9800</v>
      </c>
      <c r="D1841" s="11" t="s">
        <v>9800</v>
      </c>
      <c r="E1841" s="11" t="s">
        <v>9801</v>
      </c>
      <c r="F1841" s="11" t="s">
        <v>9709</v>
      </c>
      <c r="G1841" s="11" t="s">
        <v>9724</v>
      </c>
      <c r="H1841" s="11" t="s">
        <v>9725</v>
      </c>
      <c r="I1841" s="11" t="str">
        <f>HYPERLINK("http://zhoe-tobiah.com/","zhoe-tobiah.com")</f>
        <v>zhoe-tobiah.com</v>
      </c>
      <c r="J1841" s="12">
        <v>2945.1089999999999</v>
      </c>
      <c r="K1841" s="12">
        <v>2945.1089999999999</v>
      </c>
      <c r="L1841" s="13">
        <v>2805.7829999999999</v>
      </c>
      <c r="M1841" s="12">
        <v>14.128</v>
      </c>
      <c r="N1841" s="12">
        <v>14.128</v>
      </c>
      <c r="O1841" s="12">
        <v>3.044</v>
      </c>
      <c r="P1841" s="14" t="s">
        <v>9740</v>
      </c>
      <c r="Q1841" s="14" t="s">
        <v>9740</v>
      </c>
      <c r="R1841" s="12">
        <v>12</v>
      </c>
    </row>
    <row r="1842" spans="1:18" ht="17" customHeight="1" x14ac:dyDescent="0.15">
      <c r="A1842" s="8" t="s">
        <v>9802</v>
      </c>
      <c r="B1842" s="9" t="s">
        <v>9803</v>
      </c>
      <c r="C1842" s="8" t="s">
        <v>9804</v>
      </c>
      <c r="D1842" s="8" t="s">
        <v>9804</v>
      </c>
      <c r="E1842" s="8" t="s">
        <v>9805</v>
      </c>
      <c r="F1842" s="8" t="s">
        <v>9806</v>
      </c>
      <c r="G1842" s="8" t="s">
        <v>9807</v>
      </c>
      <c r="H1842" s="8" t="s">
        <v>9739</v>
      </c>
      <c r="I1842" s="8" t="str">
        <f>HYPERLINK("http://www.darienzo.us.com/","www.darienzo.us.com")</f>
        <v>www.darienzo.us.com</v>
      </c>
      <c r="J1842" s="10">
        <v>2984.5819999999999</v>
      </c>
      <c r="K1842" s="10">
        <v>2984.5819999999999</v>
      </c>
      <c r="L1842" s="10">
        <v>2800.5619999999999</v>
      </c>
      <c r="M1842" s="10">
        <v>94.546000000000006</v>
      </c>
      <c r="N1842" s="10">
        <v>94.546000000000006</v>
      </c>
      <c r="O1842" s="10">
        <v>85.611000000000004</v>
      </c>
      <c r="P1842" s="10">
        <v>17</v>
      </c>
      <c r="Q1842" s="10">
        <v>17</v>
      </c>
      <c r="R1842" s="10">
        <v>16</v>
      </c>
    </row>
    <row r="1843" spans="1:18" ht="29.5" customHeight="1" x14ac:dyDescent="0.15">
      <c r="A1843" s="11" t="s">
        <v>9808</v>
      </c>
      <c r="B1843" s="1" t="s">
        <v>9809</v>
      </c>
      <c r="C1843" s="11" t="s">
        <v>9810</v>
      </c>
      <c r="D1843" s="11" t="s">
        <v>9810</v>
      </c>
      <c r="E1843" s="11" t="s">
        <v>9811</v>
      </c>
      <c r="F1843" s="11" t="s">
        <v>9812</v>
      </c>
      <c r="G1843" s="11" t="s">
        <v>9745</v>
      </c>
      <c r="H1843" s="11" t="s">
        <v>9711</v>
      </c>
      <c r="I1843" s="11" t="str">
        <f>HYPERLINK("http://www.pellicceriaberlincioni.com/","www.pellicceriaberlincioni.com")</f>
        <v>www.pellicceriaberlincioni.com</v>
      </c>
      <c r="J1843" s="12">
        <v>2293.3879999999999</v>
      </c>
      <c r="K1843" s="12">
        <v>2293.3879999999999</v>
      </c>
      <c r="L1843" s="13">
        <v>2799.3490000000002</v>
      </c>
      <c r="M1843" s="12">
        <v>416.65699999999998</v>
      </c>
      <c r="N1843" s="12">
        <v>416.65699999999998</v>
      </c>
      <c r="O1843" s="12">
        <v>652.84699999999998</v>
      </c>
      <c r="P1843" s="12">
        <v>8</v>
      </c>
      <c r="Q1843" s="12">
        <v>8</v>
      </c>
      <c r="R1843" s="12">
        <v>8</v>
      </c>
    </row>
    <row r="1844" spans="1:18" ht="17" customHeight="1" x14ac:dyDescent="0.15">
      <c r="A1844" s="8" t="s">
        <v>9813</v>
      </c>
      <c r="B1844" s="9" t="s">
        <v>9814</v>
      </c>
      <c r="C1844" s="8" t="s">
        <v>9815</v>
      </c>
      <c r="D1844" s="8" t="s">
        <v>9815</v>
      </c>
      <c r="E1844" s="8" t="s">
        <v>9816</v>
      </c>
      <c r="F1844" s="8" t="s">
        <v>9776</v>
      </c>
      <c r="G1844" s="8" t="s">
        <v>9817</v>
      </c>
      <c r="H1844" s="8" t="s">
        <v>9711</v>
      </c>
      <c r="I1844" s="8" t="str">
        <f>HYPERLINK("http://www.dolcastsrl.it/","www.dolcastsrl.it")</f>
        <v>www.dolcastsrl.it</v>
      </c>
      <c r="J1844" s="10">
        <v>2297.25</v>
      </c>
      <c r="K1844" s="10">
        <v>2297.25</v>
      </c>
      <c r="L1844" s="10">
        <v>2796.1819999999998</v>
      </c>
      <c r="M1844" s="10">
        <v>0.78500000000000003</v>
      </c>
      <c r="N1844" s="10">
        <v>0.78500000000000003</v>
      </c>
      <c r="O1844" s="10">
        <v>0.42899999999999999</v>
      </c>
      <c r="P1844" s="10">
        <v>8</v>
      </c>
      <c r="Q1844" s="10">
        <v>8</v>
      </c>
      <c r="R1844" s="10">
        <v>8</v>
      </c>
    </row>
    <row r="1845" spans="1:18" ht="17" customHeight="1" x14ac:dyDescent="0.15">
      <c r="A1845" s="11" t="s">
        <v>9818</v>
      </c>
      <c r="B1845" s="1" t="s">
        <v>9819</v>
      </c>
      <c r="C1845" s="11" t="s">
        <v>9820</v>
      </c>
      <c r="D1845" s="11" t="s">
        <v>9820</v>
      </c>
      <c r="E1845" s="11" t="s">
        <v>9821</v>
      </c>
      <c r="F1845" s="11" t="s">
        <v>9776</v>
      </c>
      <c r="G1845" s="11" t="s">
        <v>9822</v>
      </c>
      <c r="H1845" s="11" t="s">
        <v>9725</v>
      </c>
      <c r="I1845" s="11" t="str">
        <f>HYPERLINK("http://www.donifashionlab.it/","www.donifashionlab.it")</f>
        <v>www.donifashionlab.it</v>
      </c>
      <c r="J1845" s="12">
        <v>2026.556</v>
      </c>
      <c r="K1845" s="12">
        <v>2026.556</v>
      </c>
      <c r="L1845" s="13">
        <v>2795.5320000000002</v>
      </c>
      <c r="M1845" s="12">
        <v>4.4480000000000004</v>
      </c>
      <c r="N1845" s="12">
        <v>4.4480000000000004</v>
      </c>
      <c r="O1845" s="12">
        <v>6.2759999999999998</v>
      </c>
      <c r="P1845" s="14" t="s">
        <v>9740</v>
      </c>
      <c r="Q1845" s="14" t="s">
        <v>9740</v>
      </c>
      <c r="R1845" s="12">
        <v>4</v>
      </c>
    </row>
    <row r="1846" spans="1:18" ht="17" customHeight="1" x14ac:dyDescent="0.15">
      <c r="A1846" s="8" t="s">
        <v>9823</v>
      </c>
      <c r="B1846" s="9" t="s">
        <v>9824</v>
      </c>
      <c r="C1846" s="8" t="s">
        <v>9825</v>
      </c>
      <c r="D1846" s="8" t="s">
        <v>9825</v>
      </c>
      <c r="E1846" s="8" t="s">
        <v>9826</v>
      </c>
      <c r="F1846" s="8" t="s">
        <v>9827</v>
      </c>
      <c r="G1846" s="8" t="s">
        <v>9828</v>
      </c>
      <c r="H1846" s="8" t="s">
        <v>9762</v>
      </c>
      <c r="I1846" s="8" t="str">
        <f>HYPERLINK("http://frankalza.com/","frankalza.com")</f>
        <v>frankalza.com</v>
      </c>
      <c r="J1846" s="10">
        <v>2694.7739999999999</v>
      </c>
      <c r="K1846" s="10">
        <v>2694.7739999999999</v>
      </c>
      <c r="L1846" s="10">
        <v>2794.46</v>
      </c>
      <c r="M1846" s="10">
        <v>217.32499999999999</v>
      </c>
      <c r="N1846" s="10">
        <v>217.32499999999999</v>
      </c>
      <c r="O1846" s="10">
        <v>238.679</v>
      </c>
      <c r="P1846" s="15" t="s">
        <v>9740</v>
      </c>
      <c r="Q1846" s="15" t="s">
        <v>9740</v>
      </c>
      <c r="R1846" s="10">
        <v>18</v>
      </c>
    </row>
    <row r="1847" spans="1:18" ht="29.5" customHeight="1" x14ac:dyDescent="0.15">
      <c r="A1847" s="11" t="s">
        <v>9829</v>
      </c>
      <c r="B1847" s="1" t="s">
        <v>9830</v>
      </c>
      <c r="C1847" s="11" t="s">
        <v>9831</v>
      </c>
      <c r="D1847" s="11" t="s">
        <v>9831</v>
      </c>
      <c r="E1847" s="11" t="s">
        <v>9832</v>
      </c>
      <c r="F1847" s="11" t="s">
        <v>9709</v>
      </c>
      <c r="G1847" s="11" t="s">
        <v>9738</v>
      </c>
      <c r="H1847" s="11" t="s">
        <v>9739</v>
      </c>
      <c r="I1847" s="11" t="str">
        <f>HYPERLINK("http://www.blinkjeans.com/","www.blinkjeans.com")</f>
        <v>www.blinkjeans.com</v>
      </c>
      <c r="J1847" s="12">
        <v>3534.5610000000001</v>
      </c>
      <c r="K1847" s="12">
        <v>3534.5610000000001</v>
      </c>
      <c r="L1847" s="13">
        <v>2794.3530000000001</v>
      </c>
      <c r="M1847" s="12">
        <v>326.16000000000003</v>
      </c>
      <c r="N1847" s="12">
        <v>326.16000000000003</v>
      </c>
      <c r="O1847" s="12">
        <v>302.60899999999998</v>
      </c>
      <c r="P1847" s="12">
        <v>6</v>
      </c>
      <c r="Q1847" s="12">
        <v>6</v>
      </c>
      <c r="R1847" s="12">
        <v>6</v>
      </c>
    </row>
    <row r="1848" spans="1:18" ht="17" customHeight="1" x14ac:dyDescent="0.15">
      <c r="A1848" s="8" t="s">
        <v>9833</v>
      </c>
      <c r="B1848" s="9" t="s">
        <v>9834</v>
      </c>
      <c r="C1848" s="8" t="s">
        <v>9835</v>
      </c>
      <c r="D1848" s="8" t="s">
        <v>9835</v>
      </c>
      <c r="E1848" s="8" t="s">
        <v>9836</v>
      </c>
      <c r="F1848" s="8" t="s">
        <v>9812</v>
      </c>
      <c r="G1848" s="8" t="s">
        <v>9761</v>
      </c>
      <c r="H1848" s="8" t="s">
        <v>9762</v>
      </c>
      <c r="I1848" s="8" t="str">
        <f>HYPERLINK("http://www.kepa.it/","www.kepa.it")</f>
        <v>www.kepa.it</v>
      </c>
      <c r="J1848" s="10">
        <v>3085.3629999999998</v>
      </c>
      <c r="K1848" s="10">
        <v>3085.3629999999998</v>
      </c>
      <c r="L1848" s="10">
        <v>2791.0970000000002</v>
      </c>
      <c r="M1848" s="10">
        <v>233.84100000000001</v>
      </c>
      <c r="N1848" s="10">
        <v>233.84100000000001</v>
      </c>
      <c r="O1848" s="10">
        <v>453.68</v>
      </c>
      <c r="P1848" s="10">
        <v>2</v>
      </c>
      <c r="Q1848" s="10">
        <v>2</v>
      </c>
      <c r="R1848" s="10">
        <v>3</v>
      </c>
    </row>
    <row r="1849" spans="1:18" ht="17" customHeight="1" x14ac:dyDescent="0.15">
      <c r="A1849" s="11" t="s">
        <v>9837</v>
      </c>
      <c r="B1849" s="1" t="s">
        <v>9838</v>
      </c>
      <c r="C1849" s="11" t="s">
        <v>9839</v>
      </c>
      <c r="D1849" s="11" t="s">
        <v>9839</v>
      </c>
      <c r="E1849" s="11" t="s">
        <v>9840</v>
      </c>
      <c r="F1849" s="11" t="s">
        <v>9827</v>
      </c>
      <c r="G1849" s="11" t="s">
        <v>9841</v>
      </c>
      <c r="H1849" s="11" t="s">
        <v>9762</v>
      </c>
      <c r="I1849" s="11" t="str">
        <f>HYPERLINK("http://silca.eu/","silca.eu")</f>
        <v>silca.eu</v>
      </c>
      <c r="J1849" s="12">
        <v>2527.9360000000001</v>
      </c>
      <c r="K1849" s="12">
        <v>2527.9360000000001</v>
      </c>
      <c r="L1849" s="13">
        <v>2788.6770000000001</v>
      </c>
      <c r="M1849" s="12">
        <v>-124.62</v>
      </c>
      <c r="N1849" s="12">
        <v>-124.62</v>
      </c>
      <c r="O1849" s="12">
        <v>3.8220000000000001</v>
      </c>
      <c r="P1849" s="12">
        <v>22</v>
      </c>
      <c r="Q1849" s="12">
        <v>22</v>
      </c>
      <c r="R1849" s="12">
        <v>24</v>
      </c>
    </row>
    <row r="1850" spans="1:18" ht="17" customHeight="1" x14ac:dyDescent="0.15">
      <c r="A1850" s="8" t="s">
        <v>9842</v>
      </c>
      <c r="B1850" s="9" t="s">
        <v>9843</v>
      </c>
      <c r="C1850" s="8" t="s">
        <v>9844</v>
      </c>
      <c r="D1850" s="8" t="s">
        <v>9844</v>
      </c>
      <c r="E1850" s="8" t="s">
        <v>9845</v>
      </c>
      <c r="F1850" s="8" t="s">
        <v>9723</v>
      </c>
      <c r="G1850" s="8" t="s">
        <v>9724</v>
      </c>
      <c r="H1850" s="8" t="s">
        <v>9725</v>
      </c>
      <c r="I1850" s="8" t="str">
        <f>HYPERLINK("http://www.conceriacorradi.com/","http://www.conceriacorradi.com")</f>
        <v>http://www.conceriacorradi.com</v>
      </c>
      <c r="J1850" s="10">
        <v>2386.16</v>
      </c>
      <c r="K1850" s="10">
        <v>2386.16</v>
      </c>
      <c r="L1850" s="10">
        <v>2788.6469999999999</v>
      </c>
      <c r="M1850" s="10">
        <v>3.8620000000000001</v>
      </c>
      <c r="N1850" s="10">
        <v>3.8620000000000001</v>
      </c>
      <c r="O1850" s="10">
        <v>2.7349999999999999</v>
      </c>
      <c r="P1850" s="10">
        <v>9</v>
      </c>
      <c r="Q1850" s="10">
        <v>9</v>
      </c>
      <c r="R1850" s="10">
        <v>10</v>
      </c>
    </row>
    <row r="1851" spans="1:18" ht="17" customHeight="1" x14ac:dyDescent="0.15">
      <c r="A1851" s="11" t="s">
        <v>9846</v>
      </c>
      <c r="B1851" s="1" t="s">
        <v>9847</v>
      </c>
      <c r="C1851" s="11" t="s">
        <v>9848</v>
      </c>
      <c r="D1851" s="11" t="s">
        <v>9848</v>
      </c>
      <c r="E1851" s="11" t="s">
        <v>9849</v>
      </c>
      <c r="F1851" s="11" t="s">
        <v>9850</v>
      </c>
      <c r="G1851" s="11" t="s">
        <v>9777</v>
      </c>
      <c r="H1851" s="11" t="s">
        <v>9725</v>
      </c>
      <c r="I1851" s="11" t="str">
        <f>HYPERLINK("http://www.evolfashion.com/","www.evolfashion.com")</f>
        <v>www.evolfashion.com</v>
      </c>
      <c r="J1851" s="12">
        <v>2463.5680000000002</v>
      </c>
      <c r="K1851" s="12">
        <v>2463.5680000000002</v>
      </c>
      <c r="L1851" s="13">
        <v>2785.828</v>
      </c>
      <c r="M1851" s="12">
        <v>35.271999999999998</v>
      </c>
      <c r="N1851" s="12">
        <v>35.271999999999998</v>
      </c>
      <c r="O1851" s="12">
        <v>68.049000000000007</v>
      </c>
      <c r="P1851" s="12">
        <v>25</v>
      </c>
      <c r="Q1851" s="12">
        <v>25</v>
      </c>
      <c r="R1851" s="12">
        <v>17</v>
      </c>
    </row>
    <row r="1852" spans="1:18" ht="17" customHeight="1" x14ac:dyDescent="0.15">
      <c r="A1852" s="8" t="s">
        <v>9851</v>
      </c>
      <c r="B1852" s="9" t="s">
        <v>9852</v>
      </c>
      <c r="C1852" s="8" t="s">
        <v>9853</v>
      </c>
      <c r="D1852" s="8" t="s">
        <v>9853</v>
      </c>
      <c r="E1852" s="8" t="s">
        <v>9854</v>
      </c>
      <c r="F1852" s="8" t="s">
        <v>9850</v>
      </c>
      <c r="G1852" s="8" t="s">
        <v>9841</v>
      </c>
      <c r="H1852" s="8" t="s">
        <v>9762</v>
      </c>
      <c r="I1852" s="8" t="str">
        <f>HYPERLINK("http://www.bertonivaligeria.it/","www.bertonivaligeria.it")</f>
        <v>www.bertonivaligeria.it</v>
      </c>
      <c r="J1852" s="10">
        <v>3186.9360000000001</v>
      </c>
      <c r="K1852" s="10">
        <v>3186.9360000000001</v>
      </c>
      <c r="L1852" s="10">
        <v>2783.8789999999999</v>
      </c>
      <c r="M1852" s="10">
        <v>263.83699999999999</v>
      </c>
      <c r="N1852" s="10">
        <v>263.83699999999999</v>
      </c>
      <c r="O1852" s="10">
        <v>130.93799999999999</v>
      </c>
      <c r="P1852" s="15" t="s">
        <v>9740</v>
      </c>
      <c r="Q1852" s="15" t="s">
        <v>9740</v>
      </c>
      <c r="R1852" s="10">
        <v>24</v>
      </c>
    </row>
    <row r="1853" spans="1:18" ht="17" customHeight="1" x14ac:dyDescent="0.15">
      <c r="A1853" s="11" t="s">
        <v>9855</v>
      </c>
      <c r="B1853" s="1" t="s">
        <v>9856</v>
      </c>
      <c r="C1853" s="11" t="s">
        <v>9857</v>
      </c>
      <c r="D1853" s="11" t="s">
        <v>9857</v>
      </c>
      <c r="E1853" s="11" t="s">
        <v>9858</v>
      </c>
      <c r="F1853" s="11" t="s">
        <v>9723</v>
      </c>
      <c r="G1853" s="11" t="s">
        <v>9859</v>
      </c>
      <c r="H1853" s="11" t="s">
        <v>9711</v>
      </c>
      <c r="I1853" s="11" t="str">
        <f>HYPERLINK("http://www.conceriapokersas.com/","www.conceriapokersas.com")</f>
        <v>www.conceriapokersas.com</v>
      </c>
      <c r="J1853" s="12">
        <v>2857.7829999999999</v>
      </c>
      <c r="K1853" s="12">
        <v>2857.7829999999999</v>
      </c>
      <c r="L1853" s="13">
        <v>2783.6089999999999</v>
      </c>
      <c r="M1853" s="12">
        <v>35.545000000000002</v>
      </c>
      <c r="N1853" s="12">
        <v>35.545000000000002</v>
      </c>
      <c r="O1853" s="12">
        <v>37.036000000000001</v>
      </c>
      <c r="P1853" s="12">
        <v>8</v>
      </c>
      <c r="Q1853" s="12">
        <v>8</v>
      </c>
      <c r="R1853" s="12">
        <v>8</v>
      </c>
    </row>
    <row r="1854" spans="1:18" ht="17" customHeight="1" x14ac:dyDescent="0.15">
      <c r="A1854" s="8" t="s">
        <v>9860</v>
      </c>
      <c r="B1854" s="9" t="s">
        <v>9861</v>
      </c>
      <c r="C1854" s="8" t="s">
        <v>9862</v>
      </c>
      <c r="D1854" s="8" t="s">
        <v>9862</v>
      </c>
      <c r="E1854" s="8" t="s">
        <v>9863</v>
      </c>
      <c r="F1854" s="8" t="s">
        <v>9731</v>
      </c>
      <c r="G1854" s="8" t="s">
        <v>9864</v>
      </c>
      <c r="H1854" s="8" t="s">
        <v>9762</v>
      </c>
      <c r="I1854" s="8" t="str">
        <f>HYPERLINK("http://www.richardjamesbrown.com/","www.richardjamesbrown.com")</f>
        <v>www.richardjamesbrown.com</v>
      </c>
      <c r="J1854" s="10">
        <v>3350.5320000000002</v>
      </c>
      <c r="K1854" s="10">
        <v>3350.5320000000002</v>
      </c>
      <c r="L1854" s="10">
        <v>2783.3560000000002</v>
      </c>
      <c r="M1854" s="10">
        <v>289.55500000000001</v>
      </c>
      <c r="N1854" s="10">
        <v>289.55500000000001</v>
      </c>
      <c r="O1854" s="10">
        <v>292.32299999999998</v>
      </c>
      <c r="P1854" s="10">
        <v>5</v>
      </c>
      <c r="Q1854" s="10">
        <v>5</v>
      </c>
      <c r="R1854" s="10">
        <v>4</v>
      </c>
    </row>
    <row r="1855" spans="1:18" ht="17" customHeight="1" x14ac:dyDescent="0.15">
      <c r="A1855" s="11" t="s">
        <v>9865</v>
      </c>
      <c r="B1855" s="1" t="s">
        <v>9866</v>
      </c>
      <c r="C1855" s="11" t="s">
        <v>9867</v>
      </c>
      <c r="D1855" s="11" t="s">
        <v>9867</v>
      </c>
      <c r="E1855" s="11" t="s">
        <v>9868</v>
      </c>
      <c r="F1855" s="11" t="s">
        <v>9806</v>
      </c>
      <c r="G1855" s="11" t="s">
        <v>9869</v>
      </c>
      <c r="H1855" s="11" t="s">
        <v>9711</v>
      </c>
      <c r="I1855" s="11" t="str">
        <f>HYPERLINK("http://www.giupel.com/","www.giupel.com")</f>
        <v>www.giupel.com</v>
      </c>
      <c r="J1855" s="12">
        <v>2405.277</v>
      </c>
      <c r="K1855" s="12">
        <v>2405.277</v>
      </c>
      <c r="L1855" s="13">
        <v>2782.5970000000002</v>
      </c>
      <c r="M1855" s="12">
        <v>41.161999999999999</v>
      </c>
      <c r="N1855" s="12">
        <v>41.161999999999999</v>
      </c>
      <c r="O1855" s="12">
        <v>1.615</v>
      </c>
      <c r="P1855" s="12">
        <v>4</v>
      </c>
      <c r="Q1855" s="12">
        <v>4</v>
      </c>
      <c r="R1855" s="12">
        <v>7</v>
      </c>
    </row>
    <row r="1856" spans="1:18" ht="17" customHeight="1" x14ac:dyDescent="0.15">
      <c r="A1856" s="8" t="s">
        <v>9870</v>
      </c>
      <c r="B1856" s="9" t="s">
        <v>9871</v>
      </c>
      <c r="C1856" s="8" t="s">
        <v>9872</v>
      </c>
      <c r="D1856" s="8" t="s">
        <v>9872</v>
      </c>
      <c r="E1856" s="8" t="s">
        <v>9873</v>
      </c>
      <c r="F1856" s="8" t="s">
        <v>9776</v>
      </c>
      <c r="G1856" s="8" t="s">
        <v>9738</v>
      </c>
      <c r="H1856" s="8" t="s">
        <v>9739</v>
      </c>
      <c r="I1856" s="8" t="str">
        <f>HYPERLINK("http://www.calzaturificionuovariviera.com/","www.calzaturificionuovariviera.com")</f>
        <v>www.calzaturificionuovariviera.com</v>
      </c>
      <c r="J1856" s="10">
        <v>2778.7330000000002</v>
      </c>
      <c r="K1856" s="15" t="s">
        <v>9740</v>
      </c>
      <c r="L1856" s="10">
        <v>2778.7330000000002</v>
      </c>
      <c r="M1856" s="10">
        <v>-50.16</v>
      </c>
      <c r="N1856" s="15" t="s">
        <v>9740</v>
      </c>
      <c r="O1856" s="10">
        <v>-50.16</v>
      </c>
      <c r="P1856" s="10">
        <v>3</v>
      </c>
      <c r="Q1856" s="15" t="s">
        <v>9740</v>
      </c>
      <c r="R1856" s="10">
        <v>3</v>
      </c>
    </row>
    <row r="1857" spans="1:18" ht="17" customHeight="1" x14ac:dyDescent="0.15">
      <c r="A1857" s="11" t="s">
        <v>9874</v>
      </c>
      <c r="B1857" s="1" t="s">
        <v>9875</v>
      </c>
      <c r="C1857" s="11" t="s">
        <v>9876</v>
      </c>
      <c r="D1857" s="11" t="s">
        <v>9876</v>
      </c>
      <c r="E1857" s="11" t="s">
        <v>9877</v>
      </c>
      <c r="F1857" s="11" t="s">
        <v>9878</v>
      </c>
      <c r="G1857" s="11" t="s">
        <v>9879</v>
      </c>
      <c r="H1857" s="11" t="s">
        <v>9880</v>
      </c>
      <c r="I1857" s="11" t="str">
        <f>HYPERLINK("http://www.civico93.com/","www.civico93.com")</f>
        <v>www.civico93.com</v>
      </c>
      <c r="J1857" s="12">
        <v>2540.79</v>
      </c>
      <c r="K1857" s="12">
        <v>2540.79</v>
      </c>
      <c r="L1857" s="13">
        <v>2778.2530000000002</v>
      </c>
      <c r="M1857" s="12">
        <v>154.256</v>
      </c>
      <c r="N1857" s="12">
        <v>154.256</v>
      </c>
      <c r="O1857" s="12">
        <v>189.74600000000001</v>
      </c>
      <c r="P1857" s="12">
        <v>2</v>
      </c>
      <c r="Q1857" s="12">
        <v>2</v>
      </c>
      <c r="R1857" s="12">
        <v>3</v>
      </c>
    </row>
    <row r="1858" spans="1:18" ht="17" customHeight="1" x14ac:dyDescent="0.15">
      <c r="A1858" s="8" t="s">
        <v>9881</v>
      </c>
      <c r="B1858" s="9" t="s">
        <v>9882</v>
      </c>
      <c r="C1858" s="8" t="s">
        <v>9883</v>
      </c>
      <c r="D1858" s="8" t="s">
        <v>9883</v>
      </c>
      <c r="E1858" s="8" t="s">
        <v>9884</v>
      </c>
      <c r="F1858" s="8" t="s">
        <v>9878</v>
      </c>
      <c r="G1858" s="8" t="s">
        <v>9885</v>
      </c>
      <c r="H1858" s="8" t="s">
        <v>9886</v>
      </c>
      <c r="I1858" s="8" t="str">
        <f>HYPERLINK("http://dabopelletteria.com/","dabopelletteria.com")</f>
        <v>dabopelletteria.com</v>
      </c>
      <c r="J1858" s="10">
        <v>2267.0309999999999</v>
      </c>
      <c r="K1858" s="10">
        <v>2267.0309999999999</v>
      </c>
      <c r="L1858" s="10">
        <v>2776.6419999999998</v>
      </c>
      <c r="M1858" s="10">
        <v>293.97000000000003</v>
      </c>
      <c r="N1858" s="10">
        <v>293.97000000000003</v>
      </c>
      <c r="O1858" s="10">
        <v>101.60299999999999</v>
      </c>
      <c r="P1858" s="10">
        <v>1</v>
      </c>
      <c r="Q1858" s="10">
        <v>1</v>
      </c>
      <c r="R1858" s="10">
        <v>4</v>
      </c>
    </row>
    <row r="1859" spans="1:18" ht="17" customHeight="1" x14ac:dyDescent="0.15">
      <c r="A1859" s="11" t="s">
        <v>9887</v>
      </c>
      <c r="B1859" s="1" t="s">
        <v>9888</v>
      </c>
      <c r="C1859" s="11" t="s">
        <v>9889</v>
      </c>
      <c r="D1859" s="11" t="s">
        <v>9889</v>
      </c>
      <c r="E1859" s="11" t="s">
        <v>9890</v>
      </c>
      <c r="F1859" s="11" t="s">
        <v>9891</v>
      </c>
      <c r="G1859" s="11" t="s">
        <v>9892</v>
      </c>
      <c r="H1859" s="11" t="s">
        <v>9886</v>
      </c>
      <c r="I1859" s="11" t="str">
        <f>HYPERLINK("http://www.pjproject.it/","www.pjproject.it")</f>
        <v>www.pjproject.it</v>
      </c>
      <c r="J1859" s="12">
        <v>3836.79</v>
      </c>
      <c r="K1859" s="12">
        <v>3836.79</v>
      </c>
      <c r="L1859" s="13">
        <v>2773.2910000000002</v>
      </c>
      <c r="M1859" s="12">
        <v>146.51300000000001</v>
      </c>
      <c r="N1859" s="12">
        <v>146.51300000000001</v>
      </c>
      <c r="O1859" s="12">
        <v>36.979999999999997</v>
      </c>
      <c r="P1859" s="12">
        <v>12</v>
      </c>
      <c r="Q1859" s="12">
        <v>12</v>
      </c>
      <c r="R1859" s="12">
        <v>11</v>
      </c>
    </row>
    <row r="1860" spans="1:18" ht="17" customHeight="1" x14ac:dyDescent="0.15">
      <c r="A1860" s="8" t="s">
        <v>9893</v>
      </c>
      <c r="B1860" s="9" t="s">
        <v>9894</v>
      </c>
      <c r="C1860" s="8" t="s">
        <v>9895</v>
      </c>
      <c r="D1860" s="8" t="s">
        <v>9895</v>
      </c>
      <c r="E1860" s="8" t="s">
        <v>9896</v>
      </c>
      <c r="F1860" s="8" t="s">
        <v>9897</v>
      </c>
      <c r="G1860" s="8" t="s">
        <v>9898</v>
      </c>
      <c r="H1860" s="8" t="s">
        <v>9899</v>
      </c>
      <c r="I1860" s="8" t="str">
        <f>HYPERLINK("http://www.rossoenero.net/","www.rossoenero.net")</f>
        <v>www.rossoenero.net</v>
      </c>
      <c r="J1860" s="10">
        <v>3272.348</v>
      </c>
      <c r="K1860" s="10">
        <v>3272.348</v>
      </c>
      <c r="L1860" s="10">
        <v>2770.4250000000002</v>
      </c>
      <c r="M1860" s="10">
        <v>21.535</v>
      </c>
      <c r="N1860" s="10">
        <v>21.535</v>
      </c>
      <c r="O1860" s="10">
        <v>21.826000000000001</v>
      </c>
      <c r="P1860" s="10">
        <v>16</v>
      </c>
      <c r="Q1860" s="10">
        <v>16</v>
      </c>
      <c r="R1860" s="10">
        <v>16</v>
      </c>
    </row>
    <row r="1861" spans="1:18" ht="17" customHeight="1" x14ac:dyDescent="0.15">
      <c r="A1861" s="11" t="s">
        <v>9900</v>
      </c>
      <c r="B1861" s="1" t="s">
        <v>9901</v>
      </c>
      <c r="C1861" s="11" t="s">
        <v>9902</v>
      </c>
      <c r="D1861" s="11" t="s">
        <v>9902</v>
      </c>
      <c r="E1861" s="11" t="s">
        <v>9903</v>
      </c>
      <c r="F1861" s="11" t="s">
        <v>9904</v>
      </c>
      <c r="G1861" s="11" t="s">
        <v>9905</v>
      </c>
      <c r="H1861" s="11" t="s">
        <v>9906</v>
      </c>
      <c r="I1861" s="11" t="str">
        <f>HYPERLINK("http://www.calatura.it/","www.calatura.it")</f>
        <v>www.calatura.it</v>
      </c>
      <c r="J1861" s="12">
        <v>3003.1219999999998</v>
      </c>
      <c r="K1861" s="12">
        <v>3003.1219999999998</v>
      </c>
      <c r="L1861" s="13">
        <v>2768.5259999999998</v>
      </c>
      <c r="M1861" s="12">
        <v>28.8</v>
      </c>
      <c r="N1861" s="12">
        <v>28.8</v>
      </c>
      <c r="O1861" s="12">
        <v>35.070999999999998</v>
      </c>
      <c r="P1861" s="12">
        <v>12</v>
      </c>
      <c r="Q1861" s="12">
        <v>12</v>
      </c>
      <c r="R1861" s="12">
        <v>11</v>
      </c>
    </row>
    <row r="1862" spans="1:18" ht="17" customHeight="1" x14ac:dyDescent="0.15">
      <c r="A1862" s="8" t="s">
        <v>9907</v>
      </c>
      <c r="B1862" s="9" t="s">
        <v>9908</v>
      </c>
      <c r="C1862" s="8" t="s">
        <v>9909</v>
      </c>
      <c r="D1862" s="8" t="s">
        <v>9909</v>
      </c>
      <c r="E1862" s="8" t="s">
        <v>9910</v>
      </c>
      <c r="F1862" s="8" t="s">
        <v>9911</v>
      </c>
      <c r="G1862" s="8" t="s">
        <v>9912</v>
      </c>
      <c r="H1862" s="8" t="s">
        <v>9913</v>
      </c>
      <c r="I1862" s="8" t="str">
        <f>HYPERLINK("http://www.conceriabenvenuti.it/","www.conceriabenvenuti.it")</f>
        <v>www.conceriabenvenuti.it</v>
      </c>
      <c r="J1862" s="10">
        <v>2335.2339999999999</v>
      </c>
      <c r="K1862" s="10">
        <v>2335.2339999999999</v>
      </c>
      <c r="L1862" s="10">
        <v>2765.1489999999999</v>
      </c>
      <c r="M1862" s="10">
        <v>367.38600000000002</v>
      </c>
      <c r="N1862" s="10">
        <v>367.38600000000002</v>
      </c>
      <c r="O1862" s="10">
        <v>356.68799999999999</v>
      </c>
      <c r="P1862" s="10">
        <v>6</v>
      </c>
      <c r="Q1862" s="10">
        <v>6</v>
      </c>
      <c r="R1862" s="10">
        <v>7</v>
      </c>
    </row>
    <row r="1863" spans="1:18" ht="17" customHeight="1" x14ac:dyDescent="0.15">
      <c r="A1863" s="11" t="s">
        <v>9914</v>
      </c>
      <c r="B1863" s="1" t="s">
        <v>9915</v>
      </c>
      <c r="C1863" s="11" t="s">
        <v>9916</v>
      </c>
      <c r="D1863" s="11" t="s">
        <v>9916</v>
      </c>
      <c r="E1863" s="11" t="s">
        <v>9917</v>
      </c>
      <c r="F1863" s="11" t="s">
        <v>9891</v>
      </c>
      <c r="G1863" s="11" t="s">
        <v>9918</v>
      </c>
      <c r="H1863" s="11" t="s">
        <v>9886</v>
      </c>
      <c r="I1863" s="11" t="str">
        <f>HYPERLINK("http://www.emanuelemaffeis.it/","www.emanuelemaffeis.it")</f>
        <v>www.emanuelemaffeis.it</v>
      </c>
      <c r="J1863" s="12">
        <v>2491.587</v>
      </c>
      <c r="K1863" s="12">
        <v>2491.587</v>
      </c>
      <c r="L1863" s="13">
        <v>2757.1849999999999</v>
      </c>
      <c r="M1863" s="12">
        <v>55.616</v>
      </c>
      <c r="N1863" s="12">
        <v>55.616</v>
      </c>
      <c r="O1863" s="12">
        <v>-24.212</v>
      </c>
      <c r="P1863" s="12">
        <v>24</v>
      </c>
      <c r="Q1863" s="12">
        <v>24</v>
      </c>
      <c r="R1863" s="12">
        <v>20</v>
      </c>
    </row>
    <row r="1864" spans="1:18" ht="17" customHeight="1" x14ac:dyDescent="0.15">
      <c r="A1864" s="8" t="s">
        <v>9919</v>
      </c>
      <c r="B1864" s="9" t="s">
        <v>9920</v>
      </c>
      <c r="C1864" s="8" t="s">
        <v>9921</v>
      </c>
      <c r="D1864" s="8" t="s">
        <v>9921</v>
      </c>
      <c r="E1864" s="8" t="s">
        <v>9922</v>
      </c>
      <c r="F1864" s="8" t="s">
        <v>9923</v>
      </c>
      <c r="G1864" s="8" t="s">
        <v>9924</v>
      </c>
      <c r="H1864" s="8" t="s">
        <v>9899</v>
      </c>
      <c r="I1864" s="8" t="str">
        <f>HYPERLINK("http://cigalas.it/","cigalas.it")</f>
        <v>cigalas.it</v>
      </c>
      <c r="J1864" s="10">
        <v>3171.4229999999998</v>
      </c>
      <c r="K1864" s="10">
        <v>3171.4229999999998</v>
      </c>
      <c r="L1864" s="10">
        <v>2750.9490000000001</v>
      </c>
      <c r="M1864" s="10">
        <v>335.9</v>
      </c>
      <c r="N1864" s="10">
        <v>335.9</v>
      </c>
      <c r="O1864" s="10">
        <v>445.78100000000001</v>
      </c>
      <c r="P1864" s="10">
        <v>10</v>
      </c>
      <c r="Q1864" s="10">
        <v>10</v>
      </c>
      <c r="R1864" s="10">
        <v>6</v>
      </c>
    </row>
    <row r="1865" spans="1:18" ht="17" customHeight="1" x14ac:dyDescent="0.15">
      <c r="A1865" s="11" t="s">
        <v>9925</v>
      </c>
      <c r="B1865" s="1" t="s">
        <v>9926</v>
      </c>
      <c r="C1865" s="11" t="s">
        <v>9927</v>
      </c>
      <c r="D1865" s="11" t="s">
        <v>9927</v>
      </c>
      <c r="E1865" s="11" t="s">
        <v>9928</v>
      </c>
      <c r="F1865" s="11" t="s">
        <v>9929</v>
      </c>
      <c r="G1865" s="11" t="s">
        <v>9930</v>
      </c>
      <c r="H1865" s="11" t="s">
        <v>9913</v>
      </c>
      <c r="I1865" s="11" t="str">
        <f>HYPERLINK("http://www.albachiara.srl/","http://www.albachiara.srl")</f>
        <v>http://www.albachiara.srl</v>
      </c>
      <c r="J1865" s="12">
        <v>3917.0619999999999</v>
      </c>
      <c r="K1865" s="12">
        <v>3917.0619999999999</v>
      </c>
      <c r="L1865" s="13">
        <v>2748.06</v>
      </c>
      <c r="M1865" s="12">
        <v>-550.39499999999998</v>
      </c>
      <c r="N1865" s="12">
        <v>-550.39499999999998</v>
      </c>
      <c r="O1865" s="12">
        <v>-407.34899999999999</v>
      </c>
      <c r="P1865" s="12">
        <v>74</v>
      </c>
      <c r="Q1865" s="12">
        <v>74</v>
      </c>
      <c r="R1865" s="12">
        <v>58</v>
      </c>
    </row>
    <row r="1866" spans="1:18" ht="29.5" customHeight="1" x14ac:dyDescent="0.15">
      <c r="A1866" s="8" t="s">
        <v>9931</v>
      </c>
      <c r="B1866" s="9" t="s">
        <v>9932</v>
      </c>
      <c r="C1866" s="8" t="s">
        <v>9933</v>
      </c>
      <c r="D1866" s="8" t="s">
        <v>9933</v>
      </c>
      <c r="E1866" s="8" t="s">
        <v>9934</v>
      </c>
      <c r="F1866" s="8" t="s">
        <v>9935</v>
      </c>
      <c r="G1866" s="8" t="s">
        <v>9936</v>
      </c>
      <c r="H1866" s="8" t="s">
        <v>9886</v>
      </c>
      <c r="I1866" s="8" t="str">
        <f>HYPERLINK("http://www.calzificionuovogiodi.it/","www.calzificionuovogiodi.it")</f>
        <v>www.calzificionuovogiodi.it</v>
      </c>
      <c r="J1866" s="10">
        <v>3452.2359999999999</v>
      </c>
      <c r="K1866" s="10">
        <v>3452.2359999999999</v>
      </c>
      <c r="L1866" s="10">
        <v>2743.5419999999999</v>
      </c>
      <c r="M1866" s="10">
        <v>135.81700000000001</v>
      </c>
      <c r="N1866" s="10">
        <v>135.81700000000001</v>
      </c>
      <c r="O1866" s="10">
        <v>-24.114999999999998</v>
      </c>
      <c r="P1866" s="10">
        <v>10</v>
      </c>
      <c r="Q1866" s="10">
        <v>10</v>
      </c>
      <c r="R1866" s="10">
        <v>11</v>
      </c>
    </row>
    <row r="1867" spans="1:18" ht="29.5" customHeight="1" x14ac:dyDescent="0.15">
      <c r="A1867" s="11" t="s">
        <v>9937</v>
      </c>
      <c r="B1867" s="1" t="s">
        <v>9938</v>
      </c>
      <c r="C1867" s="11" t="s">
        <v>9939</v>
      </c>
      <c r="D1867" s="11" t="s">
        <v>9939</v>
      </c>
      <c r="E1867" s="11" t="s">
        <v>9940</v>
      </c>
      <c r="F1867" s="11" t="s">
        <v>9941</v>
      </c>
      <c r="G1867" s="11" t="s">
        <v>9942</v>
      </c>
      <c r="H1867" s="11" t="s">
        <v>9943</v>
      </c>
      <c r="I1867" s="11" t="str">
        <f>HYPERLINK("http://www.treemmecalzature.com/","www.treemmecalzature.com")</f>
        <v>www.treemmecalzature.com</v>
      </c>
      <c r="J1867" s="12">
        <v>3390.2289999999998</v>
      </c>
      <c r="K1867" s="12">
        <v>3390.2289999999998</v>
      </c>
      <c r="L1867" s="13">
        <v>2742.163</v>
      </c>
      <c r="M1867" s="12">
        <v>135.72399999999999</v>
      </c>
      <c r="N1867" s="12">
        <v>135.72399999999999</v>
      </c>
      <c r="O1867" s="12">
        <v>95.721000000000004</v>
      </c>
      <c r="P1867" s="12">
        <v>14</v>
      </c>
      <c r="Q1867" s="12">
        <v>14</v>
      </c>
      <c r="R1867" s="12">
        <v>12</v>
      </c>
    </row>
    <row r="1868" spans="1:18" ht="17" customHeight="1" x14ac:dyDescent="0.15">
      <c r="A1868" s="8" t="s">
        <v>9944</v>
      </c>
      <c r="B1868" s="9" t="s">
        <v>9945</v>
      </c>
      <c r="C1868" s="8" t="s">
        <v>9946</v>
      </c>
      <c r="D1868" s="8" t="s">
        <v>9946</v>
      </c>
      <c r="E1868" s="8" t="s">
        <v>9947</v>
      </c>
      <c r="F1868" s="8" t="s">
        <v>9929</v>
      </c>
      <c r="G1868" s="8" t="s">
        <v>9892</v>
      </c>
      <c r="H1868" s="8" t="s">
        <v>9886</v>
      </c>
      <c r="I1868" s="8" t="str">
        <f>HYPERLINK("http://www.samatexsrl.com/","www.samatexsrl.com")</f>
        <v>www.samatexsrl.com</v>
      </c>
      <c r="J1868" s="10">
        <v>1928.9929999999999</v>
      </c>
      <c r="K1868" s="10">
        <v>1928.9929999999999</v>
      </c>
      <c r="L1868" s="10">
        <v>2733.9870000000001</v>
      </c>
      <c r="M1868" s="10">
        <v>-79.703999999999994</v>
      </c>
      <c r="N1868" s="10">
        <v>-79.703999999999994</v>
      </c>
      <c r="O1868" s="10">
        <v>301.49299999999999</v>
      </c>
      <c r="P1868" s="10">
        <v>28</v>
      </c>
      <c r="Q1868" s="10">
        <v>28</v>
      </c>
      <c r="R1868" s="10">
        <v>26</v>
      </c>
    </row>
    <row r="1869" spans="1:18" ht="17" customHeight="1" x14ac:dyDescent="0.15">
      <c r="A1869" s="11" t="s">
        <v>9948</v>
      </c>
      <c r="B1869" s="1" t="s">
        <v>9949</v>
      </c>
      <c r="C1869" s="11" t="s">
        <v>9950</v>
      </c>
      <c r="D1869" s="11" t="s">
        <v>9951</v>
      </c>
      <c r="E1869" s="11" t="s">
        <v>9952</v>
      </c>
      <c r="F1869" s="11" t="s">
        <v>9891</v>
      </c>
      <c r="G1869" s="11" t="s">
        <v>9953</v>
      </c>
      <c r="H1869" s="11" t="s">
        <v>9913</v>
      </c>
      <c r="I1869" s="11" t="str">
        <f>HYPERLINK("http://www.invernishop.it/","www.invernishop.it")</f>
        <v>www.invernishop.it</v>
      </c>
      <c r="J1869" s="12">
        <v>3186.1790000000001</v>
      </c>
      <c r="K1869" s="12">
        <v>3186.1790000000001</v>
      </c>
      <c r="L1869" s="13">
        <v>2729.942</v>
      </c>
      <c r="M1869" s="12">
        <v>63.683999999999997</v>
      </c>
      <c r="N1869" s="12">
        <v>63.683999999999997</v>
      </c>
      <c r="O1869" s="12">
        <v>67.98</v>
      </c>
      <c r="P1869" s="14" t="s">
        <v>9954</v>
      </c>
      <c r="Q1869" s="14" t="s">
        <v>9954</v>
      </c>
      <c r="R1869" s="12">
        <v>9</v>
      </c>
    </row>
    <row r="1870" spans="1:18" ht="17" customHeight="1" x14ac:dyDescent="0.15">
      <c r="A1870" s="8" t="s">
        <v>9955</v>
      </c>
      <c r="B1870" s="9" t="s">
        <v>9956</v>
      </c>
      <c r="C1870" s="8" t="s">
        <v>9957</v>
      </c>
      <c r="D1870" s="8" t="s">
        <v>9957</v>
      </c>
      <c r="E1870" s="8" t="s">
        <v>9958</v>
      </c>
      <c r="F1870" s="8" t="s">
        <v>9929</v>
      </c>
      <c r="G1870" s="8" t="s">
        <v>9959</v>
      </c>
      <c r="H1870" s="8" t="s">
        <v>9880</v>
      </c>
      <c r="I1870" s="8" t="str">
        <f>HYPERLINK("http://www.mrhatter.it/","www.mrhatter.it")</f>
        <v>www.mrhatter.it</v>
      </c>
      <c r="J1870" s="10">
        <v>4200.9589999999998</v>
      </c>
      <c r="K1870" s="10">
        <v>4200.9589999999998</v>
      </c>
      <c r="L1870" s="10">
        <v>2729.5569999999998</v>
      </c>
      <c r="M1870" s="10">
        <v>100.148</v>
      </c>
      <c r="N1870" s="10">
        <v>100.148</v>
      </c>
      <c r="O1870" s="10">
        <v>45.591000000000001</v>
      </c>
      <c r="P1870" s="10">
        <v>36</v>
      </c>
      <c r="Q1870" s="10">
        <v>36</v>
      </c>
      <c r="R1870" s="10">
        <v>24</v>
      </c>
    </row>
    <row r="1871" spans="1:18" ht="17" customHeight="1" x14ac:dyDescent="0.15">
      <c r="A1871" s="11" t="s">
        <v>9960</v>
      </c>
      <c r="B1871" s="1" t="s">
        <v>9961</v>
      </c>
      <c r="C1871" s="11" t="s">
        <v>9962</v>
      </c>
      <c r="D1871" s="11" t="s">
        <v>9962</v>
      </c>
      <c r="E1871" s="11" t="s">
        <v>9963</v>
      </c>
      <c r="F1871" s="11" t="s">
        <v>9929</v>
      </c>
      <c r="G1871" s="11" t="s">
        <v>9879</v>
      </c>
      <c r="H1871" s="11" t="s">
        <v>9880</v>
      </c>
      <c r="I1871" s="11" t="str">
        <f>HYPERLINK("http://www.edesimselection.com/","www.edesimselection.com")</f>
        <v>www.edesimselection.com</v>
      </c>
      <c r="J1871" s="12">
        <v>2987.866</v>
      </c>
      <c r="K1871" s="12">
        <v>2987.866</v>
      </c>
      <c r="L1871" s="13">
        <v>2728.982</v>
      </c>
      <c r="M1871" s="12">
        <v>219.047</v>
      </c>
      <c r="N1871" s="12">
        <v>219.047</v>
      </c>
      <c r="O1871" s="12">
        <v>21.917999999999999</v>
      </c>
      <c r="P1871" s="14" t="s">
        <v>9954</v>
      </c>
      <c r="Q1871" s="14" t="s">
        <v>9954</v>
      </c>
      <c r="R1871" s="12">
        <v>44</v>
      </c>
    </row>
    <row r="1872" spans="1:18" ht="17" customHeight="1" x14ac:dyDescent="0.15">
      <c r="A1872" s="8" t="s">
        <v>9964</v>
      </c>
      <c r="B1872" s="9" t="s">
        <v>9965</v>
      </c>
      <c r="C1872" s="8" t="s">
        <v>9966</v>
      </c>
      <c r="D1872" s="8" t="s">
        <v>9966</v>
      </c>
      <c r="E1872" s="8" t="s">
        <v>9967</v>
      </c>
      <c r="F1872" s="8" t="s">
        <v>9941</v>
      </c>
      <c r="G1872" s="8" t="s">
        <v>9898</v>
      </c>
      <c r="H1872" s="8" t="s">
        <v>9899</v>
      </c>
      <c r="I1872" s="8" t="str">
        <f>HYPERLINK("http://bontoni.com/","bontoni.com")</f>
        <v>bontoni.com</v>
      </c>
      <c r="J1872" s="10">
        <v>2758.9920000000002</v>
      </c>
      <c r="K1872" s="10">
        <v>2758.9920000000002</v>
      </c>
      <c r="L1872" s="10">
        <v>2725.931</v>
      </c>
      <c r="M1872" s="10">
        <v>494.4</v>
      </c>
      <c r="N1872" s="10">
        <v>494.4</v>
      </c>
      <c r="O1872" s="10">
        <v>582.37199999999996</v>
      </c>
      <c r="P1872" s="15" t="s">
        <v>9954</v>
      </c>
      <c r="Q1872" s="15" t="s">
        <v>9954</v>
      </c>
      <c r="R1872" s="10">
        <v>11</v>
      </c>
    </row>
    <row r="1873" spans="1:18" ht="17" customHeight="1" x14ac:dyDescent="0.15">
      <c r="A1873" s="11" t="s">
        <v>9968</v>
      </c>
      <c r="B1873" s="1" t="s">
        <v>9969</v>
      </c>
      <c r="C1873" s="11" t="s">
        <v>9970</v>
      </c>
      <c r="D1873" s="11" t="s">
        <v>9970</v>
      </c>
      <c r="E1873" s="11" t="s">
        <v>9971</v>
      </c>
      <c r="F1873" s="11" t="s">
        <v>9972</v>
      </c>
      <c r="G1873" s="11" t="s">
        <v>9973</v>
      </c>
      <c r="H1873" s="11" t="s">
        <v>9906</v>
      </c>
      <c r="I1873" s="11" t="str">
        <f>HYPERLINK("http://www.gfsix2.it/","www.gfsix2.it")</f>
        <v>www.gfsix2.it</v>
      </c>
      <c r="J1873" s="12">
        <v>2364.8440000000001</v>
      </c>
      <c r="K1873" s="12">
        <v>2364.8440000000001</v>
      </c>
      <c r="L1873" s="13">
        <v>2723.78</v>
      </c>
      <c r="M1873" s="12">
        <v>21.728000000000002</v>
      </c>
      <c r="N1873" s="12">
        <v>21.728000000000002</v>
      </c>
      <c r="O1873" s="12">
        <v>154.00700000000001</v>
      </c>
      <c r="P1873" s="12">
        <v>15</v>
      </c>
      <c r="Q1873" s="12">
        <v>15</v>
      </c>
      <c r="R1873" s="12">
        <v>13</v>
      </c>
    </row>
    <row r="1874" spans="1:18" ht="17" customHeight="1" x14ac:dyDescent="0.15">
      <c r="A1874" s="8" t="s">
        <v>9974</v>
      </c>
      <c r="B1874" s="9" t="s">
        <v>9975</v>
      </c>
      <c r="C1874" s="8" t="s">
        <v>9976</v>
      </c>
      <c r="D1874" s="8" t="s">
        <v>9976</v>
      </c>
      <c r="E1874" s="8" t="s">
        <v>9977</v>
      </c>
      <c r="F1874" s="8" t="s">
        <v>9911</v>
      </c>
      <c r="G1874" s="8" t="s">
        <v>9978</v>
      </c>
      <c r="H1874" s="8" t="s">
        <v>9943</v>
      </c>
      <c r="I1874" s="8" t="str">
        <f>HYPERLINK("http://www.igg-srl.com/","www.igg-srl.com")</f>
        <v>www.igg-srl.com</v>
      </c>
      <c r="J1874" s="10">
        <v>2382.3879999999999</v>
      </c>
      <c r="K1874" s="10">
        <v>2544.3020000000001</v>
      </c>
      <c r="L1874" s="10">
        <v>2720.16</v>
      </c>
      <c r="M1874" s="10">
        <v>38.905000000000001</v>
      </c>
      <c r="N1874" s="10">
        <v>2.544</v>
      </c>
      <c r="O1874" s="10">
        <v>25.885999999999999</v>
      </c>
      <c r="P1874" s="10">
        <v>3</v>
      </c>
      <c r="Q1874" s="10">
        <v>3</v>
      </c>
      <c r="R1874" s="10">
        <v>3</v>
      </c>
    </row>
    <row r="1875" spans="1:18" ht="17" customHeight="1" x14ac:dyDescent="0.15">
      <c r="A1875" s="11" t="s">
        <v>9979</v>
      </c>
      <c r="B1875" s="1" t="s">
        <v>9980</v>
      </c>
      <c r="C1875" s="11" t="s">
        <v>9981</v>
      </c>
      <c r="D1875" s="11" t="s">
        <v>9981</v>
      </c>
      <c r="E1875" s="11" t="s">
        <v>9982</v>
      </c>
      <c r="F1875" s="11" t="s">
        <v>9904</v>
      </c>
      <c r="G1875" s="11" t="s">
        <v>9953</v>
      </c>
      <c r="H1875" s="11" t="s">
        <v>9913</v>
      </c>
      <c r="I1875" s="11" t="str">
        <f>HYPERLINK("http://www.maglieriaartigiana.it/","www.maglieriaartigiana.it")</f>
        <v>www.maglieriaartigiana.it</v>
      </c>
      <c r="J1875" s="12">
        <v>2692.9270000000001</v>
      </c>
      <c r="K1875" s="12">
        <v>2692.9270000000001</v>
      </c>
      <c r="L1875" s="13">
        <v>2718.8290000000002</v>
      </c>
      <c r="M1875" s="12">
        <v>47.987000000000002</v>
      </c>
      <c r="N1875" s="12">
        <v>47.987000000000002</v>
      </c>
      <c r="O1875" s="12">
        <v>40.543999999999997</v>
      </c>
      <c r="P1875" s="12">
        <v>11</v>
      </c>
      <c r="Q1875" s="12">
        <v>11</v>
      </c>
      <c r="R1875" s="12">
        <v>14</v>
      </c>
    </row>
    <row r="1876" spans="1:18" ht="17" customHeight="1" x14ac:dyDescent="0.15">
      <c r="A1876" s="8" t="s">
        <v>9983</v>
      </c>
      <c r="B1876" s="9" t="s">
        <v>9984</v>
      </c>
      <c r="C1876" s="8" t="s">
        <v>9985</v>
      </c>
      <c r="D1876" s="8" t="s">
        <v>9986</v>
      </c>
      <c r="E1876" s="8" t="s">
        <v>9987</v>
      </c>
      <c r="F1876" s="8" t="s">
        <v>9904</v>
      </c>
      <c r="G1876" s="8" t="s">
        <v>9953</v>
      </c>
      <c r="H1876" s="8" t="s">
        <v>9913</v>
      </c>
      <c r="I1876" s="8" t="str">
        <f>HYPERLINK("http://www.nibi.it/","http://www.nibi.it")</f>
        <v>http://www.nibi.it</v>
      </c>
      <c r="J1876" s="10">
        <v>2028.2260000000001</v>
      </c>
      <c r="K1876" s="10">
        <v>2028.2260000000001</v>
      </c>
      <c r="L1876" s="10">
        <v>2715.8490000000002</v>
      </c>
      <c r="M1876" s="10">
        <v>23.033999999999999</v>
      </c>
      <c r="N1876" s="10">
        <v>23.033999999999999</v>
      </c>
      <c r="O1876" s="10">
        <v>134.52000000000001</v>
      </c>
      <c r="P1876" s="10">
        <v>9</v>
      </c>
      <c r="Q1876" s="10">
        <v>9</v>
      </c>
      <c r="R1876" s="10">
        <v>10</v>
      </c>
    </row>
    <row r="1877" spans="1:18" ht="17" customHeight="1" x14ac:dyDescent="0.15">
      <c r="A1877" s="11" t="s">
        <v>9988</v>
      </c>
      <c r="B1877" s="1" t="s">
        <v>9989</v>
      </c>
      <c r="C1877" s="11" t="s">
        <v>9990</v>
      </c>
      <c r="D1877" s="11" t="s">
        <v>9990</v>
      </c>
      <c r="E1877" s="11" t="s">
        <v>9991</v>
      </c>
      <c r="F1877" s="11" t="s">
        <v>9929</v>
      </c>
      <c r="G1877" s="11" t="s">
        <v>9912</v>
      </c>
      <c r="H1877" s="11" t="s">
        <v>9913</v>
      </c>
      <c r="I1877" s="11" t="str">
        <f>HYPERLINK("http://www.creazionibabo.it/","www.creazionibabo.it")</f>
        <v>www.creazionibabo.it</v>
      </c>
      <c r="J1877" s="12">
        <v>1612.09</v>
      </c>
      <c r="K1877" s="12">
        <v>1612.09</v>
      </c>
      <c r="L1877" s="13">
        <v>2715.6260000000002</v>
      </c>
      <c r="M1877" s="12">
        <v>5.5229999999999997</v>
      </c>
      <c r="N1877" s="12">
        <v>5.5229999999999997</v>
      </c>
      <c r="O1877" s="12">
        <v>122.69</v>
      </c>
      <c r="P1877" s="12">
        <v>6</v>
      </c>
      <c r="Q1877" s="12">
        <v>6</v>
      </c>
      <c r="R1877" s="12">
        <v>6</v>
      </c>
    </row>
    <row r="1878" spans="1:18" ht="17" customHeight="1" x14ac:dyDescent="0.15">
      <c r="A1878" s="8" t="s">
        <v>9992</v>
      </c>
      <c r="B1878" s="9" t="s">
        <v>9993</v>
      </c>
      <c r="C1878" s="8" t="s">
        <v>9994</v>
      </c>
      <c r="D1878" s="8" t="s">
        <v>9994</v>
      </c>
      <c r="E1878" s="8" t="s">
        <v>9995</v>
      </c>
      <c r="F1878" s="8" t="s">
        <v>9996</v>
      </c>
      <c r="G1878" s="8" t="s">
        <v>9885</v>
      </c>
      <c r="H1878" s="8" t="s">
        <v>9886</v>
      </c>
      <c r="I1878" s="8" t="str">
        <f>HYPERLINK("http://www.milanese.me/","www.milanese.me")</f>
        <v>www.milanese.me</v>
      </c>
      <c r="J1878" s="10">
        <v>2943.5569999999998</v>
      </c>
      <c r="K1878" s="10">
        <v>2943.5569999999998</v>
      </c>
      <c r="L1878" s="10">
        <v>2706.4470000000001</v>
      </c>
      <c r="M1878" s="10">
        <v>262.70999999999998</v>
      </c>
      <c r="N1878" s="10">
        <v>262.70999999999998</v>
      </c>
      <c r="O1878" s="10">
        <v>226.18199999999999</v>
      </c>
      <c r="P1878" s="10">
        <v>11</v>
      </c>
      <c r="Q1878" s="10">
        <v>11</v>
      </c>
      <c r="R1878" s="10">
        <v>10</v>
      </c>
    </row>
    <row r="1879" spans="1:18" ht="17" customHeight="1" x14ac:dyDescent="0.15">
      <c r="A1879" s="11" t="s">
        <v>9997</v>
      </c>
      <c r="B1879" s="1" t="s">
        <v>9998</v>
      </c>
      <c r="C1879" s="11" t="s">
        <v>9999</v>
      </c>
      <c r="D1879" s="11" t="s">
        <v>9999</v>
      </c>
      <c r="E1879" s="11" t="s">
        <v>10000</v>
      </c>
      <c r="F1879" s="11" t="s">
        <v>9923</v>
      </c>
      <c r="G1879" s="11" t="s">
        <v>9879</v>
      </c>
      <c r="H1879" s="11" t="s">
        <v>9880</v>
      </c>
      <c r="I1879" s="11" t="str">
        <f>HYPERLINK("http://www.bayblu.it/","www.bayblu.it")</f>
        <v>www.bayblu.it</v>
      </c>
      <c r="J1879" s="12">
        <v>2706.2370000000001</v>
      </c>
      <c r="K1879" s="14" t="s">
        <v>9954</v>
      </c>
      <c r="L1879" s="13">
        <v>2706.2370000000001</v>
      </c>
      <c r="M1879" s="12">
        <v>115.27200000000001</v>
      </c>
      <c r="N1879" s="14" t="s">
        <v>9954</v>
      </c>
      <c r="O1879" s="12">
        <v>115.27200000000001</v>
      </c>
      <c r="P1879" s="12">
        <v>14</v>
      </c>
      <c r="Q1879" s="14" t="s">
        <v>9954</v>
      </c>
      <c r="R1879" s="12">
        <v>14</v>
      </c>
    </row>
    <row r="1880" spans="1:18" ht="17" customHeight="1" x14ac:dyDescent="0.15">
      <c r="A1880" s="8" t="s">
        <v>10001</v>
      </c>
      <c r="B1880" s="9" t="s">
        <v>10002</v>
      </c>
      <c r="C1880" s="8" t="s">
        <v>10003</v>
      </c>
      <c r="D1880" s="8" t="s">
        <v>10003</v>
      </c>
      <c r="E1880" s="8" t="s">
        <v>10004</v>
      </c>
      <c r="F1880" s="8" t="s">
        <v>9923</v>
      </c>
      <c r="G1880" s="8" t="s">
        <v>9953</v>
      </c>
      <c r="H1880" s="8" t="s">
        <v>9913</v>
      </c>
      <c r="I1880" s="8" t="str">
        <f>HYPERLINK("http://www.toptensrl.it/","www.toptensrl.it")</f>
        <v>www.toptensrl.it</v>
      </c>
      <c r="J1880" s="10">
        <v>1866.085</v>
      </c>
      <c r="K1880" s="10">
        <v>1866.085</v>
      </c>
      <c r="L1880" s="10">
        <v>2704.489</v>
      </c>
      <c r="M1880" s="10">
        <v>3.431</v>
      </c>
      <c r="N1880" s="10">
        <v>3.431</v>
      </c>
      <c r="O1880" s="10">
        <v>7.3760000000000003</v>
      </c>
      <c r="P1880" s="10">
        <v>8</v>
      </c>
      <c r="Q1880" s="10">
        <v>8</v>
      </c>
      <c r="R1880" s="10">
        <v>9</v>
      </c>
    </row>
    <row r="1881" spans="1:18" ht="17" customHeight="1" x14ac:dyDescent="0.15">
      <c r="A1881" s="11" t="s">
        <v>10005</v>
      </c>
      <c r="B1881" s="1" t="s">
        <v>10006</v>
      </c>
      <c r="C1881" s="11" t="s">
        <v>10007</v>
      </c>
      <c r="D1881" s="11" t="s">
        <v>10008</v>
      </c>
      <c r="E1881" s="11" t="s">
        <v>10009</v>
      </c>
      <c r="F1881" s="11" t="s">
        <v>9891</v>
      </c>
      <c r="G1881" s="11" t="s">
        <v>10010</v>
      </c>
      <c r="H1881" s="11" t="s">
        <v>9886</v>
      </c>
      <c r="I1881" s="11" t="str">
        <f>HYPERLINK("http://www.civas.it/","www.civas.it")</f>
        <v>www.civas.it</v>
      </c>
      <c r="J1881" s="12">
        <v>2476.8589999999999</v>
      </c>
      <c r="K1881" s="12">
        <v>2476.8589999999999</v>
      </c>
      <c r="L1881" s="13">
        <v>2703.3620000000001</v>
      </c>
      <c r="M1881" s="12">
        <v>1.7270000000000001</v>
      </c>
      <c r="N1881" s="12">
        <v>1.7270000000000001</v>
      </c>
      <c r="O1881" s="12">
        <v>20.888000000000002</v>
      </c>
      <c r="P1881" s="12">
        <v>10</v>
      </c>
      <c r="Q1881" s="12">
        <v>10</v>
      </c>
      <c r="R1881" s="12">
        <v>12</v>
      </c>
    </row>
    <row r="1882" spans="1:18" ht="17" customHeight="1" x14ac:dyDescent="0.15">
      <c r="A1882" s="8" t="s">
        <v>10011</v>
      </c>
      <c r="B1882" s="9" t="s">
        <v>10012</v>
      </c>
      <c r="C1882" s="8" t="s">
        <v>10013</v>
      </c>
      <c r="D1882" s="8" t="s">
        <v>10013</v>
      </c>
      <c r="E1882" s="8" t="s">
        <v>10014</v>
      </c>
      <c r="F1882" s="8" t="s">
        <v>9923</v>
      </c>
      <c r="G1882" s="8" t="s">
        <v>9879</v>
      </c>
      <c r="H1882" s="8" t="s">
        <v>9880</v>
      </c>
      <c r="I1882" s="8" t="str">
        <f>HYPERLINK("http://keyjey.it/","keyjey.it")</f>
        <v>keyjey.it</v>
      </c>
      <c r="J1882" s="10">
        <v>3064.1</v>
      </c>
      <c r="K1882" s="10">
        <v>3064.1</v>
      </c>
      <c r="L1882" s="10">
        <v>2700.7289999999998</v>
      </c>
      <c r="M1882" s="10">
        <v>55.222000000000001</v>
      </c>
      <c r="N1882" s="10">
        <v>55.222000000000001</v>
      </c>
      <c r="O1882" s="10">
        <v>49.347999999999999</v>
      </c>
      <c r="P1882" s="10">
        <v>3</v>
      </c>
      <c r="Q1882" s="10">
        <v>3</v>
      </c>
      <c r="R1882" s="10">
        <v>4</v>
      </c>
    </row>
    <row r="1883" spans="1:18" ht="17" customHeight="1" x14ac:dyDescent="0.15">
      <c r="A1883" s="11" t="s">
        <v>10015</v>
      </c>
      <c r="B1883" s="1" t="s">
        <v>10016</v>
      </c>
      <c r="C1883" s="11" t="s">
        <v>10017</v>
      </c>
      <c r="D1883" s="11" t="s">
        <v>10017</v>
      </c>
      <c r="E1883" s="11" t="s">
        <v>10018</v>
      </c>
      <c r="F1883" s="11" t="s">
        <v>9972</v>
      </c>
      <c r="G1883" s="11" t="s">
        <v>9942</v>
      </c>
      <c r="H1883" s="11" t="s">
        <v>9943</v>
      </c>
      <c r="I1883" s="11" t="str">
        <f>HYPERLINK("http://www.teosport.com/","www.teosport.com")</f>
        <v>www.teosport.com</v>
      </c>
      <c r="J1883" s="12">
        <v>1867.8150000000001</v>
      </c>
      <c r="K1883" s="12">
        <v>1867.8150000000001</v>
      </c>
      <c r="L1883" s="13">
        <v>2696.5709999999999</v>
      </c>
      <c r="M1883" s="12">
        <v>31.07</v>
      </c>
      <c r="N1883" s="12">
        <v>31.07</v>
      </c>
      <c r="O1883" s="12">
        <v>93.873000000000005</v>
      </c>
      <c r="P1883" s="12">
        <v>25</v>
      </c>
      <c r="Q1883" s="12">
        <v>25</v>
      </c>
      <c r="R1883" s="12">
        <v>31</v>
      </c>
    </row>
    <row r="1884" spans="1:18" ht="17" customHeight="1" x14ac:dyDescent="0.15">
      <c r="A1884" s="8" t="s">
        <v>10019</v>
      </c>
      <c r="B1884" s="9" t="s">
        <v>10020</v>
      </c>
      <c r="C1884" s="8" t="s">
        <v>10021</v>
      </c>
      <c r="D1884" s="8" t="s">
        <v>10021</v>
      </c>
      <c r="E1884" s="8" t="s">
        <v>10022</v>
      </c>
      <c r="F1884" s="8" t="s">
        <v>9911</v>
      </c>
      <c r="G1884" s="8" t="s">
        <v>10023</v>
      </c>
      <c r="H1884" s="8" t="s">
        <v>9913</v>
      </c>
      <c r="I1884" s="8" t="str">
        <f>HYPERLINK("http://www.anselmifrancospaccatrice.it/","www.anselmifrancospaccatrice.it")</f>
        <v>www.anselmifrancospaccatrice.it</v>
      </c>
      <c r="J1884" s="10">
        <v>2345.2860000000001</v>
      </c>
      <c r="K1884" s="10">
        <v>2345.2860000000001</v>
      </c>
      <c r="L1884" s="10">
        <v>2695.625</v>
      </c>
      <c r="M1884" s="10">
        <v>97.036000000000001</v>
      </c>
      <c r="N1884" s="10">
        <v>97.036000000000001</v>
      </c>
      <c r="O1884" s="10">
        <v>264.16899999999998</v>
      </c>
      <c r="P1884" s="10">
        <v>24</v>
      </c>
      <c r="Q1884" s="10">
        <v>24</v>
      </c>
      <c r="R1884" s="10">
        <v>23</v>
      </c>
    </row>
    <row r="1885" spans="1:18" ht="29.5" customHeight="1" x14ac:dyDescent="0.15">
      <c r="A1885" s="11" t="s">
        <v>10024</v>
      </c>
      <c r="B1885" s="1" t="s">
        <v>10025</v>
      </c>
      <c r="C1885" s="11" t="s">
        <v>10026</v>
      </c>
      <c r="D1885" s="11" t="s">
        <v>10026</v>
      </c>
      <c r="E1885" s="11" t="s">
        <v>10027</v>
      </c>
      <c r="F1885" s="11" t="s">
        <v>9941</v>
      </c>
      <c r="G1885" s="11" t="s">
        <v>10028</v>
      </c>
      <c r="H1885" s="11" t="s">
        <v>9943</v>
      </c>
      <c r="I1885" s="11" t="str">
        <f>HYPERLINK("http://www.pellico.net/","www.pellico.net")</f>
        <v>www.pellico.net</v>
      </c>
      <c r="J1885" s="12">
        <v>3682.0129999999999</v>
      </c>
      <c r="K1885" s="12">
        <v>3682.0129999999999</v>
      </c>
      <c r="L1885" s="13">
        <v>2691.7280000000001</v>
      </c>
      <c r="M1885" s="12">
        <v>21.81</v>
      </c>
      <c r="N1885" s="12">
        <v>21.81</v>
      </c>
      <c r="O1885" s="12">
        <v>-386.73899999999998</v>
      </c>
      <c r="P1885" s="12">
        <v>26</v>
      </c>
      <c r="Q1885" s="12">
        <v>26</v>
      </c>
      <c r="R1885" s="12">
        <v>27</v>
      </c>
    </row>
    <row r="1886" spans="1:18" ht="17" customHeight="1" x14ac:dyDescent="0.15">
      <c r="A1886" s="8" t="s">
        <v>10029</v>
      </c>
      <c r="B1886" s="9" t="s">
        <v>10030</v>
      </c>
      <c r="C1886" s="8" t="s">
        <v>10031</v>
      </c>
      <c r="D1886" s="8" t="s">
        <v>10031</v>
      </c>
      <c r="E1886" s="8" t="s">
        <v>10032</v>
      </c>
      <c r="F1886" s="8" t="s">
        <v>9972</v>
      </c>
      <c r="G1886" s="8" t="s">
        <v>10033</v>
      </c>
      <c r="H1886" s="8" t="s">
        <v>9886</v>
      </c>
      <c r="I1886" s="8" t="str">
        <f>HYPERLINK("http://confezionivelvet.com/","confezionivelvet.com")</f>
        <v>confezionivelvet.com</v>
      </c>
      <c r="J1886" s="10">
        <v>2912.9180000000001</v>
      </c>
      <c r="K1886" s="10">
        <v>2912.9180000000001</v>
      </c>
      <c r="L1886" s="10">
        <v>2691.2420000000002</v>
      </c>
      <c r="M1886" s="10">
        <v>4.367</v>
      </c>
      <c r="N1886" s="10">
        <v>4.367</v>
      </c>
      <c r="O1886" s="10">
        <v>6.798</v>
      </c>
      <c r="P1886" s="15" t="s">
        <v>9954</v>
      </c>
      <c r="Q1886" s="15" t="s">
        <v>9954</v>
      </c>
      <c r="R1886" s="10">
        <v>20</v>
      </c>
    </row>
    <row r="1887" spans="1:18" ht="17" customHeight="1" x14ac:dyDescent="0.15">
      <c r="A1887" s="11" t="s">
        <v>10034</v>
      </c>
      <c r="B1887" s="1" t="s">
        <v>10035</v>
      </c>
      <c r="C1887" s="11" t="s">
        <v>10036</v>
      </c>
      <c r="D1887" s="11" t="s">
        <v>10036</v>
      </c>
      <c r="E1887" s="11" t="s">
        <v>10037</v>
      </c>
      <c r="F1887" s="11" t="s">
        <v>9941</v>
      </c>
      <c r="G1887" s="11" t="s">
        <v>10038</v>
      </c>
      <c r="H1887" s="11" t="s">
        <v>9899</v>
      </c>
      <c r="I1887" s="11" t="str">
        <f>HYPERLINK("http://www.factorylabshoes.it/","www.factorylabshoes.it")</f>
        <v>www.factorylabshoes.it</v>
      </c>
      <c r="J1887" s="12">
        <v>4948.6530000000002</v>
      </c>
      <c r="K1887" s="12">
        <v>4948.6530000000002</v>
      </c>
      <c r="L1887" s="13">
        <v>2689.989</v>
      </c>
      <c r="M1887" s="12">
        <v>70.569999999999993</v>
      </c>
      <c r="N1887" s="12">
        <v>70.569999999999993</v>
      </c>
      <c r="O1887" s="12">
        <v>129.476</v>
      </c>
      <c r="P1887" s="14" t="s">
        <v>9954</v>
      </c>
      <c r="Q1887" s="14" t="s">
        <v>9954</v>
      </c>
      <c r="R1887" s="12">
        <v>9</v>
      </c>
    </row>
    <row r="1888" spans="1:18" ht="29.5" customHeight="1" x14ac:dyDescent="0.15">
      <c r="A1888" s="8" t="s">
        <v>10039</v>
      </c>
      <c r="B1888" s="9" t="s">
        <v>10040</v>
      </c>
      <c r="C1888" s="8" t="s">
        <v>10041</v>
      </c>
      <c r="D1888" s="8" t="s">
        <v>10041</v>
      </c>
      <c r="E1888" s="8" t="s">
        <v>10042</v>
      </c>
      <c r="F1888" s="8" t="s">
        <v>9891</v>
      </c>
      <c r="G1888" s="8" t="s">
        <v>9912</v>
      </c>
      <c r="H1888" s="8" t="s">
        <v>9913</v>
      </c>
      <c r="I1888" s="8" t="str">
        <f>HYPERLINK("http://www.tosettitessuti.it/","www.tosettitessuti.it")</f>
        <v>www.tosettitessuti.it</v>
      </c>
      <c r="J1888" s="10">
        <v>2734.587</v>
      </c>
      <c r="K1888" s="10">
        <v>2734.587</v>
      </c>
      <c r="L1888" s="10">
        <v>2688.2469999999998</v>
      </c>
      <c r="M1888" s="10">
        <v>39.311999999999998</v>
      </c>
      <c r="N1888" s="10">
        <v>39.311999999999998</v>
      </c>
      <c r="O1888" s="10">
        <v>41.881999999999998</v>
      </c>
      <c r="P1888" s="10">
        <v>9</v>
      </c>
      <c r="Q1888" s="10">
        <v>9</v>
      </c>
      <c r="R1888" s="10">
        <v>9</v>
      </c>
    </row>
    <row r="1889" spans="1:18" ht="17" customHeight="1" x14ac:dyDescent="0.15">
      <c r="A1889" s="11" t="s">
        <v>10043</v>
      </c>
      <c r="B1889" s="1" t="s">
        <v>10044</v>
      </c>
      <c r="C1889" s="11" t="s">
        <v>10045</v>
      </c>
      <c r="D1889" s="11" t="s">
        <v>10045</v>
      </c>
      <c r="E1889" s="11" t="s">
        <v>10046</v>
      </c>
      <c r="F1889" s="11" t="s">
        <v>10047</v>
      </c>
      <c r="G1889" s="11" t="s">
        <v>10048</v>
      </c>
      <c r="H1889" s="11" t="s">
        <v>10049</v>
      </c>
      <c r="I1889" s="11" t="str">
        <f>HYPERLINK("http://www.calzaturificiofalco.com/","www.calzaturificiofalco.com")</f>
        <v>www.calzaturificiofalco.com</v>
      </c>
      <c r="J1889" s="12">
        <v>2732.8270000000002</v>
      </c>
      <c r="K1889" s="12">
        <v>2732.8270000000002</v>
      </c>
      <c r="L1889" s="13">
        <v>2687.777</v>
      </c>
      <c r="M1889" s="12">
        <v>229.56</v>
      </c>
      <c r="N1889" s="12">
        <v>229.56</v>
      </c>
      <c r="O1889" s="12">
        <v>145.73699999999999</v>
      </c>
      <c r="P1889" s="12">
        <v>15</v>
      </c>
      <c r="Q1889" s="12">
        <v>15</v>
      </c>
      <c r="R1889" s="12">
        <v>17</v>
      </c>
    </row>
    <row r="1890" spans="1:18" ht="17" customHeight="1" x14ac:dyDescent="0.15">
      <c r="A1890" s="8" t="s">
        <v>10050</v>
      </c>
      <c r="B1890" s="9" t="s">
        <v>10051</v>
      </c>
      <c r="C1890" s="8" t="s">
        <v>10052</v>
      </c>
      <c r="D1890" s="8" t="s">
        <v>10052</v>
      </c>
      <c r="E1890" s="8" t="s">
        <v>10053</v>
      </c>
      <c r="F1890" s="8" t="s">
        <v>10054</v>
      </c>
      <c r="G1890" s="8" t="s">
        <v>10055</v>
      </c>
      <c r="H1890" s="8" t="s">
        <v>10056</v>
      </c>
      <c r="I1890" s="8" t="str">
        <f>HYPERLINK("http://www.milven.com/","www.milven.com")</f>
        <v>www.milven.com</v>
      </c>
      <c r="J1890" s="10">
        <v>2808.8240000000001</v>
      </c>
      <c r="K1890" s="10">
        <v>3110.0160000000001</v>
      </c>
      <c r="L1890" s="10">
        <v>2687.038</v>
      </c>
      <c r="M1890" s="10">
        <v>20.033000000000001</v>
      </c>
      <c r="N1890" s="10">
        <v>13.362</v>
      </c>
      <c r="O1890" s="10">
        <v>19.841999999999999</v>
      </c>
      <c r="P1890" s="10">
        <v>44</v>
      </c>
      <c r="Q1890" s="10">
        <v>42</v>
      </c>
      <c r="R1890" s="10">
        <v>80</v>
      </c>
    </row>
    <row r="1891" spans="1:18" ht="29.5" customHeight="1" x14ac:dyDescent="0.15">
      <c r="A1891" s="11" t="s">
        <v>10057</v>
      </c>
      <c r="B1891" s="1" t="s">
        <v>10058</v>
      </c>
      <c r="C1891" s="11" t="s">
        <v>10059</v>
      </c>
      <c r="D1891" s="11" t="s">
        <v>10059</v>
      </c>
      <c r="E1891" s="11" t="s">
        <v>10060</v>
      </c>
      <c r="F1891" s="11" t="s">
        <v>10061</v>
      </c>
      <c r="G1891" s="11" t="s">
        <v>10062</v>
      </c>
      <c r="H1891" s="11" t="s">
        <v>10063</v>
      </c>
      <c r="I1891" s="11" t="str">
        <f>HYPERLINK("http://www.cinderellashoes.it/","www.cinderellashoes.it")</f>
        <v>www.cinderellashoes.it</v>
      </c>
      <c r="J1891" s="12">
        <v>1376.5360000000001</v>
      </c>
      <c r="K1891" s="12">
        <v>1376.5360000000001</v>
      </c>
      <c r="L1891" s="13">
        <v>2684.4989999999998</v>
      </c>
      <c r="M1891" s="12">
        <v>16.667000000000002</v>
      </c>
      <c r="N1891" s="12">
        <v>16.667000000000002</v>
      </c>
      <c r="O1891" s="12">
        <v>231.49700000000001</v>
      </c>
      <c r="P1891" s="12">
        <v>11</v>
      </c>
      <c r="Q1891" s="12">
        <v>11</v>
      </c>
      <c r="R1891" s="12">
        <v>15</v>
      </c>
    </row>
    <row r="1892" spans="1:18" ht="17" customHeight="1" x14ac:dyDescent="0.15">
      <c r="A1892" s="8" t="s">
        <v>10064</v>
      </c>
      <c r="B1892" s="9" t="s">
        <v>10065</v>
      </c>
      <c r="C1892" s="8" t="s">
        <v>10066</v>
      </c>
      <c r="D1892" s="8" t="s">
        <v>10066</v>
      </c>
      <c r="E1892" s="8" t="s">
        <v>10067</v>
      </c>
      <c r="F1892" s="8" t="s">
        <v>10068</v>
      </c>
      <c r="G1892" s="8" t="s">
        <v>10069</v>
      </c>
      <c r="H1892" s="8" t="s">
        <v>10070</v>
      </c>
      <c r="I1892" s="8" t="str">
        <f>HYPERLINK("http://www.lapremieresrl.com/","www.lapremieresrl.com")</f>
        <v>www.lapremieresrl.com</v>
      </c>
      <c r="J1892" s="10">
        <v>1912.4580000000001</v>
      </c>
      <c r="K1892" s="10">
        <v>1912.4580000000001</v>
      </c>
      <c r="L1892" s="10">
        <v>2681.9720000000002</v>
      </c>
      <c r="M1892" s="10">
        <v>-30.117000000000001</v>
      </c>
      <c r="N1892" s="10">
        <v>-30.117000000000001</v>
      </c>
      <c r="O1892" s="10">
        <v>179.346</v>
      </c>
      <c r="P1892" s="15" t="s">
        <v>10071</v>
      </c>
      <c r="Q1892" s="15" t="s">
        <v>10071</v>
      </c>
      <c r="R1892" s="10">
        <v>24</v>
      </c>
    </row>
    <row r="1893" spans="1:18" ht="17" customHeight="1" x14ac:dyDescent="0.15">
      <c r="A1893" s="11" t="s">
        <v>10072</v>
      </c>
      <c r="B1893" s="1" t="s">
        <v>10073</v>
      </c>
      <c r="C1893" s="11" t="s">
        <v>10074</v>
      </c>
      <c r="D1893" s="11" t="s">
        <v>10074</v>
      </c>
      <c r="E1893" s="11" t="s">
        <v>10075</v>
      </c>
      <c r="F1893" s="11" t="s">
        <v>10076</v>
      </c>
      <c r="G1893" s="11" t="s">
        <v>10077</v>
      </c>
      <c r="H1893" s="11" t="s">
        <v>10056</v>
      </c>
      <c r="I1893" s="11" t="str">
        <f>HYPERLINK("http://meddyitalia.it/","meddyitalia.it")</f>
        <v>meddyitalia.it</v>
      </c>
      <c r="J1893" s="12">
        <v>2688.277</v>
      </c>
      <c r="K1893" s="12">
        <v>2688.277</v>
      </c>
      <c r="L1893" s="13">
        <v>2673.5410000000002</v>
      </c>
      <c r="M1893" s="12">
        <v>30.594000000000001</v>
      </c>
      <c r="N1893" s="12">
        <v>30.594000000000001</v>
      </c>
      <c r="O1893" s="12">
        <v>6.343</v>
      </c>
      <c r="P1893" s="12">
        <v>8</v>
      </c>
      <c r="Q1893" s="12">
        <v>8</v>
      </c>
      <c r="R1893" s="12">
        <v>8</v>
      </c>
    </row>
    <row r="1894" spans="1:18" ht="29.5" customHeight="1" x14ac:dyDescent="0.15">
      <c r="A1894" s="8" t="s">
        <v>10078</v>
      </c>
      <c r="B1894" s="9" t="s">
        <v>10079</v>
      </c>
      <c r="C1894" s="8" t="s">
        <v>10080</v>
      </c>
      <c r="D1894" s="8" t="s">
        <v>10080</v>
      </c>
      <c r="E1894" s="8" t="s">
        <v>10081</v>
      </c>
      <c r="F1894" s="8" t="s">
        <v>10047</v>
      </c>
      <c r="G1894" s="8" t="s">
        <v>10082</v>
      </c>
      <c r="H1894" s="8" t="s">
        <v>10063</v>
      </c>
      <c r="I1894" s="8" t="str">
        <f>HYPERLINK("http://bellevie.it/","bellevie.it")</f>
        <v>bellevie.it</v>
      </c>
      <c r="J1894" s="10">
        <v>2475.8919999999998</v>
      </c>
      <c r="K1894" s="10">
        <v>2475.8919999999998</v>
      </c>
      <c r="L1894" s="10">
        <v>2671.8510000000001</v>
      </c>
      <c r="M1894" s="10">
        <v>18.256</v>
      </c>
      <c r="N1894" s="10">
        <v>18.256</v>
      </c>
      <c r="O1894" s="10">
        <v>19.594999999999999</v>
      </c>
      <c r="P1894" s="10">
        <v>20</v>
      </c>
      <c r="Q1894" s="10">
        <v>20</v>
      </c>
      <c r="R1894" s="10">
        <v>20</v>
      </c>
    </row>
    <row r="1895" spans="1:18" ht="17" customHeight="1" x14ac:dyDescent="0.15">
      <c r="A1895" s="11" t="s">
        <v>10083</v>
      </c>
      <c r="B1895" s="1" t="s">
        <v>10084</v>
      </c>
      <c r="C1895" s="11" t="s">
        <v>10085</v>
      </c>
      <c r="D1895" s="11" t="s">
        <v>10085</v>
      </c>
      <c r="E1895" s="11" t="s">
        <v>10086</v>
      </c>
      <c r="F1895" s="11" t="s">
        <v>10061</v>
      </c>
      <c r="G1895" s="11" t="s">
        <v>10082</v>
      </c>
      <c r="H1895" s="11" t="s">
        <v>10063</v>
      </c>
      <c r="I1895" s="11" t="str">
        <f>HYPERLINK("http://www.guardolificiobieffe.it/","www.guardolificiobieffe.it")</f>
        <v>www.guardolificiobieffe.it</v>
      </c>
      <c r="J1895" s="12">
        <v>1732.4749999999999</v>
      </c>
      <c r="K1895" s="12">
        <v>1732.4749999999999</v>
      </c>
      <c r="L1895" s="13">
        <v>2669.7060000000001</v>
      </c>
      <c r="M1895" s="12">
        <v>133.58600000000001</v>
      </c>
      <c r="N1895" s="12">
        <v>133.58600000000001</v>
      </c>
      <c r="O1895" s="12">
        <v>292.42899999999997</v>
      </c>
      <c r="P1895" s="14" t="s">
        <v>10071</v>
      </c>
      <c r="Q1895" s="14" t="s">
        <v>10071</v>
      </c>
      <c r="R1895" s="12">
        <v>10</v>
      </c>
    </row>
    <row r="1896" spans="1:18" ht="17" customHeight="1" x14ac:dyDescent="0.15">
      <c r="A1896" s="8" t="s">
        <v>10087</v>
      </c>
      <c r="B1896" s="9" t="s">
        <v>10088</v>
      </c>
      <c r="C1896" s="8" t="s">
        <v>10089</v>
      </c>
      <c r="D1896" s="8" t="s">
        <v>10089</v>
      </c>
      <c r="E1896" s="8" t="s">
        <v>10090</v>
      </c>
      <c r="F1896" s="8" t="s">
        <v>10091</v>
      </c>
      <c r="G1896" s="8" t="s">
        <v>10092</v>
      </c>
      <c r="H1896" s="8" t="s">
        <v>10093</v>
      </c>
      <c r="I1896" s="8" t="str">
        <f>HYPERLINK("http://vircos.it/","vircos.it")</f>
        <v>vircos.it</v>
      </c>
      <c r="J1896" s="10">
        <v>1980.23</v>
      </c>
      <c r="K1896" s="10">
        <v>2502.982</v>
      </c>
      <c r="L1896" s="10">
        <v>2668.9189999999999</v>
      </c>
      <c r="M1896" s="10">
        <v>-24.568000000000001</v>
      </c>
      <c r="N1896" s="10">
        <v>-307.00299999999999</v>
      </c>
      <c r="O1896" s="10">
        <v>1.008</v>
      </c>
      <c r="P1896" s="10">
        <v>26</v>
      </c>
      <c r="Q1896" s="10">
        <v>28</v>
      </c>
      <c r="R1896" s="10">
        <v>23</v>
      </c>
    </row>
    <row r="1897" spans="1:18" ht="17" customHeight="1" x14ac:dyDescent="0.15">
      <c r="A1897" s="11" t="s">
        <v>10094</v>
      </c>
      <c r="B1897" s="1" t="s">
        <v>10095</v>
      </c>
      <c r="C1897" s="11" t="s">
        <v>10096</v>
      </c>
      <c r="D1897" s="11" t="s">
        <v>10096</v>
      </c>
      <c r="E1897" s="11" t="s">
        <v>10097</v>
      </c>
      <c r="F1897" s="11" t="s">
        <v>10047</v>
      </c>
      <c r="G1897" s="11" t="s">
        <v>10098</v>
      </c>
      <c r="H1897" s="11" t="s">
        <v>10099</v>
      </c>
      <c r="I1897" s="11" t="str">
        <f>HYPERLINK("http://it.albertofasciani.it/","it.albertofasciani.it")</f>
        <v>it.albertofasciani.it</v>
      </c>
      <c r="J1897" s="12">
        <v>2674.2579999999998</v>
      </c>
      <c r="K1897" s="12">
        <v>2674.2579999999998</v>
      </c>
      <c r="L1897" s="13">
        <v>2668.56</v>
      </c>
      <c r="M1897" s="12">
        <v>7.984</v>
      </c>
      <c r="N1897" s="12">
        <v>7.984</v>
      </c>
      <c r="O1897" s="12">
        <v>0.38700000000000001</v>
      </c>
      <c r="P1897" s="14" t="s">
        <v>10071</v>
      </c>
      <c r="Q1897" s="14" t="s">
        <v>10071</v>
      </c>
      <c r="R1897" s="12">
        <v>24</v>
      </c>
    </row>
    <row r="1898" spans="1:18" ht="17" customHeight="1" x14ac:dyDescent="0.15">
      <c r="A1898" s="8" t="s">
        <v>10100</v>
      </c>
      <c r="B1898" s="9" t="s">
        <v>10101</v>
      </c>
      <c r="C1898" s="8" t="s">
        <v>10102</v>
      </c>
      <c r="D1898" s="8" t="s">
        <v>10102</v>
      </c>
      <c r="E1898" s="8" t="s">
        <v>10103</v>
      </c>
      <c r="F1898" s="8" t="s">
        <v>10047</v>
      </c>
      <c r="G1898" s="8" t="s">
        <v>10104</v>
      </c>
      <c r="H1898" s="8" t="s">
        <v>10070</v>
      </c>
      <c r="I1898" s="8" t="str">
        <f>HYPERLINK("http://www.essedonna.it/","www.essedonna.it")</f>
        <v>www.essedonna.it</v>
      </c>
      <c r="J1898" s="10">
        <v>2247.0140000000001</v>
      </c>
      <c r="K1898" s="10">
        <v>2247.0140000000001</v>
      </c>
      <c r="L1898" s="10">
        <v>2668.2040000000002</v>
      </c>
      <c r="M1898" s="10">
        <v>19.064</v>
      </c>
      <c r="N1898" s="10">
        <v>19.064</v>
      </c>
      <c r="O1898" s="10">
        <v>8.5890000000000004</v>
      </c>
      <c r="P1898" s="10">
        <v>32</v>
      </c>
      <c r="Q1898" s="10">
        <v>32</v>
      </c>
      <c r="R1898" s="10">
        <v>34</v>
      </c>
    </row>
    <row r="1899" spans="1:18" ht="17" customHeight="1" x14ac:dyDescent="0.15">
      <c r="A1899" s="11" t="s">
        <v>10105</v>
      </c>
      <c r="B1899" s="1" t="s">
        <v>10106</v>
      </c>
      <c r="C1899" s="11" t="s">
        <v>10107</v>
      </c>
      <c r="D1899" s="11" t="s">
        <v>10107</v>
      </c>
      <c r="E1899" s="11" t="s">
        <v>10108</v>
      </c>
      <c r="F1899" s="11" t="s">
        <v>10109</v>
      </c>
      <c r="G1899" s="11" t="s">
        <v>10110</v>
      </c>
      <c r="H1899" s="11" t="s">
        <v>10056</v>
      </c>
      <c r="I1899" s="11" t="str">
        <f>HYPERLINK("http://shop.damap.it/","shop.damap.it")</f>
        <v>shop.damap.it</v>
      </c>
      <c r="J1899" s="12">
        <v>2165.4270000000001</v>
      </c>
      <c r="K1899" s="12">
        <v>2165.4270000000001</v>
      </c>
      <c r="L1899" s="13">
        <v>2667.6149999999998</v>
      </c>
      <c r="M1899" s="12">
        <v>11.401</v>
      </c>
      <c r="N1899" s="12">
        <v>11.401</v>
      </c>
      <c r="O1899" s="12">
        <v>8.7579999999999991</v>
      </c>
      <c r="P1899" s="12">
        <v>11</v>
      </c>
      <c r="Q1899" s="12">
        <v>11</v>
      </c>
      <c r="R1899" s="12">
        <v>12</v>
      </c>
    </row>
    <row r="1900" spans="1:18" ht="17" customHeight="1" x14ac:dyDescent="0.15">
      <c r="A1900" s="8" t="s">
        <v>10111</v>
      </c>
      <c r="B1900" s="9" t="s">
        <v>10112</v>
      </c>
      <c r="C1900" s="8" t="s">
        <v>10113</v>
      </c>
      <c r="D1900" s="8" t="s">
        <v>10113</v>
      </c>
      <c r="E1900" s="8" t="s">
        <v>10114</v>
      </c>
      <c r="F1900" s="8" t="s">
        <v>10115</v>
      </c>
      <c r="G1900" s="8" t="s">
        <v>10116</v>
      </c>
      <c r="H1900" s="8" t="s">
        <v>10049</v>
      </c>
      <c r="I1900" s="8" t="str">
        <f>HYPERLINK("http://shop.obliquecreations.eu/","shop.obliquecreations.eu")</f>
        <v>shop.obliquecreations.eu</v>
      </c>
      <c r="J1900" s="10">
        <v>3198.8209999999999</v>
      </c>
      <c r="K1900" s="10">
        <v>3198.8209999999999</v>
      </c>
      <c r="L1900" s="10">
        <v>2664.616</v>
      </c>
      <c r="M1900" s="10">
        <v>48.289000000000001</v>
      </c>
      <c r="N1900" s="10">
        <v>48.289000000000001</v>
      </c>
      <c r="O1900" s="10">
        <v>-334.35700000000003</v>
      </c>
      <c r="P1900" s="10">
        <v>6</v>
      </c>
      <c r="Q1900" s="10">
        <v>6</v>
      </c>
      <c r="R1900" s="10">
        <v>9</v>
      </c>
    </row>
    <row r="1901" spans="1:18" ht="17" customHeight="1" x14ac:dyDescent="0.15">
      <c r="A1901" s="11" t="s">
        <v>10117</v>
      </c>
      <c r="B1901" s="1" t="s">
        <v>10118</v>
      </c>
      <c r="C1901" s="11" t="s">
        <v>10119</v>
      </c>
      <c r="D1901" s="11" t="s">
        <v>10119</v>
      </c>
      <c r="E1901" s="11" t="s">
        <v>10120</v>
      </c>
      <c r="F1901" s="11" t="s">
        <v>10047</v>
      </c>
      <c r="G1901" s="11" t="s">
        <v>10121</v>
      </c>
      <c r="H1901" s="11" t="s">
        <v>10063</v>
      </c>
      <c r="I1901" s="11" t="str">
        <f>HYPERLINK("http://www.marossrl.it/","www.marossrl.it")</f>
        <v>www.marossrl.it</v>
      </c>
      <c r="J1901" s="12">
        <v>3047.5239999999999</v>
      </c>
      <c r="K1901" s="12">
        <v>3047.5239999999999</v>
      </c>
      <c r="L1901" s="13">
        <v>2663.5479999999998</v>
      </c>
      <c r="M1901" s="12">
        <v>3.3540000000000001</v>
      </c>
      <c r="N1901" s="12">
        <v>3.3540000000000001</v>
      </c>
      <c r="O1901" s="12">
        <v>6.9930000000000003</v>
      </c>
      <c r="P1901" s="12">
        <v>6</v>
      </c>
      <c r="Q1901" s="12">
        <v>6</v>
      </c>
      <c r="R1901" s="12">
        <v>7</v>
      </c>
    </row>
    <row r="1902" spans="1:18" ht="17" customHeight="1" x14ac:dyDescent="0.15">
      <c r="A1902" s="8" t="s">
        <v>10122</v>
      </c>
      <c r="B1902" s="9" t="s">
        <v>10123</v>
      </c>
      <c r="C1902" s="8" t="s">
        <v>10124</v>
      </c>
      <c r="D1902" s="8" t="s">
        <v>10124</v>
      </c>
      <c r="E1902" s="8" t="s">
        <v>10125</v>
      </c>
      <c r="F1902" s="8" t="s">
        <v>10126</v>
      </c>
      <c r="G1902" s="8" t="s">
        <v>10127</v>
      </c>
      <c r="H1902" s="8" t="s">
        <v>10128</v>
      </c>
      <c r="I1902" s="8" t="str">
        <f>HYPERLINK("http://shop.csemergenza.it/","shop.csemergenza.it")</f>
        <v>shop.csemergenza.it</v>
      </c>
      <c r="J1902" s="10">
        <v>3593.393</v>
      </c>
      <c r="K1902" s="10">
        <v>3593.393</v>
      </c>
      <c r="L1902" s="10">
        <v>2662.13</v>
      </c>
      <c r="M1902" s="10">
        <v>707.35799999999995</v>
      </c>
      <c r="N1902" s="10">
        <v>707.35799999999995</v>
      </c>
      <c r="O1902" s="10">
        <v>432.46600000000001</v>
      </c>
      <c r="P1902" s="10">
        <v>10</v>
      </c>
      <c r="Q1902" s="10">
        <v>10</v>
      </c>
      <c r="R1902" s="10">
        <v>8</v>
      </c>
    </row>
    <row r="1903" spans="1:18" ht="17" customHeight="1" x14ac:dyDescent="0.15">
      <c r="A1903" s="11" t="s">
        <v>10129</v>
      </c>
      <c r="B1903" s="1" t="s">
        <v>10130</v>
      </c>
      <c r="C1903" s="11" t="s">
        <v>10131</v>
      </c>
      <c r="D1903" s="11" t="s">
        <v>10131</v>
      </c>
      <c r="E1903" s="11" t="s">
        <v>10132</v>
      </c>
      <c r="F1903" s="11" t="s">
        <v>10133</v>
      </c>
      <c r="G1903" s="11" t="s">
        <v>10121</v>
      </c>
      <c r="H1903" s="11" t="s">
        <v>10063</v>
      </c>
      <c r="I1903" s="11" t="str">
        <f>HYPERLINK("http://www.maurizio-taiuti.it/","www.maurizio-taiuti.it")</f>
        <v>www.maurizio-taiuti.it</v>
      </c>
      <c r="J1903" s="12">
        <v>1708.7850000000001</v>
      </c>
      <c r="K1903" s="12">
        <v>1708.7850000000001</v>
      </c>
      <c r="L1903" s="13">
        <v>2661.3449999999998</v>
      </c>
      <c r="M1903" s="12">
        <v>66.281999999999996</v>
      </c>
      <c r="N1903" s="12">
        <v>66.281999999999996</v>
      </c>
      <c r="O1903" s="12">
        <v>288.32799999999997</v>
      </c>
      <c r="P1903" s="12">
        <v>7</v>
      </c>
      <c r="Q1903" s="12">
        <v>7</v>
      </c>
      <c r="R1903" s="12">
        <v>8</v>
      </c>
    </row>
    <row r="1904" spans="1:18" ht="17" customHeight="1" x14ac:dyDescent="0.15">
      <c r="A1904" s="8" t="s">
        <v>10134</v>
      </c>
      <c r="B1904" s="9" t="s">
        <v>10135</v>
      </c>
      <c r="C1904" s="8" t="s">
        <v>10136</v>
      </c>
      <c r="D1904" s="8" t="s">
        <v>10136</v>
      </c>
      <c r="E1904" s="8" t="s">
        <v>10137</v>
      </c>
      <c r="F1904" s="8" t="s">
        <v>10076</v>
      </c>
      <c r="G1904" s="8" t="s">
        <v>10138</v>
      </c>
      <c r="H1904" s="8" t="s">
        <v>10099</v>
      </c>
      <c r="I1904" s="8" t="str">
        <f>HYPERLINK("http://www.shadeitaly.com/","www.shadeitaly.com")</f>
        <v>www.shadeitaly.com</v>
      </c>
      <c r="J1904" s="10">
        <v>4213.5410000000002</v>
      </c>
      <c r="K1904" s="10">
        <v>4213.5410000000002</v>
      </c>
      <c r="L1904" s="10">
        <v>2659.049</v>
      </c>
      <c r="M1904" s="10">
        <v>97.375</v>
      </c>
      <c r="N1904" s="10">
        <v>97.375</v>
      </c>
      <c r="O1904" s="10">
        <v>125.411</v>
      </c>
      <c r="P1904" s="15" t="s">
        <v>10071</v>
      </c>
      <c r="Q1904" s="15" t="s">
        <v>10071</v>
      </c>
      <c r="R1904" s="10">
        <v>4</v>
      </c>
    </row>
    <row r="1905" spans="1:18" ht="17" customHeight="1" x14ac:dyDescent="0.15">
      <c r="A1905" s="11" t="s">
        <v>10139</v>
      </c>
      <c r="B1905" s="1" t="s">
        <v>10140</v>
      </c>
      <c r="C1905" s="11" t="s">
        <v>10141</v>
      </c>
      <c r="D1905" s="11" t="s">
        <v>10141</v>
      </c>
      <c r="E1905" s="11" t="s">
        <v>10142</v>
      </c>
      <c r="F1905" s="11" t="s">
        <v>10076</v>
      </c>
      <c r="G1905" s="11" t="s">
        <v>10143</v>
      </c>
      <c r="H1905" s="11" t="s">
        <v>10099</v>
      </c>
      <c r="I1905" s="11" t="str">
        <f>HYPERLINK("http://confistir.it/","confistir.it")</f>
        <v>confistir.it</v>
      </c>
      <c r="J1905" s="12">
        <v>2942.9029999999998</v>
      </c>
      <c r="K1905" s="12">
        <v>2942.9029999999998</v>
      </c>
      <c r="L1905" s="13">
        <v>2658.3510000000001</v>
      </c>
      <c r="M1905" s="12">
        <v>6.58</v>
      </c>
      <c r="N1905" s="12">
        <v>6.58</v>
      </c>
      <c r="O1905" s="12">
        <v>113.86</v>
      </c>
      <c r="P1905" s="12">
        <v>28</v>
      </c>
      <c r="Q1905" s="12">
        <v>28</v>
      </c>
      <c r="R1905" s="12">
        <v>21</v>
      </c>
    </row>
    <row r="1906" spans="1:18" ht="17" customHeight="1" x14ac:dyDescent="0.15">
      <c r="A1906" s="8" t="s">
        <v>10144</v>
      </c>
      <c r="B1906" s="9" t="s">
        <v>10145</v>
      </c>
      <c r="C1906" s="8" t="s">
        <v>10146</v>
      </c>
      <c r="D1906" s="8" t="s">
        <v>10146</v>
      </c>
      <c r="E1906" s="8" t="s">
        <v>10147</v>
      </c>
      <c r="F1906" s="8" t="s">
        <v>10068</v>
      </c>
      <c r="G1906" s="8" t="s">
        <v>10082</v>
      </c>
      <c r="H1906" s="8" t="s">
        <v>10063</v>
      </c>
      <c r="I1906" s="8" t="str">
        <f>HYPERLINK("http://www.al-fasrl.it/","www.al-fasrl.it")</f>
        <v>www.al-fasrl.it</v>
      </c>
      <c r="J1906" s="10">
        <v>2145.453</v>
      </c>
      <c r="K1906" s="10">
        <v>2145.453</v>
      </c>
      <c r="L1906" s="10">
        <v>2651.9180000000001</v>
      </c>
      <c r="M1906" s="10">
        <v>211.68799999999999</v>
      </c>
      <c r="N1906" s="10">
        <v>211.68799999999999</v>
      </c>
      <c r="O1906" s="10">
        <v>249.91900000000001</v>
      </c>
      <c r="P1906" s="10">
        <v>13</v>
      </c>
      <c r="Q1906" s="10">
        <v>13</v>
      </c>
      <c r="R1906" s="10">
        <v>13</v>
      </c>
    </row>
    <row r="1907" spans="1:18" ht="17" customHeight="1" x14ac:dyDescent="0.15">
      <c r="A1907" s="11" t="s">
        <v>10148</v>
      </c>
      <c r="B1907" s="1" t="s">
        <v>10149</v>
      </c>
      <c r="C1907" s="11" t="s">
        <v>10150</v>
      </c>
      <c r="D1907" s="11" t="s">
        <v>10150</v>
      </c>
      <c r="E1907" s="11" t="s">
        <v>10151</v>
      </c>
      <c r="F1907" s="11" t="s">
        <v>10152</v>
      </c>
      <c r="G1907" s="11" t="s">
        <v>10153</v>
      </c>
      <c r="H1907" s="11" t="s">
        <v>10056</v>
      </c>
      <c r="I1907" s="11" t="str">
        <f>HYPERLINK("http://www.albertandre.it/","www.albertandre.it")</f>
        <v>www.albertandre.it</v>
      </c>
      <c r="J1907" s="12">
        <v>2859.451</v>
      </c>
      <c r="K1907" s="12">
        <v>2859.451</v>
      </c>
      <c r="L1907" s="13">
        <v>2650.4659999999999</v>
      </c>
      <c r="M1907" s="12">
        <v>74.313999999999993</v>
      </c>
      <c r="N1907" s="12">
        <v>74.313999999999993</v>
      </c>
      <c r="O1907" s="12">
        <v>35.780999999999999</v>
      </c>
      <c r="P1907" s="12">
        <v>30</v>
      </c>
      <c r="Q1907" s="12">
        <v>30</v>
      </c>
      <c r="R1907" s="12">
        <v>32</v>
      </c>
    </row>
    <row r="1908" spans="1:18" ht="17" customHeight="1" x14ac:dyDescent="0.15">
      <c r="A1908" s="8" t="s">
        <v>10154</v>
      </c>
      <c r="B1908" s="9" t="s">
        <v>10155</v>
      </c>
      <c r="C1908" s="8" t="s">
        <v>10156</v>
      </c>
      <c r="D1908" s="8" t="s">
        <v>10156</v>
      </c>
      <c r="E1908" s="8" t="s">
        <v>10157</v>
      </c>
      <c r="F1908" s="8" t="s">
        <v>10047</v>
      </c>
      <c r="G1908" s="8" t="s">
        <v>10104</v>
      </c>
      <c r="H1908" s="8" t="s">
        <v>10070</v>
      </c>
      <c r="I1908" s="8" t="str">
        <f>HYPERLINK("http://www.paoloscaforanapoli.com/","www.paoloscaforanapoli.com")</f>
        <v>www.paoloscaforanapoli.com</v>
      </c>
      <c r="J1908" s="10">
        <v>2127.886</v>
      </c>
      <c r="K1908" s="10">
        <v>2127.886</v>
      </c>
      <c r="L1908" s="10">
        <v>2649.9879999999998</v>
      </c>
      <c r="M1908" s="10">
        <v>-22.567</v>
      </c>
      <c r="N1908" s="10">
        <v>-22.567</v>
      </c>
      <c r="O1908" s="10">
        <v>49.637999999999998</v>
      </c>
      <c r="P1908" s="15" t="s">
        <v>10071</v>
      </c>
      <c r="Q1908" s="15" t="s">
        <v>10071</v>
      </c>
      <c r="R1908" s="10">
        <v>28</v>
      </c>
    </row>
    <row r="1909" spans="1:18" ht="17" customHeight="1" x14ac:dyDescent="0.15">
      <c r="A1909" s="11" t="s">
        <v>10158</v>
      </c>
      <c r="B1909" s="1" t="s">
        <v>10159</v>
      </c>
      <c r="C1909" s="11" t="s">
        <v>10160</v>
      </c>
      <c r="D1909" s="11" t="s">
        <v>10160</v>
      </c>
      <c r="E1909" s="11" t="s">
        <v>10161</v>
      </c>
      <c r="F1909" s="11" t="s">
        <v>10054</v>
      </c>
      <c r="G1909" s="11" t="s">
        <v>10092</v>
      </c>
      <c r="H1909" s="11" t="s">
        <v>10093</v>
      </c>
      <c r="I1909" s="11" t="str">
        <f>HYPERLINK("http://www.maglificioloredana.com/","http://www.maglificioloredana.com")</f>
        <v>http://www.maglificioloredana.com</v>
      </c>
      <c r="J1909" s="12">
        <v>2761.817</v>
      </c>
      <c r="K1909" s="12">
        <v>2761.817</v>
      </c>
      <c r="L1909" s="13">
        <v>2647.3339999999998</v>
      </c>
      <c r="M1909" s="12">
        <v>180.65</v>
      </c>
      <c r="N1909" s="12">
        <v>180.65</v>
      </c>
      <c r="O1909" s="12">
        <v>300.72300000000001</v>
      </c>
      <c r="P1909" s="12">
        <v>34</v>
      </c>
      <c r="Q1909" s="12">
        <v>34</v>
      </c>
      <c r="R1909" s="12">
        <v>28</v>
      </c>
    </row>
    <row r="1910" spans="1:18" ht="17" customHeight="1" x14ac:dyDescent="0.15">
      <c r="A1910" s="8" t="s">
        <v>10162</v>
      </c>
      <c r="B1910" s="9" t="s">
        <v>10163</v>
      </c>
      <c r="C1910" s="8" t="s">
        <v>10164</v>
      </c>
      <c r="D1910" s="8" t="s">
        <v>10164</v>
      </c>
      <c r="E1910" s="8" t="s">
        <v>10165</v>
      </c>
      <c r="F1910" s="8" t="s">
        <v>10133</v>
      </c>
      <c r="G1910" s="8" t="s">
        <v>10166</v>
      </c>
      <c r="H1910" s="8" t="s">
        <v>10049</v>
      </c>
      <c r="I1910" s="8" t="str">
        <f>HYPERLINK("http://www.selorgroup.com/","www.selorgroup.com")</f>
        <v>www.selorgroup.com</v>
      </c>
      <c r="J1910" s="10">
        <v>2136.2069999999999</v>
      </c>
      <c r="K1910" s="10">
        <v>2136.2069999999999</v>
      </c>
      <c r="L1910" s="10">
        <v>2644.607</v>
      </c>
      <c r="M1910" s="10">
        <v>9.9350000000000005</v>
      </c>
      <c r="N1910" s="10">
        <v>9.9350000000000005</v>
      </c>
      <c r="O1910" s="10">
        <v>178.51499999999999</v>
      </c>
      <c r="P1910" s="10">
        <v>9</v>
      </c>
      <c r="Q1910" s="10">
        <v>9</v>
      </c>
      <c r="R1910" s="10">
        <v>11</v>
      </c>
    </row>
    <row r="1911" spans="1:18" ht="17" customHeight="1" x14ac:dyDescent="0.15">
      <c r="A1911" s="11" t="s">
        <v>10167</v>
      </c>
      <c r="B1911" s="1" t="s">
        <v>10168</v>
      </c>
      <c r="C1911" s="11" t="s">
        <v>10169</v>
      </c>
      <c r="D1911" s="11" t="s">
        <v>10169</v>
      </c>
      <c r="E1911" s="11" t="s">
        <v>10170</v>
      </c>
      <c r="F1911" s="11" t="s">
        <v>10076</v>
      </c>
      <c r="G1911" s="11" t="s">
        <v>10127</v>
      </c>
      <c r="H1911" s="11" t="s">
        <v>10128</v>
      </c>
      <c r="I1911" s="11" t="str">
        <f>HYPERLINK("http://www.keyup.it/","www.keyup.it")</f>
        <v>www.keyup.it</v>
      </c>
      <c r="J1911" s="12">
        <v>2757.2109999999998</v>
      </c>
      <c r="K1911" s="12">
        <v>2757.2109999999998</v>
      </c>
      <c r="L1911" s="13">
        <v>2639.2310000000002</v>
      </c>
      <c r="M1911" s="12">
        <v>236.255</v>
      </c>
      <c r="N1911" s="12">
        <v>236.255</v>
      </c>
      <c r="O1911" s="12">
        <v>275.35599999999999</v>
      </c>
      <c r="P1911" s="12">
        <v>8</v>
      </c>
      <c r="Q1911" s="12">
        <v>8</v>
      </c>
      <c r="R1911" s="12">
        <v>10</v>
      </c>
    </row>
    <row r="1912" spans="1:18" ht="17" customHeight="1" x14ac:dyDescent="0.15">
      <c r="A1912" s="8" t="s">
        <v>10171</v>
      </c>
      <c r="B1912" s="9" t="s">
        <v>10172</v>
      </c>
      <c r="C1912" s="8" t="s">
        <v>10173</v>
      </c>
      <c r="D1912" s="8" t="s">
        <v>10173</v>
      </c>
      <c r="E1912" s="8" t="s">
        <v>10174</v>
      </c>
      <c r="F1912" s="8" t="s">
        <v>10133</v>
      </c>
      <c r="G1912" s="8" t="s">
        <v>10175</v>
      </c>
      <c r="H1912" s="8" t="s">
        <v>10128</v>
      </c>
      <c r="I1912" s="8" t="str">
        <f>HYPERLINK("http://www.loristella.it/","www.loristella.it")</f>
        <v>www.loristella.it</v>
      </c>
      <c r="J1912" s="10">
        <v>2639.9459999999999</v>
      </c>
      <c r="K1912" s="10">
        <v>2639.9459999999999</v>
      </c>
      <c r="L1912" s="10">
        <v>2635.9369999999999</v>
      </c>
      <c r="M1912" s="10">
        <v>131.905</v>
      </c>
      <c r="N1912" s="10">
        <v>131.905</v>
      </c>
      <c r="O1912" s="10">
        <v>153.369</v>
      </c>
      <c r="P1912" s="10">
        <v>9</v>
      </c>
      <c r="Q1912" s="10">
        <v>9</v>
      </c>
      <c r="R1912" s="10">
        <v>8</v>
      </c>
    </row>
    <row r="1913" spans="1:18" ht="17" customHeight="1" x14ac:dyDescent="0.15">
      <c r="A1913" s="11" t="s">
        <v>10176</v>
      </c>
      <c r="B1913" s="1" t="s">
        <v>10177</v>
      </c>
      <c r="C1913" s="11" t="s">
        <v>10178</v>
      </c>
      <c r="D1913" s="11" t="s">
        <v>10179</v>
      </c>
      <c r="E1913" s="11" t="s">
        <v>10180</v>
      </c>
      <c r="F1913" s="11" t="s">
        <v>10126</v>
      </c>
      <c r="G1913" s="11" t="s">
        <v>10181</v>
      </c>
      <c r="H1913" s="11" t="s">
        <v>10056</v>
      </c>
      <c r="I1913" s="11" t="str">
        <f>HYPERLINK("http://www.tutal.it/","www.tutal.it")</f>
        <v>www.tutal.it</v>
      </c>
      <c r="J1913" s="12">
        <v>3085.732</v>
      </c>
      <c r="K1913" s="12">
        <v>3085.732</v>
      </c>
      <c r="L1913" s="13">
        <v>2634.232</v>
      </c>
      <c r="M1913" s="12">
        <v>212.083</v>
      </c>
      <c r="N1913" s="12">
        <v>212.083</v>
      </c>
      <c r="O1913" s="12">
        <v>28.547999999999998</v>
      </c>
      <c r="P1913" s="12">
        <v>9</v>
      </c>
      <c r="Q1913" s="12">
        <v>9</v>
      </c>
      <c r="R1913" s="12">
        <v>7</v>
      </c>
    </row>
    <row r="1914" spans="1:18" ht="17" customHeight="1" x14ac:dyDescent="0.15">
      <c r="A1914" s="8" t="s">
        <v>10182</v>
      </c>
      <c r="B1914" s="9" t="s">
        <v>10183</v>
      </c>
      <c r="C1914" s="8" t="s">
        <v>10184</v>
      </c>
      <c r="D1914" s="8" t="s">
        <v>10184</v>
      </c>
      <c r="E1914" s="8" t="s">
        <v>10185</v>
      </c>
      <c r="F1914" s="8" t="s">
        <v>10068</v>
      </c>
      <c r="G1914" s="8" t="s">
        <v>10082</v>
      </c>
      <c r="H1914" s="8" t="s">
        <v>10063</v>
      </c>
      <c r="I1914" s="8" t="str">
        <f>HYPERLINK("http://conceriailgabbiano.com/","conceriailgabbiano.com")</f>
        <v>conceriailgabbiano.com</v>
      </c>
      <c r="J1914" s="10">
        <v>2908.6219999999998</v>
      </c>
      <c r="K1914" s="10">
        <v>2908.6219999999998</v>
      </c>
      <c r="L1914" s="10">
        <v>2631.8960000000002</v>
      </c>
      <c r="M1914" s="10">
        <v>35.658999999999999</v>
      </c>
      <c r="N1914" s="10">
        <v>35.658999999999999</v>
      </c>
      <c r="O1914" s="10">
        <v>-493.44099999999997</v>
      </c>
      <c r="P1914" s="10">
        <v>16</v>
      </c>
      <c r="Q1914" s="10">
        <v>16</v>
      </c>
      <c r="R1914" s="10">
        <v>14</v>
      </c>
    </row>
    <row r="1915" spans="1:18" ht="17" customHeight="1" x14ac:dyDescent="0.15">
      <c r="A1915" s="11" t="s">
        <v>10186</v>
      </c>
      <c r="B1915" s="1" t="s">
        <v>10187</v>
      </c>
      <c r="C1915" s="11" t="s">
        <v>10188</v>
      </c>
      <c r="D1915" s="11" t="s">
        <v>10188</v>
      </c>
      <c r="E1915" s="11" t="s">
        <v>10189</v>
      </c>
      <c r="F1915" s="11" t="s">
        <v>10190</v>
      </c>
      <c r="G1915" s="11" t="s">
        <v>10110</v>
      </c>
      <c r="H1915" s="11" t="s">
        <v>10056</v>
      </c>
      <c r="I1915" s="11" t="str">
        <f>HYPERLINK("http://www.valcuvia.it/","www.valcuvia.it")</f>
        <v>www.valcuvia.it</v>
      </c>
      <c r="J1915" s="12">
        <v>2386.7840000000001</v>
      </c>
      <c r="K1915" s="12">
        <v>2386.7840000000001</v>
      </c>
      <c r="L1915" s="13">
        <v>2626.9520000000002</v>
      </c>
      <c r="M1915" s="12">
        <v>-106.32299999999999</v>
      </c>
      <c r="N1915" s="12">
        <v>-106.32299999999999</v>
      </c>
      <c r="O1915" s="12">
        <v>-120.818</v>
      </c>
      <c r="P1915" s="12">
        <v>21</v>
      </c>
      <c r="Q1915" s="12">
        <v>21</v>
      </c>
      <c r="R1915" s="12">
        <v>23</v>
      </c>
    </row>
    <row r="1916" spans="1:18" ht="17" customHeight="1" x14ac:dyDescent="0.15">
      <c r="A1916" s="8" t="s">
        <v>10191</v>
      </c>
      <c r="B1916" s="9" t="s">
        <v>10192</v>
      </c>
      <c r="C1916" s="8" t="s">
        <v>10193</v>
      </c>
      <c r="D1916" s="8" t="s">
        <v>10193</v>
      </c>
      <c r="E1916" s="8" t="s">
        <v>10194</v>
      </c>
      <c r="F1916" s="8" t="s">
        <v>10190</v>
      </c>
      <c r="G1916" s="8" t="s">
        <v>10175</v>
      </c>
      <c r="H1916" s="8" t="s">
        <v>10128</v>
      </c>
      <c r="I1916" s="8" t="str">
        <f>HYPERLINK("http://www.cftsrl.com/","www.cftsrl.com")</f>
        <v>www.cftsrl.com</v>
      </c>
      <c r="J1916" s="10">
        <v>2211.027</v>
      </c>
      <c r="K1916" s="10">
        <v>2211.027</v>
      </c>
      <c r="L1916" s="10">
        <v>2626.0479999999998</v>
      </c>
      <c r="M1916" s="10">
        <v>230.89099999999999</v>
      </c>
      <c r="N1916" s="10">
        <v>230.89099999999999</v>
      </c>
      <c r="O1916" s="10">
        <v>49.563000000000002</v>
      </c>
      <c r="P1916" s="10">
        <v>11</v>
      </c>
      <c r="Q1916" s="10">
        <v>11</v>
      </c>
      <c r="R1916" s="10">
        <v>10</v>
      </c>
    </row>
    <row r="1917" spans="1:18" ht="17" customHeight="1" x14ac:dyDescent="0.15">
      <c r="A1917" s="11" t="s">
        <v>10195</v>
      </c>
      <c r="B1917" s="1" t="s">
        <v>10196</v>
      </c>
      <c r="C1917" s="11" t="s">
        <v>10197</v>
      </c>
      <c r="D1917" s="11" t="s">
        <v>10197</v>
      </c>
      <c r="E1917" s="11" t="s">
        <v>10198</v>
      </c>
      <c r="F1917" s="11" t="s">
        <v>10047</v>
      </c>
      <c r="G1917" s="11" t="s">
        <v>10121</v>
      </c>
      <c r="H1917" s="11" t="s">
        <v>10063</v>
      </c>
      <c r="I1917" s="11" t="str">
        <f>HYPERLINK("http://www.dibeatrice.com/","www.dibeatrice.com")</f>
        <v>www.dibeatrice.com</v>
      </c>
      <c r="J1917" s="12">
        <v>2863.502</v>
      </c>
      <c r="K1917" s="12">
        <v>2863.502</v>
      </c>
      <c r="L1917" s="13">
        <v>2625.6210000000001</v>
      </c>
      <c r="M1917" s="12">
        <v>40.594999999999999</v>
      </c>
      <c r="N1917" s="12">
        <v>40.594999999999999</v>
      </c>
      <c r="O1917" s="12">
        <v>28.716999999999999</v>
      </c>
      <c r="P1917" s="14" t="s">
        <v>10071</v>
      </c>
      <c r="Q1917" s="14" t="s">
        <v>10071</v>
      </c>
      <c r="R1917" s="12">
        <v>17</v>
      </c>
    </row>
    <row r="1918" spans="1:18" ht="17" customHeight="1" x14ac:dyDescent="0.15">
      <c r="A1918" s="8" t="s">
        <v>10199</v>
      </c>
      <c r="B1918" s="9" t="s">
        <v>10200</v>
      </c>
      <c r="C1918" s="8" t="s">
        <v>10201</v>
      </c>
      <c r="D1918" s="8" t="s">
        <v>10201</v>
      </c>
      <c r="E1918" s="8" t="s">
        <v>10202</v>
      </c>
      <c r="F1918" s="8" t="s">
        <v>10047</v>
      </c>
      <c r="G1918" s="8" t="s">
        <v>10203</v>
      </c>
      <c r="H1918" s="8" t="s">
        <v>10204</v>
      </c>
      <c r="I1918" s="8" t="str">
        <f>HYPERLINK("http://www.calzaturificionoe.it/","www.calzaturificionoe.it")</f>
        <v>www.calzaturificionoe.it</v>
      </c>
      <c r="J1918" s="10">
        <v>2636.2139999999999</v>
      </c>
      <c r="K1918" s="10">
        <v>2636.2139999999999</v>
      </c>
      <c r="L1918" s="10">
        <v>2623.029</v>
      </c>
      <c r="M1918" s="10">
        <v>-64.382999999999996</v>
      </c>
      <c r="N1918" s="10">
        <v>-64.382999999999996</v>
      </c>
      <c r="O1918" s="10">
        <v>150.029</v>
      </c>
      <c r="P1918" s="10">
        <v>20</v>
      </c>
      <c r="Q1918" s="10">
        <v>20</v>
      </c>
      <c r="R1918" s="10">
        <v>17</v>
      </c>
    </row>
    <row r="1919" spans="1:18" ht="17" customHeight="1" x14ac:dyDescent="0.15">
      <c r="A1919" s="11" t="s">
        <v>10205</v>
      </c>
      <c r="B1919" s="1" t="s">
        <v>10206</v>
      </c>
      <c r="C1919" s="11" t="s">
        <v>10207</v>
      </c>
      <c r="D1919" s="11" t="s">
        <v>10207</v>
      </c>
      <c r="E1919" s="11" t="s">
        <v>10208</v>
      </c>
      <c r="F1919" s="11" t="s">
        <v>10152</v>
      </c>
      <c r="G1919" s="11" t="s">
        <v>10153</v>
      </c>
      <c r="H1919" s="11" t="s">
        <v>10056</v>
      </c>
      <c r="I1919" s="11" t="str">
        <f>HYPERLINK("http://www.gold-line.it/","http://www.gold-line.it")</f>
        <v>http://www.gold-line.it</v>
      </c>
      <c r="J1919" s="12">
        <v>2884.3620000000001</v>
      </c>
      <c r="K1919" s="12">
        <v>2884.3620000000001</v>
      </c>
      <c r="L1919" s="13">
        <v>2618.143</v>
      </c>
      <c r="M1919" s="12">
        <v>184.37299999999999</v>
      </c>
      <c r="N1919" s="12">
        <v>184.37299999999999</v>
      </c>
      <c r="O1919" s="12">
        <v>21.274999999999999</v>
      </c>
      <c r="P1919" s="12">
        <v>12</v>
      </c>
      <c r="Q1919" s="12">
        <v>12</v>
      </c>
      <c r="R1919" s="12">
        <v>11</v>
      </c>
    </row>
    <row r="1920" spans="1:18" ht="29.5" customHeight="1" x14ac:dyDescent="0.15">
      <c r="A1920" s="8" t="s">
        <v>10209</v>
      </c>
      <c r="B1920" s="9" t="s">
        <v>10210</v>
      </c>
      <c r="C1920" s="8" t="s">
        <v>10211</v>
      </c>
      <c r="D1920" s="8" t="s">
        <v>10211</v>
      </c>
      <c r="E1920" s="8" t="s">
        <v>10212</v>
      </c>
      <c r="F1920" s="8" t="s">
        <v>10213</v>
      </c>
      <c r="G1920" s="8" t="s">
        <v>10110</v>
      </c>
      <c r="H1920" s="8" t="s">
        <v>10056</v>
      </c>
      <c r="I1920" s="8" t="str">
        <f>HYPERLINK("http://www.nuovavaresepellicce.it/","www.nuovavaresepellicce.it")</f>
        <v>www.nuovavaresepellicce.it</v>
      </c>
      <c r="J1920" s="10">
        <v>3102.2939999999999</v>
      </c>
      <c r="K1920" s="10">
        <v>3102.2939999999999</v>
      </c>
      <c r="L1920" s="10">
        <v>2617.183</v>
      </c>
      <c r="M1920" s="10">
        <v>132.24299999999999</v>
      </c>
      <c r="N1920" s="10">
        <v>132.24299999999999</v>
      </c>
      <c r="O1920" s="10">
        <v>104.59099999999999</v>
      </c>
      <c r="P1920" s="10">
        <v>15</v>
      </c>
      <c r="Q1920" s="10">
        <v>15</v>
      </c>
      <c r="R1920" s="10">
        <v>16</v>
      </c>
    </row>
    <row r="1921" spans="1:18" ht="17" customHeight="1" x14ac:dyDescent="0.15">
      <c r="A1921" s="11" t="s">
        <v>10214</v>
      </c>
      <c r="B1921" s="1" t="s">
        <v>10215</v>
      </c>
      <c r="C1921" s="11" t="s">
        <v>10216</v>
      </c>
      <c r="D1921" s="11" t="s">
        <v>10216</v>
      </c>
      <c r="E1921" s="11" t="s">
        <v>10217</v>
      </c>
      <c r="F1921" s="11" t="s">
        <v>10218</v>
      </c>
      <c r="G1921" s="11" t="s">
        <v>10219</v>
      </c>
      <c r="H1921" s="11" t="s">
        <v>10220</v>
      </c>
      <c r="I1921" s="11" t="str">
        <f>HYPERLINK("http://www.argonsette.it/","www.argonsette.it")</f>
        <v>www.argonsette.it</v>
      </c>
      <c r="J1921" s="12">
        <v>2648.7739999999999</v>
      </c>
      <c r="K1921" s="12">
        <v>2648.7739999999999</v>
      </c>
      <c r="L1921" s="13">
        <v>2617.2370000000001</v>
      </c>
      <c r="M1921" s="12">
        <v>129.06800000000001</v>
      </c>
      <c r="N1921" s="12">
        <v>129.06800000000001</v>
      </c>
      <c r="O1921" s="12">
        <v>113.316</v>
      </c>
      <c r="P1921" s="12">
        <v>10</v>
      </c>
      <c r="Q1921" s="12">
        <v>10</v>
      </c>
      <c r="R1921" s="12">
        <v>10</v>
      </c>
    </row>
    <row r="1922" spans="1:18" ht="17" customHeight="1" x14ac:dyDescent="0.15">
      <c r="A1922" s="8" t="s">
        <v>10221</v>
      </c>
      <c r="B1922" s="9" t="s">
        <v>10222</v>
      </c>
      <c r="C1922" s="8" t="s">
        <v>10223</v>
      </c>
      <c r="D1922" s="8" t="s">
        <v>10223</v>
      </c>
      <c r="E1922" s="8" t="s">
        <v>10224</v>
      </c>
      <c r="F1922" s="8" t="s">
        <v>10225</v>
      </c>
      <c r="G1922" s="8" t="s">
        <v>10226</v>
      </c>
      <c r="H1922" s="8" t="s">
        <v>10227</v>
      </c>
      <c r="I1922" s="8" t="str">
        <f>HYPERLINK("http://www.romi-ho.it/","www.romi-ho.it")</f>
        <v>www.romi-ho.it</v>
      </c>
      <c r="J1922" s="10">
        <v>2813.6410000000001</v>
      </c>
      <c r="K1922" s="10">
        <v>2813.6410000000001</v>
      </c>
      <c r="L1922" s="10">
        <v>2616.98</v>
      </c>
      <c r="M1922" s="10">
        <v>119.29600000000001</v>
      </c>
      <c r="N1922" s="10">
        <v>119.29600000000001</v>
      </c>
      <c r="O1922" s="10">
        <v>-392.71</v>
      </c>
      <c r="P1922" s="10">
        <v>9</v>
      </c>
      <c r="Q1922" s="10">
        <v>9</v>
      </c>
      <c r="R1922" s="10">
        <v>10</v>
      </c>
    </row>
    <row r="1923" spans="1:18" ht="17" customHeight="1" x14ac:dyDescent="0.15">
      <c r="A1923" s="11" t="s">
        <v>10228</v>
      </c>
      <c r="B1923" s="1" t="s">
        <v>10229</v>
      </c>
      <c r="C1923" s="11" t="s">
        <v>10230</v>
      </c>
      <c r="D1923" s="11" t="s">
        <v>10230</v>
      </c>
      <c r="E1923" s="11" t="s">
        <v>10231</v>
      </c>
      <c r="F1923" s="11" t="s">
        <v>10232</v>
      </c>
      <c r="G1923" s="11" t="s">
        <v>10233</v>
      </c>
      <c r="H1923" s="11" t="s">
        <v>10234</v>
      </c>
      <c r="I1923" s="11" t="str">
        <f>HYPERLINK("http://www.sabshoes.it/","www.sabshoes.it")</f>
        <v>www.sabshoes.it</v>
      </c>
      <c r="J1923" s="12">
        <v>1926.046</v>
      </c>
      <c r="K1923" s="12">
        <v>1926.046</v>
      </c>
      <c r="L1923" s="13">
        <v>2615.6320000000001</v>
      </c>
      <c r="M1923" s="12">
        <v>-42.133000000000003</v>
      </c>
      <c r="N1923" s="12">
        <v>-42.133000000000003</v>
      </c>
      <c r="O1923" s="12">
        <v>2.7080000000000002</v>
      </c>
      <c r="P1923" s="14" t="s">
        <v>10235</v>
      </c>
      <c r="Q1923" s="14" t="s">
        <v>10235</v>
      </c>
      <c r="R1923" s="12">
        <v>10</v>
      </c>
    </row>
    <row r="1924" spans="1:18" ht="29.5" customHeight="1" x14ac:dyDescent="0.15">
      <c r="A1924" s="8" t="s">
        <v>10236</v>
      </c>
      <c r="B1924" s="9" t="s">
        <v>10237</v>
      </c>
      <c r="C1924" s="8" t="s">
        <v>10238</v>
      </c>
      <c r="D1924" s="8" t="s">
        <v>10238</v>
      </c>
      <c r="E1924" s="8" t="s">
        <v>10239</v>
      </c>
      <c r="F1924" s="8" t="s">
        <v>10218</v>
      </c>
      <c r="G1924" s="8" t="s">
        <v>10240</v>
      </c>
      <c r="H1924" s="8" t="s">
        <v>10241</v>
      </c>
      <c r="I1924" s="8" t="str">
        <f>HYPERLINK("http://www.gadjek.com/","www.gadjek.com")</f>
        <v>www.gadjek.com</v>
      </c>
      <c r="J1924" s="10">
        <v>2375.3159999999998</v>
      </c>
      <c r="K1924" s="10">
        <v>2375.3159999999998</v>
      </c>
      <c r="L1924" s="10">
        <v>2612.8519999999999</v>
      </c>
      <c r="M1924" s="10">
        <v>29.568000000000001</v>
      </c>
      <c r="N1924" s="10">
        <v>29.568000000000001</v>
      </c>
      <c r="O1924" s="10">
        <v>36.402999999999999</v>
      </c>
      <c r="P1924" s="15" t="s">
        <v>10235</v>
      </c>
      <c r="Q1924" s="15" t="s">
        <v>10235</v>
      </c>
      <c r="R1924" s="10">
        <v>6</v>
      </c>
    </row>
    <row r="1925" spans="1:18" ht="17" customHeight="1" x14ac:dyDescent="0.15">
      <c r="A1925" s="11" t="s">
        <v>10242</v>
      </c>
      <c r="B1925" s="1" t="s">
        <v>10243</v>
      </c>
      <c r="C1925" s="11" t="s">
        <v>10244</v>
      </c>
      <c r="D1925" s="11" t="s">
        <v>10244</v>
      </c>
      <c r="E1925" s="11" t="s">
        <v>10245</v>
      </c>
      <c r="F1925" s="11" t="s">
        <v>10246</v>
      </c>
      <c r="G1925" s="11" t="s">
        <v>10247</v>
      </c>
      <c r="H1925" s="11" t="s">
        <v>10248</v>
      </c>
      <c r="I1925" s="11" t="str">
        <f>HYPERLINK("http://www.superflexsrl.com/","www.superflexsrl.com")</f>
        <v>www.superflexsrl.com</v>
      </c>
      <c r="J1925" s="12">
        <v>2412.0430000000001</v>
      </c>
      <c r="K1925" s="12">
        <v>2412.0430000000001</v>
      </c>
      <c r="L1925" s="13">
        <v>2604.4690000000001</v>
      </c>
      <c r="M1925" s="12">
        <v>10.102</v>
      </c>
      <c r="N1925" s="12">
        <v>10.102</v>
      </c>
      <c r="O1925" s="12">
        <v>33.122999999999998</v>
      </c>
      <c r="P1925" s="12">
        <v>15</v>
      </c>
      <c r="Q1925" s="12">
        <v>15</v>
      </c>
      <c r="R1925" s="12">
        <v>15</v>
      </c>
    </row>
    <row r="1926" spans="1:18" ht="17" customHeight="1" x14ac:dyDescent="0.15">
      <c r="A1926" s="8" t="s">
        <v>10249</v>
      </c>
      <c r="B1926" s="9" t="s">
        <v>10250</v>
      </c>
      <c r="C1926" s="8" t="s">
        <v>10251</v>
      </c>
      <c r="D1926" s="8" t="s">
        <v>10251</v>
      </c>
      <c r="E1926" s="8" t="s">
        <v>10252</v>
      </c>
      <c r="F1926" s="8" t="s">
        <v>10253</v>
      </c>
      <c r="G1926" s="8" t="s">
        <v>10254</v>
      </c>
      <c r="H1926" s="8" t="s">
        <v>10234</v>
      </c>
      <c r="I1926" s="8" t="str">
        <f>HYPERLINK("http://www.claudiafirenze.com/","www.claudiafirenze.com")</f>
        <v>www.claudiafirenze.com</v>
      </c>
      <c r="J1926" s="10">
        <v>2359.9279999999999</v>
      </c>
      <c r="K1926" s="10">
        <v>2359.9279999999999</v>
      </c>
      <c r="L1926" s="10">
        <v>2601.9</v>
      </c>
      <c r="M1926" s="10">
        <v>-298.10599999999999</v>
      </c>
      <c r="N1926" s="10">
        <v>-298.10599999999999</v>
      </c>
      <c r="O1926" s="10">
        <v>-40.331000000000003</v>
      </c>
      <c r="P1926" s="15" t="s">
        <v>10235</v>
      </c>
      <c r="Q1926" s="15" t="s">
        <v>10235</v>
      </c>
      <c r="R1926" s="10">
        <v>13</v>
      </c>
    </row>
    <row r="1927" spans="1:18" ht="17" customHeight="1" x14ac:dyDescent="0.15">
      <c r="A1927" s="11" t="s">
        <v>10255</v>
      </c>
      <c r="B1927" s="1" t="s">
        <v>10256</v>
      </c>
      <c r="C1927" s="11" t="s">
        <v>10257</v>
      </c>
      <c r="D1927" s="11" t="s">
        <v>10257</v>
      </c>
      <c r="E1927" s="11" t="s">
        <v>10258</v>
      </c>
      <c r="F1927" s="11" t="s">
        <v>10259</v>
      </c>
      <c r="G1927" s="11" t="s">
        <v>10260</v>
      </c>
      <c r="H1927" s="11" t="s">
        <v>10261</v>
      </c>
      <c r="I1927" s="11" t="str">
        <f>HYPERLINK("http://www.pelletteriaveneta.com/","www.pelletteriaveneta.com")</f>
        <v>www.pelletteriaveneta.com</v>
      </c>
      <c r="J1927" s="12">
        <v>3310.1819999999998</v>
      </c>
      <c r="K1927" s="12">
        <v>3310.1819999999998</v>
      </c>
      <c r="L1927" s="13">
        <v>2597.7539999999999</v>
      </c>
      <c r="M1927" s="12">
        <v>-225.006</v>
      </c>
      <c r="N1927" s="12">
        <v>-225.006</v>
      </c>
      <c r="O1927" s="12">
        <v>63.338000000000001</v>
      </c>
      <c r="P1927" s="12">
        <v>18</v>
      </c>
      <c r="Q1927" s="12">
        <v>18</v>
      </c>
      <c r="R1927" s="12">
        <v>15</v>
      </c>
    </row>
    <row r="1928" spans="1:18" ht="17" customHeight="1" x14ac:dyDescent="0.15">
      <c r="A1928" s="8" t="s">
        <v>10262</v>
      </c>
      <c r="B1928" s="9" t="s">
        <v>10263</v>
      </c>
      <c r="C1928" s="8" t="s">
        <v>10264</v>
      </c>
      <c r="D1928" s="8" t="s">
        <v>10264</v>
      </c>
      <c r="E1928" s="8" t="s">
        <v>10265</v>
      </c>
      <c r="F1928" s="8" t="s">
        <v>10232</v>
      </c>
      <c r="G1928" s="8" t="s">
        <v>10266</v>
      </c>
      <c r="H1928" s="8" t="s">
        <v>10261</v>
      </c>
      <c r="I1928" s="8" t="str">
        <f>HYPERLINK("http://www.francotucci.com/","www.francotucci.com")</f>
        <v>www.francotucci.com</v>
      </c>
      <c r="J1928" s="10">
        <v>3138.4050000000002</v>
      </c>
      <c r="K1928" s="10">
        <v>3138.4050000000002</v>
      </c>
      <c r="L1928" s="10">
        <v>2593.5219999999999</v>
      </c>
      <c r="M1928" s="10">
        <v>22.623999999999999</v>
      </c>
      <c r="N1928" s="10">
        <v>22.623999999999999</v>
      </c>
      <c r="O1928" s="10">
        <v>46.69</v>
      </c>
      <c r="P1928" s="10">
        <v>16</v>
      </c>
      <c r="Q1928" s="10">
        <v>16</v>
      </c>
      <c r="R1928" s="10">
        <v>17</v>
      </c>
    </row>
    <row r="1929" spans="1:18" ht="17" customHeight="1" x14ac:dyDescent="0.15">
      <c r="A1929" s="11" t="s">
        <v>10267</v>
      </c>
      <c r="B1929" s="1" t="s">
        <v>10268</v>
      </c>
      <c r="C1929" s="11" t="s">
        <v>10269</v>
      </c>
      <c r="D1929" s="11" t="s">
        <v>10269</v>
      </c>
      <c r="E1929" s="11" t="s">
        <v>10270</v>
      </c>
      <c r="F1929" s="11" t="s">
        <v>10271</v>
      </c>
      <c r="G1929" s="11" t="s">
        <v>10247</v>
      </c>
      <c r="H1929" s="11" t="s">
        <v>10248</v>
      </c>
      <c r="I1929" s="11" t="str">
        <f>HYPERLINK("http://www.maglieriagemma.eu/","www.maglieriagemma.eu")</f>
        <v>www.maglieriagemma.eu</v>
      </c>
      <c r="J1929" s="12">
        <v>3118.819</v>
      </c>
      <c r="K1929" s="12">
        <v>3118.819</v>
      </c>
      <c r="L1929" s="13">
        <v>2591.3739999999998</v>
      </c>
      <c r="M1929" s="12">
        <v>428.84</v>
      </c>
      <c r="N1929" s="12">
        <v>428.84</v>
      </c>
      <c r="O1929" s="12">
        <v>14.59</v>
      </c>
      <c r="P1929" s="12">
        <v>38</v>
      </c>
      <c r="Q1929" s="12">
        <v>38</v>
      </c>
      <c r="R1929" s="12">
        <v>40</v>
      </c>
    </row>
    <row r="1930" spans="1:18" ht="17" customHeight="1" x14ac:dyDescent="0.15">
      <c r="A1930" s="8" t="s">
        <v>10272</v>
      </c>
      <c r="B1930" s="9" t="s">
        <v>10273</v>
      </c>
      <c r="C1930" s="8" t="s">
        <v>10274</v>
      </c>
      <c r="D1930" s="8" t="s">
        <v>10274</v>
      </c>
      <c r="E1930" s="8" t="s">
        <v>10275</v>
      </c>
      <c r="F1930" s="8" t="s">
        <v>10276</v>
      </c>
      <c r="G1930" s="8" t="s">
        <v>10277</v>
      </c>
      <c r="H1930" s="8" t="s">
        <v>10248</v>
      </c>
      <c r="I1930" s="8" t="str">
        <f>HYPERLINK("http://www.daritex.it/","http://www.daritex.it")</f>
        <v>http://www.daritex.it</v>
      </c>
      <c r="J1930" s="10">
        <v>2696.5129999999999</v>
      </c>
      <c r="K1930" s="10">
        <v>2696.5129999999999</v>
      </c>
      <c r="L1930" s="10">
        <v>2591.3449999999998</v>
      </c>
      <c r="M1930" s="10">
        <v>14.48</v>
      </c>
      <c r="N1930" s="10">
        <v>14.48</v>
      </c>
      <c r="O1930" s="10">
        <v>29.664000000000001</v>
      </c>
      <c r="P1930" s="10">
        <v>16</v>
      </c>
      <c r="Q1930" s="10">
        <v>16</v>
      </c>
      <c r="R1930" s="10">
        <v>15</v>
      </c>
    </row>
    <row r="1931" spans="1:18" ht="17" customHeight="1" x14ac:dyDescent="0.15">
      <c r="A1931" s="11" t="s">
        <v>10278</v>
      </c>
      <c r="B1931" s="1" t="s">
        <v>10279</v>
      </c>
      <c r="C1931" s="11" t="s">
        <v>10280</v>
      </c>
      <c r="D1931" s="11" t="s">
        <v>10280</v>
      </c>
      <c r="E1931" s="11" t="s">
        <v>10281</v>
      </c>
      <c r="F1931" s="11" t="s">
        <v>10282</v>
      </c>
      <c r="G1931" s="11" t="s">
        <v>10283</v>
      </c>
      <c r="H1931" s="11" t="s">
        <v>10261</v>
      </c>
      <c r="I1931" s="11" t="str">
        <f>HYPERLINK("http://www.doppiosensoofficial.com/","www.doppiosensoofficial.com")</f>
        <v>www.doppiosensoofficial.com</v>
      </c>
      <c r="J1931" s="12">
        <v>2648.4769999999999</v>
      </c>
      <c r="K1931" s="12">
        <v>2648.4769999999999</v>
      </c>
      <c r="L1931" s="13">
        <v>2585.732</v>
      </c>
      <c r="M1931" s="12">
        <v>34.545000000000002</v>
      </c>
      <c r="N1931" s="12">
        <v>34.545000000000002</v>
      </c>
      <c r="O1931" s="12">
        <v>34.667999999999999</v>
      </c>
      <c r="P1931" s="12">
        <v>13</v>
      </c>
      <c r="Q1931" s="12">
        <v>13</v>
      </c>
      <c r="R1931" s="12">
        <v>12</v>
      </c>
    </row>
    <row r="1932" spans="1:18" ht="17" customHeight="1" x14ac:dyDescent="0.15">
      <c r="A1932" s="8" t="s">
        <v>10284</v>
      </c>
      <c r="B1932" s="9" t="s">
        <v>10285</v>
      </c>
      <c r="C1932" s="8" t="s">
        <v>10286</v>
      </c>
      <c r="D1932" s="8" t="s">
        <v>10286</v>
      </c>
      <c r="E1932" s="8" t="s">
        <v>10287</v>
      </c>
      <c r="F1932" s="8" t="s">
        <v>10259</v>
      </c>
      <c r="G1932" s="8" t="s">
        <v>10254</v>
      </c>
      <c r="H1932" s="8" t="s">
        <v>10234</v>
      </c>
      <c r="I1932" s="8" t="str">
        <f>HYPERLINK("http://www.mbrc.it/","www.mbrc.it")</f>
        <v>www.mbrc.it</v>
      </c>
      <c r="J1932" s="10">
        <v>3304.0479999999998</v>
      </c>
      <c r="K1932" s="10">
        <v>3304.0479999999998</v>
      </c>
      <c r="L1932" s="10">
        <v>2584.203</v>
      </c>
      <c r="M1932" s="10">
        <v>128.69</v>
      </c>
      <c r="N1932" s="10">
        <v>128.69</v>
      </c>
      <c r="O1932" s="10">
        <v>116.209</v>
      </c>
      <c r="P1932" s="10">
        <v>6</v>
      </c>
      <c r="Q1932" s="10">
        <v>6</v>
      </c>
      <c r="R1932" s="10">
        <v>5</v>
      </c>
    </row>
    <row r="1933" spans="1:18" ht="17" customHeight="1" x14ac:dyDescent="0.15">
      <c r="A1933" s="11" t="s">
        <v>10288</v>
      </c>
      <c r="B1933" s="1" t="s">
        <v>10289</v>
      </c>
      <c r="C1933" s="11" t="s">
        <v>10290</v>
      </c>
      <c r="D1933" s="11" t="s">
        <v>10290</v>
      </c>
      <c r="E1933" s="11" t="s">
        <v>10291</v>
      </c>
      <c r="F1933" s="11" t="s">
        <v>10282</v>
      </c>
      <c r="G1933" s="11" t="s">
        <v>10292</v>
      </c>
      <c r="H1933" s="11" t="s">
        <v>10293</v>
      </c>
      <c r="I1933" s="11" t="str">
        <f>HYPERLINK("http://www.lafemmeabbigliamento.it/","www.lafemmeabbigliamento.it")</f>
        <v>www.lafemmeabbigliamento.it</v>
      </c>
      <c r="J1933" s="12">
        <v>2517.0650000000001</v>
      </c>
      <c r="K1933" s="12">
        <v>2517.0650000000001</v>
      </c>
      <c r="L1933" s="13">
        <v>2582.527</v>
      </c>
      <c r="M1933" s="12">
        <v>122.878</v>
      </c>
      <c r="N1933" s="12">
        <v>122.878</v>
      </c>
      <c r="O1933" s="12">
        <v>137.52600000000001</v>
      </c>
      <c r="P1933" s="12">
        <v>46</v>
      </c>
      <c r="Q1933" s="12">
        <v>46</v>
      </c>
      <c r="R1933" s="12">
        <v>50</v>
      </c>
    </row>
    <row r="1934" spans="1:18" ht="17" customHeight="1" x14ac:dyDescent="0.15">
      <c r="A1934" s="8" t="s">
        <v>10294</v>
      </c>
      <c r="B1934" s="9" t="s">
        <v>10295</v>
      </c>
      <c r="C1934" s="8" t="s">
        <v>10296</v>
      </c>
      <c r="D1934" s="8" t="s">
        <v>10296</v>
      </c>
      <c r="E1934" s="8" t="s">
        <v>10297</v>
      </c>
      <c r="F1934" s="8" t="s">
        <v>10271</v>
      </c>
      <c r="G1934" s="8" t="s">
        <v>10298</v>
      </c>
      <c r="H1934" s="8" t="s">
        <v>10299</v>
      </c>
      <c r="I1934" s="8" t="str">
        <f>HYPERLINK("http://www.roccoragni.it/","www.roccoragni.it")</f>
        <v>www.roccoragni.it</v>
      </c>
      <c r="J1934" s="10">
        <v>1728.095</v>
      </c>
      <c r="K1934" s="10">
        <v>1728.095</v>
      </c>
      <c r="L1934" s="10">
        <v>2581.6</v>
      </c>
      <c r="M1934" s="10">
        <v>14.811999999999999</v>
      </c>
      <c r="N1934" s="10">
        <v>14.811999999999999</v>
      </c>
      <c r="O1934" s="10">
        <v>41.027999999999999</v>
      </c>
      <c r="P1934" s="10">
        <v>15</v>
      </c>
      <c r="Q1934" s="10">
        <v>15</v>
      </c>
      <c r="R1934" s="10">
        <v>13</v>
      </c>
    </row>
    <row r="1935" spans="1:18" ht="17" customHeight="1" x14ac:dyDescent="0.15">
      <c r="A1935" s="11" t="s">
        <v>10300</v>
      </c>
      <c r="B1935" s="1" t="s">
        <v>10301</v>
      </c>
      <c r="C1935" s="11" t="s">
        <v>10302</v>
      </c>
      <c r="D1935" s="11" t="s">
        <v>10302</v>
      </c>
      <c r="E1935" s="11" t="s">
        <v>10303</v>
      </c>
      <c r="F1935" s="11" t="s">
        <v>10225</v>
      </c>
      <c r="G1935" s="11" t="s">
        <v>10304</v>
      </c>
      <c r="H1935" s="11" t="s">
        <v>10234</v>
      </c>
      <c r="I1935" s="11" t="str">
        <f>HYPERLINK("http://www.confezionipuleri.it/","www.confezionipuleri.it")</f>
        <v>www.confezionipuleri.it</v>
      </c>
      <c r="J1935" s="12">
        <v>2275.7460000000001</v>
      </c>
      <c r="K1935" s="12">
        <v>2275.7460000000001</v>
      </c>
      <c r="L1935" s="13">
        <v>2581.3670000000002</v>
      </c>
      <c r="M1935" s="12">
        <v>22.074999999999999</v>
      </c>
      <c r="N1935" s="12">
        <v>22.074999999999999</v>
      </c>
      <c r="O1935" s="12">
        <v>11.55</v>
      </c>
      <c r="P1935" s="14" t="s">
        <v>10235</v>
      </c>
      <c r="Q1935" s="14" t="s">
        <v>10235</v>
      </c>
      <c r="R1935" s="12">
        <v>16</v>
      </c>
    </row>
    <row r="1936" spans="1:18" ht="17" customHeight="1" x14ac:dyDescent="0.15">
      <c r="A1936" s="8" t="s">
        <v>10305</v>
      </c>
      <c r="B1936" s="9" t="s">
        <v>10306</v>
      </c>
      <c r="C1936" s="8" t="s">
        <v>10307</v>
      </c>
      <c r="D1936" s="8" t="s">
        <v>10307</v>
      </c>
      <c r="E1936" s="8" t="s">
        <v>10308</v>
      </c>
      <c r="F1936" s="8" t="s">
        <v>10309</v>
      </c>
      <c r="G1936" s="8" t="s">
        <v>10310</v>
      </c>
      <c r="H1936" s="8" t="s">
        <v>10248</v>
      </c>
      <c r="I1936" s="8" t="str">
        <f>HYPERLINK("http://www.marcoliani.it/","http://www.marcoliani.it")</f>
        <v>http://www.marcoliani.it</v>
      </c>
      <c r="J1936" s="10">
        <v>2663.8429999999998</v>
      </c>
      <c r="K1936" s="10">
        <v>2663.8429999999998</v>
      </c>
      <c r="L1936" s="10">
        <v>2580.078</v>
      </c>
      <c r="M1936" s="10">
        <v>94.837000000000003</v>
      </c>
      <c r="N1936" s="10">
        <v>94.837000000000003</v>
      </c>
      <c r="O1936" s="10">
        <v>-31.039000000000001</v>
      </c>
      <c r="P1936" s="10">
        <v>21</v>
      </c>
      <c r="Q1936" s="10">
        <v>21</v>
      </c>
      <c r="R1936" s="10">
        <v>18</v>
      </c>
    </row>
    <row r="1937" spans="1:18" ht="17" customHeight="1" x14ac:dyDescent="0.15">
      <c r="A1937" s="11" t="s">
        <v>10311</v>
      </c>
      <c r="B1937" s="1" t="s">
        <v>10312</v>
      </c>
      <c r="C1937" s="11" t="s">
        <v>10313</v>
      </c>
      <c r="D1937" s="11" t="s">
        <v>10313</v>
      </c>
      <c r="E1937" s="11" t="s">
        <v>10314</v>
      </c>
      <c r="F1937" s="11" t="s">
        <v>10225</v>
      </c>
      <c r="G1937" s="11" t="s">
        <v>10283</v>
      </c>
      <c r="H1937" s="11" t="s">
        <v>10261</v>
      </c>
      <c r="I1937" s="11" t="str">
        <f>HYPERLINK("http://www.sadal.it/","www.sadal.it")</f>
        <v>www.sadal.it</v>
      </c>
      <c r="J1937" s="12">
        <v>2437.1579999999999</v>
      </c>
      <c r="K1937" s="12">
        <v>2437.1579999999999</v>
      </c>
      <c r="L1937" s="13">
        <v>2580.0819999999999</v>
      </c>
      <c r="M1937" s="12">
        <v>58.451999999999998</v>
      </c>
      <c r="N1937" s="12">
        <v>58.451999999999998</v>
      </c>
      <c r="O1937" s="12">
        <v>15.534000000000001</v>
      </c>
      <c r="P1937" s="12">
        <v>15</v>
      </c>
      <c r="Q1937" s="12">
        <v>15</v>
      </c>
      <c r="R1937" s="12">
        <v>13</v>
      </c>
    </row>
    <row r="1938" spans="1:18" ht="17" customHeight="1" x14ac:dyDescent="0.15">
      <c r="A1938" s="8" t="s">
        <v>10315</v>
      </c>
      <c r="B1938" s="9" t="s">
        <v>10316</v>
      </c>
      <c r="C1938" s="8" t="s">
        <v>10317</v>
      </c>
      <c r="D1938" s="8" t="s">
        <v>10317</v>
      </c>
      <c r="E1938" s="8" t="s">
        <v>10318</v>
      </c>
      <c r="F1938" s="8" t="s">
        <v>10276</v>
      </c>
      <c r="G1938" s="8" t="s">
        <v>10319</v>
      </c>
      <c r="H1938" s="8" t="s">
        <v>10248</v>
      </c>
      <c r="I1938" s="8" t="str">
        <f>HYPERLINK("http://www.essezetaplisse.it/","www.essezetaplisse.it")</f>
        <v>www.essezetaplisse.it</v>
      </c>
      <c r="J1938" s="10">
        <v>1820.4159999999999</v>
      </c>
      <c r="K1938" s="10">
        <v>1820.4159999999999</v>
      </c>
      <c r="L1938" s="10">
        <v>2575.2289999999998</v>
      </c>
      <c r="M1938" s="10">
        <v>218.149</v>
      </c>
      <c r="N1938" s="10">
        <v>218.149</v>
      </c>
      <c r="O1938" s="10">
        <v>539.17100000000005</v>
      </c>
      <c r="P1938" s="10">
        <v>13</v>
      </c>
      <c r="Q1938" s="10">
        <v>13</v>
      </c>
      <c r="R1938" s="10">
        <v>15</v>
      </c>
    </row>
    <row r="1939" spans="1:18" ht="17" customHeight="1" x14ac:dyDescent="0.15">
      <c r="A1939" s="11" t="s">
        <v>10320</v>
      </c>
      <c r="B1939" s="1" t="s">
        <v>10321</v>
      </c>
      <c r="C1939" s="11" t="s">
        <v>10322</v>
      </c>
      <c r="D1939" s="11" t="s">
        <v>10322</v>
      </c>
      <c r="E1939" s="11" t="s">
        <v>10323</v>
      </c>
      <c r="F1939" s="11" t="s">
        <v>10232</v>
      </c>
      <c r="G1939" s="11" t="s">
        <v>10324</v>
      </c>
      <c r="H1939" s="11" t="s">
        <v>10293</v>
      </c>
      <c r="I1939" s="11" t="str">
        <f>HYPERLINK("http://etreshoes.it/","etreshoes.it")</f>
        <v>etreshoes.it</v>
      </c>
      <c r="J1939" s="12">
        <v>2962.2350000000001</v>
      </c>
      <c r="K1939" s="12">
        <v>2962.2350000000001</v>
      </c>
      <c r="L1939" s="13">
        <v>2573.1370000000002</v>
      </c>
      <c r="M1939" s="12">
        <v>5.9829999999999997</v>
      </c>
      <c r="N1939" s="12">
        <v>5.9829999999999997</v>
      </c>
      <c r="O1939" s="12">
        <v>3.0779999999999998</v>
      </c>
      <c r="P1939" s="14" t="s">
        <v>10235</v>
      </c>
      <c r="Q1939" s="14" t="s">
        <v>10235</v>
      </c>
      <c r="R1939" s="12">
        <v>27</v>
      </c>
    </row>
    <row r="1940" spans="1:18" ht="17" customHeight="1" x14ac:dyDescent="0.15">
      <c r="A1940" s="8" t="s">
        <v>10325</v>
      </c>
      <c r="B1940" s="9" t="s">
        <v>10326</v>
      </c>
      <c r="C1940" s="8" t="s">
        <v>10327</v>
      </c>
      <c r="D1940" s="8" t="s">
        <v>10327</v>
      </c>
      <c r="E1940" s="8" t="s">
        <v>10328</v>
      </c>
      <c r="F1940" s="8" t="s">
        <v>10329</v>
      </c>
      <c r="G1940" s="8" t="s">
        <v>10330</v>
      </c>
      <c r="H1940" s="8" t="s">
        <v>10331</v>
      </c>
      <c r="I1940" s="8" t="str">
        <f>HYPERLINK("http://www.nottimagicheitalia.it/","www.nottimagicheitalia.it")</f>
        <v>www.nottimagicheitalia.it</v>
      </c>
      <c r="J1940" s="10">
        <v>2499.44</v>
      </c>
      <c r="K1940" s="10">
        <v>2499.44</v>
      </c>
      <c r="L1940" s="10">
        <v>2570.7240000000002</v>
      </c>
      <c r="M1940" s="10">
        <v>83.751000000000005</v>
      </c>
      <c r="N1940" s="10">
        <v>83.751000000000005</v>
      </c>
      <c r="O1940" s="10">
        <v>403.14699999999999</v>
      </c>
      <c r="P1940" s="10">
        <v>41</v>
      </c>
      <c r="Q1940" s="10">
        <v>41</v>
      </c>
      <c r="R1940" s="10">
        <v>41</v>
      </c>
    </row>
    <row r="1941" spans="1:18" ht="29.5" customHeight="1" x14ac:dyDescent="0.15">
      <c r="A1941" s="11" t="s">
        <v>10332</v>
      </c>
      <c r="B1941" s="1" t="s">
        <v>10333</v>
      </c>
      <c r="C1941" s="11" t="s">
        <v>10334</v>
      </c>
      <c r="D1941" s="11" t="s">
        <v>10334</v>
      </c>
      <c r="E1941" s="11" t="s">
        <v>10335</v>
      </c>
      <c r="F1941" s="11" t="s">
        <v>10259</v>
      </c>
      <c r="G1941" s="11" t="s">
        <v>10304</v>
      </c>
      <c r="H1941" s="11" t="s">
        <v>10234</v>
      </c>
      <c r="I1941" s="11" t="str">
        <f>HYPERLINK("http://romy-pelletterie-srl-01819370519.quantofattura.com/","romy-pelletterie-srl-01819370519.quantofattura.com")</f>
        <v>romy-pelletterie-srl-01819370519.quantofattura.com</v>
      </c>
      <c r="J1941" s="12">
        <v>1636.154</v>
      </c>
      <c r="K1941" s="12">
        <v>1636.154</v>
      </c>
      <c r="L1941" s="13">
        <v>2562.3069999999998</v>
      </c>
      <c r="M1941" s="12">
        <v>6.6079999999999997</v>
      </c>
      <c r="N1941" s="12">
        <v>6.6079999999999997</v>
      </c>
      <c r="O1941" s="12">
        <v>54.454999999999998</v>
      </c>
      <c r="P1941" s="12">
        <v>17</v>
      </c>
      <c r="Q1941" s="12">
        <v>17</v>
      </c>
      <c r="R1941" s="12">
        <v>23</v>
      </c>
    </row>
    <row r="1942" spans="1:18" ht="17" customHeight="1" x14ac:dyDescent="0.15">
      <c r="A1942" s="8" t="s">
        <v>10336</v>
      </c>
      <c r="B1942" s="9" t="s">
        <v>10337</v>
      </c>
      <c r="C1942" s="8" t="s">
        <v>10338</v>
      </c>
      <c r="D1942" s="8" t="s">
        <v>10338</v>
      </c>
      <c r="E1942" s="8" t="s">
        <v>10339</v>
      </c>
      <c r="F1942" s="8" t="s">
        <v>10232</v>
      </c>
      <c r="G1942" s="8" t="s">
        <v>10340</v>
      </c>
      <c r="H1942" s="8" t="s">
        <v>10261</v>
      </c>
      <c r="I1942" s="8" t="str">
        <f>HYPERLINK("http://www.bihosmedical.it/","www.bihosmedical.it")</f>
        <v>www.bihosmedical.it</v>
      </c>
      <c r="J1942" s="10">
        <v>2323.0189999999998</v>
      </c>
      <c r="K1942" s="10">
        <v>2323.0189999999998</v>
      </c>
      <c r="L1942" s="10">
        <v>2560.5740000000001</v>
      </c>
      <c r="M1942" s="10">
        <v>129.02199999999999</v>
      </c>
      <c r="N1942" s="10">
        <v>129.02199999999999</v>
      </c>
      <c r="O1942" s="10">
        <v>80.707999999999998</v>
      </c>
      <c r="P1942" s="10">
        <v>10</v>
      </c>
      <c r="Q1942" s="10">
        <v>10</v>
      </c>
      <c r="R1942" s="10">
        <v>11</v>
      </c>
    </row>
    <row r="1943" spans="1:18" ht="17" customHeight="1" x14ac:dyDescent="0.15">
      <c r="A1943" s="11" t="s">
        <v>10341</v>
      </c>
      <c r="B1943" s="1" t="s">
        <v>10342</v>
      </c>
      <c r="C1943" s="11" t="s">
        <v>10343</v>
      </c>
      <c r="D1943" s="11" t="s">
        <v>10343</v>
      </c>
      <c r="E1943" s="11" t="s">
        <v>10344</v>
      </c>
      <c r="F1943" s="11" t="s">
        <v>10276</v>
      </c>
      <c r="G1943" s="11" t="s">
        <v>10277</v>
      </c>
      <c r="H1943" s="11" t="s">
        <v>10248</v>
      </c>
      <c r="I1943" s="11" t="str">
        <f>HYPERLINK("http://www.masconfezioni.it/","www.masconfezioni.it")</f>
        <v>www.masconfezioni.it</v>
      </c>
      <c r="J1943" s="12">
        <v>1988.7639999999999</v>
      </c>
      <c r="K1943" s="12">
        <v>2243.9859999999999</v>
      </c>
      <c r="L1943" s="13">
        <v>2559.4740000000002</v>
      </c>
      <c r="M1943" s="12">
        <v>350.173</v>
      </c>
      <c r="N1943" s="12">
        <v>383.73899999999998</v>
      </c>
      <c r="O1943" s="12">
        <v>381.178</v>
      </c>
      <c r="P1943" s="12">
        <v>15</v>
      </c>
      <c r="Q1943" s="12">
        <v>14</v>
      </c>
      <c r="R1943" s="12">
        <v>17</v>
      </c>
    </row>
    <row r="1944" spans="1:18" ht="17" customHeight="1" x14ac:dyDescent="0.15">
      <c r="A1944" s="8" t="s">
        <v>10345</v>
      </c>
      <c r="B1944" s="9" t="s">
        <v>10346</v>
      </c>
      <c r="C1944" s="8" t="s">
        <v>10347</v>
      </c>
      <c r="D1944" s="8" t="s">
        <v>10347</v>
      </c>
      <c r="E1944" s="8" t="s">
        <v>10348</v>
      </c>
      <c r="F1944" s="8" t="s">
        <v>10329</v>
      </c>
      <c r="G1944" s="8" t="s">
        <v>10226</v>
      </c>
      <c r="H1944" s="8" t="s">
        <v>10227</v>
      </c>
      <c r="I1944" s="8" t="str">
        <f>HYPERLINK("http://www.kissimobiancaluna.com/","www.kissimobiancaluna.com")</f>
        <v>www.kissimobiancaluna.com</v>
      </c>
      <c r="J1944" s="10">
        <v>2147.3649999999998</v>
      </c>
      <c r="K1944" s="10">
        <v>2147.3649999999998</v>
      </c>
      <c r="L1944" s="10">
        <v>2557.9789999999998</v>
      </c>
      <c r="M1944" s="10">
        <v>52.088000000000001</v>
      </c>
      <c r="N1944" s="10">
        <v>52.088000000000001</v>
      </c>
      <c r="O1944" s="10">
        <v>50.161000000000001</v>
      </c>
      <c r="P1944" s="15" t="s">
        <v>10235</v>
      </c>
      <c r="Q1944" s="15" t="s">
        <v>10235</v>
      </c>
      <c r="R1944" s="10">
        <v>5</v>
      </c>
    </row>
    <row r="1945" spans="1:18" ht="29.5" customHeight="1" x14ac:dyDescent="0.15">
      <c r="A1945" s="11" t="s">
        <v>10349</v>
      </c>
      <c r="B1945" s="1" t="s">
        <v>10350</v>
      </c>
      <c r="C1945" s="11" t="s">
        <v>10351</v>
      </c>
      <c r="D1945" s="11" t="s">
        <v>10351</v>
      </c>
      <c r="E1945" s="11" t="s">
        <v>10352</v>
      </c>
      <c r="F1945" s="11" t="s">
        <v>10353</v>
      </c>
      <c r="G1945" s="11" t="s">
        <v>10354</v>
      </c>
      <c r="H1945" s="11" t="s">
        <v>10261</v>
      </c>
      <c r="I1945" s="11" t="str">
        <f>HYPERLINK("http://www.bettegacondizionaturapelli.it/","www.bettegacondizionaturapelli.it")</f>
        <v>www.bettegacondizionaturapelli.it</v>
      </c>
      <c r="J1945" s="12">
        <v>2216.2220000000002</v>
      </c>
      <c r="K1945" s="12">
        <v>2216.2220000000002</v>
      </c>
      <c r="L1945" s="13">
        <v>2556.4050000000002</v>
      </c>
      <c r="M1945" s="12">
        <v>-318.04300000000001</v>
      </c>
      <c r="N1945" s="12">
        <v>-318.04300000000001</v>
      </c>
      <c r="O1945" s="12">
        <v>1.7270000000000001</v>
      </c>
      <c r="P1945" s="12">
        <v>41</v>
      </c>
      <c r="Q1945" s="12">
        <v>41</v>
      </c>
      <c r="R1945" s="12">
        <v>44</v>
      </c>
    </row>
    <row r="1946" spans="1:18" ht="29.5" customHeight="1" x14ac:dyDescent="0.15">
      <c r="A1946" s="8" t="s">
        <v>10355</v>
      </c>
      <c r="B1946" s="9" t="s">
        <v>10356</v>
      </c>
      <c r="C1946" s="8" t="s">
        <v>10357</v>
      </c>
      <c r="D1946" s="8" t="s">
        <v>10357</v>
      </c>
      <c r="E1946" s="8" t="s">
        <v>10358</v>
      </c>
      <c r="F1946" s="8" t="s">
        <v>10232</v>
      </c>
      <c r="G1946" s="8" t="s">
        <v>10324</v>
      </c>
      <c r="H1946" s="8" t="s">
        <v>10293</v>
      </c>
      <c r="I1946" s="8" t="str">
        <f>HYPERLINK("http://www.cinziavalle.com/","www.cinziavalle.com")</f>
        <v>www.cinziavalle.com</v>
      </c>
      <c r="J1946" s="10">
        <v>2026.893</v>
      </c>
      <c r="K1946" s="10">
        <v>2835.26</v>
      </c>
      <c r="L1946" s="10">
        <v>2551.232</v>
      </c>
      <c r="M1946" s="10">
        <v>48.177999999999997</v>
      </c>
      <c r="N1946" s="10">
        <v>18.875</v>
      </c>
      <c r="O1946" s="10">
        <v>-48.679000000000002</v>
      </c>
      <c r="P1946" s="10">
        <v>14</v>
      </c>
      <c r="Q1946" s="10">
        <v>14</v>
      </c>
      <c r="R1946" s="10">
        <v>14</v>
      </c>
    </row>
    <row r="1947" spans="1:18" ht="17" customHeight="1" x14ac:dyDescent="0.15">
      <c r="A1947" s="11" t="s">
        <v>10359</v>
      </c>
      <c r="B1947" s="1" t="s">
        <v>10360</v>
      </c>
      <c r="C1947" s="11" t="s">
        <v>10361</v>
      </c>
      <c r="D1947" s="11" t="s">
        <v>10361</v>
      </c>
      <c r="E1947" s="11" t="s">
        <v>10362</v>
      </c>
      <c r="F1947" s="11" t="s">
        <v>10232</v>
      </c>
      <c r="G1947" s="11" t="s">
        <v>10363</v>
      </c>
      <c r="H1947" s="11" t="s">
        <v>10293</v>
      </c>
      <c r="I1947" s="11" t="str">
        <f>HYPERLINK("http://www.bvmshoes.it/","http://www.bvmshoes.it")</f>
        <v>http://www.bvmshoes.it</v>
      </c>
      <c r="J1947" s="12">
        <v>2501.5149999999999</v>
      </c>
      <c r="K1947" s="12">
        <v>2501.5149999999999</v>
      </c>
      <c r="L1947" s="13">
        <v>2547.0169999999998</v>
      </c>
      <c r="M1947" s="12">
        <v>0.72799999999999998</v>
      </c>
      <c r="N1947" s="12">
        <v>0.72799999999999998</v>
      </c>
      <c r="O1947" s="12">
        <v>11.872</v>
      </c>
      <c r="P1947" s="14" t="s">
        <v>10235</v>
      </c>
      <c r="Q1947" s="14" t="s">
        <v>10235</v>
      </c>
      <c r="R1947" s="12">
        <v>25</v>
      </c>
    </row>
    <row r="1948" spans="1:18" ht="17" customHeight="1" x14ac:dyDescent="0.15">
      <c r="A1948" s="8" t="s">
        <v>10364</v>
      </c>
      <c r="B1948" s="9" t="s">
        <v>10365</v>
      </c>
      <c r="C1948" s="8" t="s">
        <v>10366</v>
      </c>
      <c r="D1948" s="8" t="s">
        <v>10366</v>
      </c>
      <c r="E1948" s="8" t="s">
        <v>10367</v>
      </c>
      <c r="F1948" s="8" t="s">
        <v>10225</v>
      </c>
      <c r="G1948" s="8" t="s">
        <v>10368</v>
      </c>
      <c r="H1948" s="8" t="s">
        <v>10369</v>
      </c>
      <c r="I1948" s="8" t="str">
        <f>HYPERLINK("http://www.justmine.it/","www.justmine.it")</f>
        <v>www.justmine.it</v>
      </c>
      <c r="J1948" s="10">
        <v>3384.386</v>
      </c>
      <c r="K1948" s="10">
        <v>3384.386</v>
      </c>
      <c r="L1948" s="10">
        <v>2544.4740000000002</v>
      </c>
      <c r="M1948" s="10">
        <v>76.426000000000002</v>
      </c>
      <c r="N1948" s="10">
        <v>76.426000000000002</v>
      </c>
      <c r="O1948" s="10">
        <v>77.608000000000004</v>
      </c>
      <c r="P1948" s="10">
        <v>10</v>
      </c>
      <c r="Q1948" s="10">
        <v>10</v>
      </c>
      <c r="R1948" s="10">
        <v>8</v>
      </c>
    </row>
    <row r="1949" spans="1:18" ht="17" customHeight="1" x14ac:dyDescent="0.15">
      <c r="A1949" s="11" t="s">
        <v>10370</v>
      </c>
      <c r="B1949" s="1" t="s">
        <v>10371</v>
      </c>
      <c r="C1949" s="11" t="s">
        <v>10372</v>
      </c>
      <c r="D1949" s="11" t="s">
        <v>10372</v>
      </c>
      <c r="E1949" s="11" t="s">
        <v>10373</v>
      </c>
      <c r="F1949" s="11" t="s">
        <v>10232</v>
      </c>
      <c r="G1949" s="11" t="s">
        <v>10374</v>
      </c>
      <c r="H1949" s="11" t="s">
        <v>10234</v>
      </c>
      <c r="I1949" s="11" t="str">
        <f>HYPERLINK("http://www.leatherluxury.it/","www.leatherluxury.it")</f>
        <v>www.leatherluxury.it</v>
      </c>
      <c r="J1949" s="12">
        <v>3202.8449999999998</v>
      </c>
      <c r="K1949" s="12">
        <v>3202.8449999999998</v>
      </c>
      <c r="L1949" s="13">
        <v>2543.3870000000002</v>
      </c>
      <c r="M1949" s="12">
        <v>56.997</v>
      </c>
      <c r="N1949" s="12">
        <v>56.997</v>
      </c>
      <c r="O1949" s="12">
        <v>44.487000000000002</v>
      </c>
      <c r="P1949" s="12">
        <v>6</v>
      </c>
      <c r="Q1949" s="12">
        <v>6</v>
      </c>
      <c r="R1949" s="12">
        <v>6</v>
      </c>
    </row>
    <row r="1950" spans="1:18" ht="17" customHeight="1" x14ac:dyDescent="0.15">
      <c r="A1950" s="8" t="s">
        <v>10375</v>
      </c>
      <c r="B1950" s="9" t="s">
        <v>10376</v>
      </c>
      <c r="C1950" s="8" t="s">
        <v>10377</v>
      </c>
      <c r="D1950" s="8" t="s">
        <v>10377</v>
      </c>
      <c r="E1950" s="8" t="s">
        <v>10378</v>
      </c>
      <c r="F1950" s="8" t="s">
        <v>10379</v>
      </c>
      <c r="G1950" s="8" t="s">
        <v>10380</v>
      </c>
      <c r="H1950" s="8" t="s">
        <v>10241</v>
      </c>
      <c r="I1950" s="8" t="str">
        <f>HYPERLINK("http://www.edelinacastano.it/","www.edelinacastano.it")</f>
        <v>www.edelinacastano.it</v>
      </c>
      <c r="J1950" s="10">
        <v>2865.7829999999999</v>
      </c>
      <c r="K1950" s="10">
        <v>2865.7829999999999</v>
      </c>
      <c r="L1950" s="10">
        <v>2542.8069999999998</v>
      </c>
      <c r="M1950" s="10">
        <v>380.964</v>
      </c>
      <c r="N1950" s="10">
        <v>380.964</v>
      </c>
      <c r="O1950" s="10">
        <v>387.10199999999998</v>
      </c>
      <c r="P1950" s="10">
        <v>13</v>
      </c>
      <c r="Q1950" s="10">
        <v>13</v>
      </c>
      <c r="R1950" s="10">
        <v>21</v>
      </c>
    </row>
    <row r="1951" spans="1:18" ht="17" customHeight="1" x14ac:dyDescent="0.15">
      <c r="A1951" s="11" t="s">
        <v>10381</v>
      </c>
      <c r="B1951" s="1" t="s">
        <v>10382</v>
      </c>
      <c r="C1951" s="11" t="s">
        <v>10383</v>
      </c>
      <c r="D1951" s="11" t="s">
        <v>10383</v>
      </c>
      <c r="E1951" s="11" t="s">
        <v>10384</v>
      </c>
      <c r="F1951" s="11" t="s">
        <v>10225</v>
      </c>
      <c r="G1951" s="11" t="s">
        <v>10304</v>
      </c>
      <c r="H1951" s="11" t="s">
        <v>10234</v>
      </c>
      <c r="I1951" s="11" t="str">
        <f>HYPERLINK("http://www.dc69.it/","www.dc69.it")</f>
        <v>www.dc69.it</v>
      </c>
      <c r="J1951" s="12">
        <v>4059.6970000000001</v>
      </c>
      <c r="K1951" s="12">
        <v>4059.6970000000001</v>
      </c>
      <c r="L1951" s="13">
        <v>2534.3980000000001</v>
      </c>
      <c r="M1951" s="12">
        <v>350.23</v>
      </c>
      <c r="N1951" s="12">
        <v>350.23</v>
      </c>
      <c r="O1951" s="12">
        <v>169.01900000000001</v>
      </c>
      <c r="P1951" s="12">
        <v>65</v>
      </c>
      <c r="Q1951" s="12">
        <v>65</v>
      </c>
      <c r="R1951" s="12">
        <v>23</v>
      </c>
    </row>
    <row r="1952" spans="1:18" ht="17" customHeight="1" x14ac:dyDescent="0.15">
      <c r="A1952" s="8" t="s">
        <v>10385</v>
      </c>
      <c r="B1952" s="9" t="s">
        <v>10386</v>
      </c>
      <c r="C1952" s="8" t="s">
        <v>10387</v>
      </c>
      <c r="D1952" s="8" t="s">
        <v>10387</v>
      </c>
      <c r="E1952" s="8" t="s">
        <v>10388</v>
      </c>
      <c r="F1952" s="8" t="s">
        <v>10309</v>
      </c>
      <c r="G1952" s="8" t="s">
        <v>10389</v>
      </c>
      <c r="H1952" s="8" t="s">
        <v>10390</v>
      </c>
      <c r="I1952" s="8" t="str">
        <f>HYPERLINK("http://www.azzanocalze.it/","www.azzanocalze.it")</f>
        <v>www.azzanocalze.it</v>
      </c>
      <c r="J1952" s="10">
        <v>2290.123</v>
      </c>
      <c r="K1952" s="10">
        <v>2290.123</v>
      </c>
      <c r="L1952" s="10">
        <v>2528.65</v>
      </c>
      <c r="M1952" s="10">
        <v>47.18</v>
      </c>
      <c r="N1952" s="10">
        <v>47.18</v>
      </c>
      <c r="O1952" s="10">
        <v>127.18</v>
      </c>
      <c r="P1952" s="10">
        <v>8</v>
      </c>
      <c r="Q1952" s="10">
        <v>8</v>
      </c>
      <c r="R1952" s="10">
        <v>9</v>
      </c>
    </row>
    <row r="1953" spans="1:18" ht="17" customHeight="1" x14ac:dyDescent="0.15">
      <c r="A1953" s="11" t="s">
        <v>10391</v>
      </c>
      <c r="B1953" s="1" t="s">
        <v>10392</v>
      </c>
      <c r="C1953" s="11" t="s">
        <v>10393</v>
      </c>
      <c r="D1953" s="11" t="s">
        <v>10393</v>
      </c>
      <c r="E1953" s="11" t="s">
        <v>10394</v>
      </c>
      <c r="F1953" s="11" t="s">
        <v>10395</v>
      </c>
      <c r="G1953" s="11" t="s">
        <v>10396</v>
      </c>
      <c r="H1953" s="11" t="s">
        <v>10397</v>
      </c>
      <c r="I1953" s="11" t="str">
        <f>HYPERLINK("http://www.sergiolevantesi.it/","www.sergiolevantesi.it")</f>
        <v>www.sergiolevantesi.it</v>
      </c>
      <c r="J1953" s="12">
        <v>2879.2179999999998</v>
      </c>
      <c r="K1953" s="12">
        <v>2879.2179999999998</v>
      </c>
      <c r="L1953" s="13">
        <v>2527.1260000000002</v>
      </c>
      <c r="M1953" s="12">
        <v>199.637</v>
      </c>
      <c r="N1953" s="12">
        <v>199.637</v>
      </c>
      <c r="O1953" s="12">
        <v>141.07400000000001</v>
      </c>
      <c r="P1953" s="12">
        <v>15</v>
      </c>
      <c r="Q1953" s="12">
        <v>15</v>
      </c>
      <c r="R1953" s="12">
        <v>13</v>
      </c>
    </row>
    <row r="1954" spans="1:18" ht="29.5" customHeight="1" x14ac:dyDescent="0.15">
      <c r="A1954" s="8" t="s">
        <v>10398</v>
      </c>
      <c r="B1954" s="9" t="s">
        <v>10399</v>
      </c>
      <c r="C1954" s="8" t="s">
        <v>10400</v>
      </c>
      <c r="D1954" s="8" t="s">
        <v>10400</v>
      </c>
      <c r="E1954" s="8" t="s">
        <v>10401</v>
      </c>
      <c r="F1954" s="8" t="s">
        <v>10402</v>
      </c>
      <c r="G1954" s="8" t="s">
        <v>10403</v>
      </c>
      <c r="H1954" s="8" t="s">
        <v>10404</v>
      </c>
      <c r="I1954" s="8" t="str">
        <f>HYPERLINK("http://www.maglieriemontegrappa.com/","www.maglieriemontegrappa.com")</f>
        <v>www.maglieriemontegrappa.com</v>
      </c>
      <c r="J1954" s="10">
        <v>4075.0250000000001</v>
      </c>
      <c r="K1954" s="10">
        <v>4075.0250000000001</v>
      </c>
      <c r="L1954" s="10">
        <v>2524.5189999999998</v>
      </c>
      <c r="M1954" s="10">
        <v>99.361999999999995</v>
      </c>
      <c r="N1954" s="10">
        <v>99.361999999999995</v>
      </c>
      <c r="O1954" s="10">
        <v>-181.96199999999999</v>
      </c>
      <c r="P1954" s="10">
        <v>38</v>
      </c>
      <c r="Q1954" s="10">
        <v>38</v>
      </c>
      <c r="R1954" s="10">
        <v>33</v>
      </c>
    </row>
    <row r="1955" spans="1:18" ht="17" customHeight="1" x14ac:dyDescent="0.15">
      <c r="A1955" s="11" t="s">
        <v>10405</v>
      </c>
      <c r="B1955" s="1" t="s">
        <v>10406</v>
      </c>
      <c r="C1955" s="11" t="s">
        <v>10407</v>
      </c>
      <c r="D1955" s="11" t="s">
        <v>10407</v>
      </c>
      <c r="E1955" s="11" t="s">
        <v>10408</v>
      </c>
      <c r="F1955" s="11" t="s">
        <v>10409</v>
      </c>
      <c r="G1955" s="11" t="s">
        <v>10410</v>
      </c>
      <c r="H1955" s="11" t="s">
        <v>10411</v>
      </c>
      <c r="I1955" s="11" t="str">
        <f>HYPERLINK("http://italvenpelli.it/","italvenpelli.it")</f>
        <v>italvenpelli.it</v>
      </c>
      <c r="J1955" s="12">
        <v>3145.32</v>
      </c>
      <c r="K1955" s="12">
        <v>3145.32</v>
      </c>
      <c r="L1955" s="13">
        <v>2523.1030000000001</v>
      </c>
      <c r="M1955" s="12">
        <v>57.195</v>
      </c>
      <c r="N1955" s="12">
        <v>57.195</v>
      </c>
      <c r="O1955" s="12">
        <v>24.477</v>
      </c>
      <c r="P1955" s="12">
        <v>34</v>
      </c>
      <c r="Q1955" s="12">
        <v>34</v>
      </c>
      <c r="R1955" s="12">
        <v>29</v>
      </c>
    </row>
    <row r="1956" spans="1:18" ht="29.5" customHeight="1" x14ac:dyDescent="0.15">
      <c r="A1956" s="8" t="s">
        <v>10412</v>
      </c>
      <c r="B1956" s="9" t="s">
        <v>10413</v>
      </c>
      <c r="C1956" s="8" t="s">
        <v>10414</v>
      </c>
      <c r="D1956" s="8" t="s">
        <v>10414</v>
      </c>
      <c r="E1956" s="8" t="s">
        <v>10415</v>
      </c>
      <c r="F1956" s="8" t="s">
        <v>10416</v>
      </c>
      <c r="G1956" s="8" t="s">
        <v>10417</v>
      </c>
      <c r="H1956" s="8" t="s">
        <v>10404</v>
      </c>
      <c r="I1956" s="8" t="str">
        <f>HYPERLINK("http://www.lecalze.it/","www.lecalze.it")</f>
        <v>www.lecalze.it</v>
      </c>
      <c r="J1956" s="10">
        <v>2795.2289999999998</v>
      </c>
      <c r="K1956" s="10">
        <v>2795.2289999999998</v>
      </c>
      <c r="L1956" s="10">
        <v>2521.65</v>
      </c>
      <c r="M1956" s="10">
        <v>-51.838000000000001</v>
      </c>
      <c r="N1956" s="10">
        <v>-51.838000000000001</v>
      </c>
      <c r="O1956" s="10">
        <v>0.93700000000000006</v>
      </c>
      <c r="P1956" s="15" t="s">
        <v>10418</v>
      </c>
      <c r="Q1956" s="15" t="s">
        <v>10418</v>
      </c>
      <c r="R1956" s="10">
        <v>27</v>
      </c>
    </row>
    <row r="1957" spans="1:18" ht="17" customHeight="1" x14ac:dyDescent="0.15">
      <c r="A1957" s="11" t="s">
        <v>10419</v>
      </c>
      <c r="B1957" s="1" t="s">
        <v>10420</v>
      </c>
      <c r="C1957" s="11" t="s">
        <v>10421</v>
      </c>
      <c r="D1957" s="11" t="s">
        <v>10421</v>
      </c>
      <c r="E1957" s="11" t="s">
        <v>10422</v>
      </c>
      <c r="F1957" s="11" t="s">
        <v>10416</v>
      </c>
      <c r="G1957" s="11" t="s">
        <v>10423</v>
      </c>
      <c r="H1957" s="11" t="s">
        <v>10424</v>
      </c>
      <c r="I1957" s="11" t="str">
        <f>HYPERLINK("http://www.emycalze.it/","www.emycalze.it")</f>
        <v>www.emycalze.it</v>
      </c>
      <c r="J1957" s="12">
        <v>2942.9879999999998</v>
      </c>
      <c r="K1957" s="12">
        <v>2942.9879999999998</v>
      </c>
      <c r="L1957" s="13">
        <v>2521.0749999999998</v>
      </c>
      <c r="M1957" s="12">
        <v>362.50599999999997</v>
      </c>
      <c r="N1957" s="12">
        <v>362.50599999999997</v>
      </c>
      <c r="O1957" s="12">
        <v>82.29</v>
      </c>
      <c r="P1957" s="12">
        <v>11</v>
      </c>
      <c r="Q1957" s="12">
        <v>11</v>
      </c>
      <c r="R1957" s="12">
        <v>11</v>
      </c>
    </row>
    <row r="1958" spans="1:18" ht="17" customHeight="1" x14ac:dyDescent="0.15">
      <c r="A1958" s="8" t="s">
        <v>10425</v>
      </c>
      <c r="B1958" s="9" t="s">
        <v>10426</v>
      </c>
      <c r="C1958" s="8" t="s">
        <v>10427</v>
      </c>
      <c r="D1958" s="8" t="s">
        <v>10427</v>
      </c>
      <c r="E1958" s="8" t="s">
        <v>10428</v>
      </c>
      <c r="F1958" s="8" t="s">
        <v>10429</v>
      </c>
      <c r="G1958" s="8" t="s">
        <v>10430</v>
      </c>
      <c r="H1958" s="8" t="s">
        <v>10431</v>
      </c>
      <c r="I1958" s="8" t="str">
        <f>HYPERLINK("http://www.lafurlana.it/","www.lafurlana.it")</f>
        <v>www.lafurlana.it</v>
      </c>
      <c r="J1958" s="10">
        <v>2392.7840000000001</v>
      </c>
      <c r="K1958" s="10">
        <v>2392.7840000000001</v>
      </c>
      <c r="L1958" s="10">
        <v>2519.1289999999999</v>
      </c>
      <c r="M1958" s="10">
        <v>-8.3670000000000009</v>
      </c>
      <c r="N1958" s="10">
        <v>-8.3670000000000009</v>
      </c>
      <c r="O1958" s="10">
        <v>41.078000000000003</v>
      </c>
      <c r="P1958" s="10">
        <v>18</v>
      </c>
      <c r="Q1958" s="10">
        <v>18</v>
      </c>
      <c r="R1958" s="10">
        <v>18</v>
      </c>
    </row>
    <row r="1959" spans="1:18" ht="17" customHeight="1" x14ac:dyDescent="0.15">
      <c r="A1959" s="11" t="s">
        <v>10432</v>
      </c>
      <c r="B1959" s="1" t="s">
        <v>10433</v>
      </c>
      <c r="C1959" s="11" t="s">
        <v>10434</v>
      </c>
      <c r="D1959" s="11" t="s">
        <v>10434</v>
      </c>
      <c r="E1959" s="11" t="s">
        <v>10435</v>
      </c>
      <c r="F1959" s="11" t="s">
        <v>10395</v>
      </c>
      <c r="G1959" s="11" t="s">
        <v>10403</v>
      </c>
      <c r="H1959" s="11" t="s">
        <v>10404</v>
      </c>
      <c r="I1959" s="11" t="str">
        <f>HYPERLINK("http://www.goldfreedomsrl.com/","www.goldfreedomsrl.com")</f>
        <v>www.goldfreedomsrl.com</v>
      </c>
      <c r="J1959" s="12">
        <v>2448.5880000000002</v>
      </c>
      <c r="K1959" s="12">
        <v>2448.5880000000002</v>
      </c>
      <c r="L1959" s="13">
        <v>2509.0120000000002</v>
      </c>
      <c r="M1959" s="12">
        <v>-140.81399999999999</v>
      </c>
      <c r="N1959" s="12">
        <v>-140.81399999999999</v>
      </c>
      <c r="O1959" s="12">
        <v>0.81499999999999995</v>
      </c>
      <c r="P1959" s="12">
        <v>47</v>
      </c>
      <c r="Q1959" s="12">
        <v>47</v>
      </c>
      <c r="R1959" s="12">
        <v>35</v>
      </c>
    </row>
    <row r="1960" spans="1:18" ht="17" customHeight="1" x14ac:dyDescent="0.15">
      <c r="A1960" s="8" t="s">
        <v>10436</v>
      </c>
      <c r="B1960" s="9" t="s">
        <v>10437</v>
      </c>
      <c r="C1960" s="8" t="s">
        <v>10438</v>
      </c>
      <c r="D1960" s="8" t="s">
        <v>10438</v>
      </c>
      <c r="E1960" s="8" t="s">
        <v>10439</v>
      </c>
      <c r="F1960" s="8" t="s">
        <v>10440</v>
      </c>
      <c r="G1960" s="8" t="s">
        <v>10441</v>
      </c>
      <c r="H1960" s="8" t="s">
        <v>10404</v>
      </c>
      <c r="I1960" s="8" t="str">
        <f>HYPERLINK("http://www.maglificiovr.it/","http://www.maglificiovr.it")</f>
        <v>http://www.maglificiovr.it</v>
      </c>
      <c r="J1960" s="10">
        <v>2903.973</v>
      </c>
      <c r="K1960" s="10">
        <v>2903.973</v>
      </c>
      <c r="L1960" s="10">
        <v>2507.0659999999998</v>
      </c>
      <c r="M1960" s="10">
        <v>-303.09800000000001</v>
      </c>
      <c r="N1960" s="10">
        <v>-303.09800000000001</v>
      </c>
      <c r="O1960" s="10">
        <v>-246.24600000000001</v>
      </c>
      <c r="P1960" s="10">
        <v>17</v>
      </c>
      <c r="Q1960" s="10">
        <v>17</v>
      </c>
      <c r="R1960" s="10">
        <v>16</v>
      </c>
    </row>
    <row r="1961" spans="1:18" ht="17" customHeight="1" x14ac:dyDescent="0.15">
      <c r="A1961" s="11" t="s">
        <v>10442</v>
      </c>
      <c r="B1961" s="1" t="s">
        <v>10443</v>
      </c>
      <c r="C1961" s="11" t="s">
        <v>10444</v>
      </c>
      <c r="D1961" s="11" t="s">
        <v>10444</v>
      </c>
      <c r="E1961" s="11" t="s">
        <v>10445</v>
      </c>
      <c r="F1961" s="11" t="s">
        <v>10395</v>
      </c>
      <c r="G1961" s="11" t="s">
        <v>10446</v>
      </c>
      <c r="H1961" s="11" t="s">
        <v>10404</v>
      </c>
      <c r="I1961" s="11" t="str">
        <f>HYPERLINK("http://www.nipmar.it/","www.nipmar.it")</f>
        <v>www.nipmar.it</v>
      </c>
      <c r="J1961" s="12">
        <v>2586.4940000000001</v>
      </c>
      <c r="K1961" s="12">
        <v>2586.4940000000001</v>
      </c>
      <c r="L1961" s="13">
        <v>2506.94</v>
      </c>
      <c r="M1961" s="12">
        <v>11.506</v>
      </c>
      <c r="N1961" s="12">
        <v>11.506</v>
      </c>
      <c r="O1961" s="12">
        <v>25.446999999999999</v>
      </c>
      <c r="P1961" s="12">
        <v>34</v>
      </c>
      <c r="Q1961" s="12">
        <v>34</v>
      </c>
      <c r="R1961" s="12">
        <v>32</v>
      </c>
    </row>
    <row r="1962" spans="1:18" ht="29.5" customHeight="1" x14ac:dyDescent="0.15">
      <c r="A1962" s="8" t="s">
        <v>10447</v>
      </c>
      <c r="B1962" s="9" t="s">
        <v>10448</v>
      </c>
      <c r="C1962" s="8" t="s">
        <v>10449</v>
      </c>
      <c r="D1962" s="8" t="s">
        <v>10450</v>
      </c>
      <c r="E1962" s="8" t="s">
        <v>10451</v>
      </c>
      <c r="F1962" s="8" t="s">
        <v>10452</v>
      </c>
      <c r="G1962" s="8" t="s">
        <v>10453</v>
      </c>
      <c r="H1962" s="8" t="s">
        <v>10454</v>
      </c>
      <c r="I1962" s="8" t="str">
        <f>HYPERLINK("http://www.annamodecostumes.com/","www.annamodecostumes.com")</f>
        <v>www.annamodecostumes.com</v>
      </c>
      <c r="J1962" s="10">
        <v>2383.58</v>
      </c>
      <c r="K1962" s="10">
        <v>2383.58</v>
      </c>
      <c r="L1962" s="10">
        <v>2504.038</v>
      </c>
      <c r="M1962" s="10">
        <v>357.23599999999999</v>
      </c>
      <c r="N1962" s="10">
        <v>357.23599999999999</v>
      </c>
      <c r="O1962" s="10">
        <v>289.39</v>
      </c>
      <c r="P1962" s="15" t="s">
        <v>10418</v>
      </c>
      <c r="Q1962" s="15" t="s">
        <v>10418</v>
      </c>
      <c r="R1962" s="10">
        <v>16</v>
      </c>
    </row>
    <row r="1963" spans="1:18" ht="17" customHeight="1" x14ac:dyDescent="0.15">
      <c r="A1963" s="11" t="s">
        <v>10455</v>
      </c>
      <c r="B1963" s="1" t="s">
        <v>10456</v>
      </c>
      <c r="C1963" s="11" t="s">
        <v>10457</v>
      </c>
      <c r="D1963" s="11" t="s">
        <v>10457</v>
      </c>
      <c r="E1963" s="11" t="s">
        <v>10458</v>
      </c>
      <c r="F1963" s="11" t="s">
        <v>10459</v>
      </c>
      <c r="G1963" s="11" t="s">
        <v>10460</v>
      </c>
      <c r="H1963" s="11" t="s">
        <v>10411</v>
      </c>
      <c r="I1963" s="11" t="str">
        <f>HYPERLINK("http://baronefirenze.it/","baronefirenze.it")</f>
        <v>baronefirenze.it</v>
      </c>
      <c r="J1963" s="12">
        <v>3158.797</v>
      </c>
      <c r="K1963" s="12">
        <v>3158.797</v>
      </c>
      <c r="L1963" s="13">
        <v>2503.7510000000002</v>
      </c>
      <c r="M1963" s="12">
        <v>3.7010000000000001</v>
      </c>
      <c r="N1963" s="12">
        <v>3.7010000000000001</v>
      </c>
      <c r="O1963" s="12">
        <v>41.48</v>
      </c>
      <c r="P1963" s="12">
        <v>10</v>
      </c>
      <c r="Q1963" s="12">
        <v>10</v>
      </c>
      <c r="R1963" s="12">
        <v>10</v>
      </c>
    </row>
    <row r="1964" spans="1:18" ht="17" customHeight="1" x14ac:dyDescent="0.15">
      <c r="A1964" s="8" t="s">
        <v>10461</v>
      </c>
      <c r="B1964" s="9" t="s">
        <v>10462</v>
      </c>
      <c r="C1964" s="8" t="s">
        <v>10463</v>
      </c>
      <c r="D1964" s="8" t="s">
        <v>10463</v>
      </c>
      <c r="E1964" s="8" t="s">
        <v>10464</v>
      </c>
      <c r="F1964" s="8" t="s">
        <v>10465</v>
      </c>
      <c r="G1964" s="8" t="s">
        <v>10466</v>
      </c>
      <c r="H1964" s="8" t="s">
        <v>10467</v>
      </c>
      <c r="I1964" s="8" t="str">
        <f>HYPERLINK("http://www.abbigliamentopromozionale.it/","www.abbigliamentopromozionale.it")</f>
        <v>www.abbigliamentopromozionale.it</v>
      </c>
      <c r="J1964" s="10">
        <v>2953.7069999999999</v>
      </c>
      <c r="K1964" s="10">
        <v>2953.7069999999999</v>
      </c>
      <c r="L1964" s="10">
        <v>2501.0700000000002</v>
      </c>
      <c r="M1964" s="10">
        <v>265.875</v>
      </c>
      <c r="N1964" s="10">
        <v>265.875</v>
      </c>
      <c r="O1964" s="10">
        <v>84.915999999999997</v>
      </c>
      <c r="P1964" s="15" t="s">
        <v>10418</v>
      </c>
      <c r="Q1964" s="15" t="s">
        <v>10418</v>
      </c>
      <c r="R1964" s="10">
        <v>6</v>
      </c>
    </row>
    <row r="1965" spans="1:18" ht="29.5" customHeight="1" x14ac:dyDescent="0.15">
      <c r="A1965" s="11" t="s">
        <v>10468</v>
      </c>
      <c r="B1965" s="1" t="s">
        <v>10469</v>
      </c>
      <c r="C1965" s="11" t="s">
        <v>10470</v>
      </c>
      <c r="D1965" s="11" t="s">
        <v>10470</v>
      </c>
      <c r="E1965" s="11" t="s">
        <v>10471</v>
      </c>
      <c r="F1965" s="11" t="s">
        <v>10472</v>
      </c>
      <c r="G1965" s="11" t="s">
        <v>10473</v>
      </c>
      <c r="H1965" s="11" t="s">
        <v>10404</v>
      </c>
      <c r="I1965" s="11" t="str">
        <f>HYPERLINK("http://www.brokersrl.it/","www.brokersrl.it")</f>
        <v>www.brokersrl.it</v>
      </c>
      <c r="J1965" s="12">
        <v>2575.165</v>
      </c>
      <c r="K1965" s="12">
        <v>2575.165</v>
      </c>
      <c r="L1965" s="13">
        <v>2494.7950000000001</v>
      </c>
      <c r="M1965" s="12">
        <v>48.255000000000003</v>
      </c>
      <c r="N1965" s="12">
        <v>48.255000000000003</v>
      </c>
      <c r="O1965" s="12">
        <v>141.328</v>
      </c>
      <c r="P1965" s="14" t="s">
        <v>10418</v>
      </c>
      <c r="Q1965" s="14" t="s">
        <v>10418</v>
      </c>
      <c r="R1965" s="12">
        <v>18</v>
      </c>
    </row>
    <row r="1966" spans="1:18" ht="17" customHeight="1" x14ac:dyDescent="0.15">
      <c r="A1966" s="8" t="s">
        <v>10474</v>
      </c>
      <c r="B1966" s="9" t="s">
        <v>10475</v>
      </c>
      <c r="C1966" s="8" t="s">
        <v>10476</v>
      </c>
      <c r="D1966" s="8" t="s">
        <v>10477</v>
      </c>
      <c r="E1966" s="8" t="s">
        <v>10478</v>
      </c>
      <c r="F1966" s="8" t="s">
        <v>10409</v>
      </c>
      <c r="G1966" s="8" t="s">
        <v>10479</v>
      </c>
      <c r="H1966" s="8" t="s">
        <v>10480</v>
      </c>
      <c r="I1966" s="8" t="str">
        <f>HYPERLINK("http://www.conceriacotina.com/","www.conceriacotina.com")</f>
        <v>www.conceriacotina.com</v>
      </c>
      <c r="J1966" s="10">
        <v>1798.5650000000001</v>
      </c>
      <c r="K1966" s="10">
        <v>1798.5650000000001</v>
      </c>
      <c r="L1966" s="10">
        <v>2492.8449999999998</v>
      </c>
      <c r="M1966" s="10">
        <v>5.4119999999999999</v>
      </c>
      <c r="N1966" s="10">
        <v>5.4119999999999999</v>
      </c>
      <c r="O1966" s="10">
        <v>59.011000000000003</v>
      </c>
      <c r="P1966" s="10">
        <v>11</v>
      </c>
      <c r="Q1966" s="10">
        <v>11</v>
      </c>
      <c r="R1966" s="10">
        <v>13</v>
      </c>
    </row>
    <row r="1967" spans="1:18" ht="29.5" customHeight="1" x14ac:dyDescent="0.15">
      <c r="A1967" s="11" t="s">
        <v>10481</v>
      </c>
      <c r="B1967" s="1" t="s">
        <v>10482</v>
      </c>
      <c r="C1967" s="11" t="s">
        <v>10483</v>
      </c>
      <c r="D1967" s="11" t="s">
        <v>10483</v>
      </c>
      <c r="E1967" s="11" t="s">
        <v>10484</v>
      </c>
      <c r="F1967" s="11" t="s">
        <v>10395</v>
      </c>
      <c r="G1967" s="11" t="s">
        <v>10485</v>
      </c>
      <c r="H1967" s="11" t="s">
        <v>10480</v>
      </c>
      <c r="I1967" s="11" t="str">
        <f>HYPERLINK("http://www.confortshoes.it/","www.confortshoes.it")</f>
        <v>www.confortshoes.it</v>
      </c>
      <c r="J1967" s="12">
        <v>2946.6680000000001</v>
      </c>
      <c r="K1967" s="12">
        <v>2946.6680000000001</v>
      </c>
      <c r="L1967" s="13">
        <v>2492.1550000000002</v>
      </c>
      <c r="M1967" s="12">
        <v>25.459</v>
      </c>
      <c r="N1967" s="12">
        <v>25.459</v>
      </c>
      <c r="O1967" s="12">
        <v>143.51599999999999</v>
      </c>
      <c r="P1967" s="12">
        <v>58</v>
      </c>
      <c r="Q1967" s="12">
        <v>58</v>
      </c>
      <c r="R1967" s="12">
        <v>36</v>
      </c>
    </row>
    <row r="1968" spans="1:18" ht="29.5" customHeight="1" x14ac:dyDescent="0.15">
      <c r="A1968" s="8" t="s">
        <v>10486</v>
      </c>
      <c r="B1968" s="9" t="s">
        <v>10487</v>
      </c>
      <c r="C1968" s="8" t="s">
        <v>10488</v>
      </c>
      <c r="D1968" s="8" t="s">
        <v>10488</v>
      </c>
      <c r="E1968" s="8" t="s">
        <v>10489</v>
      </c>
      <c r="F1968" s="8" t="s">
        <v>10490</v>
      </c>
      <c r="G1968" s="8" t="s">
        <v>10491</v>
      </c>
      <c r="H1968" s="8" t="s">
        <v>10424</v>
      </c>
      <c r="I1968" s="8" t="str">
        <f>HYPERLINK("http://www.solettificiocompagnone.it/","www.solettificiocompagnone.it")</f>
        <v>www.solettificiocompagnone.it</v>
      </c>
      <c r="J1968" s="10">
        <v>1470.0150000000001</v>
      </c>
      <c r="K1968" s="10">
        <v>2726.9679999999998</v>
      </c>
      <c r="L1968" s="10">
        <v>2491.1579999999999</v>
      </c>
      <c r="M1968" s="10">
        <v>23.78</v>
      </c>
      <c r="N1968" s="10">
        <v>386.75099999999998</v>
      </c>
      <c r="O1968" s="10">
        <v>361.83300000000003</v>
      </c>
      <c r="P1968" s="10">
        <v>14</v>
      </c>
      <c r="Q1968" s="10">
        <v>15</v>
      </c>
      <c r="R1968" s="10">
        <v>14</v>
      </c>
    </row>
    <row r="1969" spans="1:18" ht="29.5" customHeight="1" x14ac:dyDescent="0.15">
      <c r="A1969" s="11" t="s">
        <v>10492</v>
      </c>
      <c r="B1969" s="1" t="s">
        <v>10493</v>
      </c>
      <c r="C1969" s="11" t="s">
        <v>10494</v>
      </c>
      <c r="D1969" s="11" t="s">
        <v>10494</v>
      </c>
      <c r="E1969" s="11" t="s">
        <v>10495</v>
      </c>
      <c r="F1969" s="11" t="s">
        <v>10429</v>
      </c>
      <c r="G1969" s="11" t="s">
        <v>10496</v>
      </c>
      <c r="H1969" s="11" t="s">
        <v>10497</v>
      </c>
      <c r="I1969" s="11" t="str">
        <f>HYPERLINK("http://klershirt.it/","klershirt.it")</f>
        <v>klershirt.it</v>
      </c>
      <c r="J1969" s="12">
        <v>2670.4270000000001</v>
      </c>
      <c r="K1969" s="12">
        <v>2670.4270000000001</v>
      </c>
      <c r="L1969" s="13">
        <v>2484.3420000000001</v>
      </c>
      <c r="M1969" s="12">
        <v>0.68500000000000005</v>
      </c>
      <c r="N1969" s="12">
        <v>0.68500000000000005</v>
      </c>
      <c r="O1969" s="12">
        <v>-6.1989999999999998</v>
      </c>
      <c r="P1969" s="12">
        <v>9</v>
      </c>
      <c r="Q1969" s="12">
        <v>9</v>
      </c>
      <c r="R1969" s="12">
        <v>9</v>
      </c>
    </row>
    <row r="1970" spans="1:18" ht="17" customHeight="1" x14ac:dyDescent="0.15">
      <c r="A1970" s="8" t="s">
        <v>10498</v>
      </c>
      <c r="B1970" s="9" t="s">
        <v>10499</v>
      </c>
      <c r="C1970" s="8" t="s">
        <v>10500</v>
      </c>
      <c r="D1970" s="8" t="s">
        <v>10500</v>
      </c>
      <c r="E1970" s="8" t="s">
        <v>10501</v>
      </c>
      <c r="F1970" s="8" t="s">
        <v>10502</v>
      </c>
      <c r="G1970" s="8" t="s">
        <v>10503</v>
      </c>
      <c r="H1970" s="8" t="s">
        <v>10424</v>
      </c>
      <c r="I1970" s="8" t="str">
        <f>HYPERLINK("http://www.andrearossimilano.it/","www.andrearossimilano.it")</f>
        <v>www.andrearossimilano.it</v>
      </c>
      <c r="J1970" s="10">
        <v>2251.933</v>
      </c>
      <c r="K1970" s="10">
        <v>2251.933</v>
      </c>
      <c r="L1970" s="10">
        <v>2483.875</v>
      </c>
      <c r="M1970" s="10">
        <v>380.47500000000002</v>
      </c>
      <c r="N1970" s="10">
        <v>380.47500000000002</v>
      </c>
      <c r="O1970" s="10">
        <v>359.06799999999998</v>
      </c>
      <c r="P1970" s="15" t="s">
        <v>10418</v>
      </c>
      <c r="Q1970" s="15" t="s">
        <v>10418</v>
      </c>
      <c r="R1970" s="10">
        <v>16</v>
      </c>
    </row>
    <row r="1971" spans="1:18" ht="17" customHeight="1" x14ac:dyDescent="0.15">
      <c r="A1971" s="11" t="s">
        <v>10504</v>
      </c>
      <c r="B1971" s="1" t="s">
        <v>10505</v>
      </c>
      <c r="C1971" s="11" t="s">
        <v>10506</v>
      </c>
      <c r="D1971" s="11" t="s">
        <v>10506</v>
      </c>
      <c r="E1971" s="11" t="s">
        <v>10507</v>
      </c>
      <c r="F1971" s="11" t="s">
        <v>10395</v>
      </c>
      <c r="G1971" s="11" t="s">
        <v>10508</v>
      </c>
      <c r="H1971" s="11" t="s">
        <v>10480</v>
      </c>
      <c r="I1971" s="11" t="str">
        <f>HYPERLINK("http://www.gramarshoes.it/","www.gramarshoes.it")</f>
        <v>www.gramarshoes.it</v>
      </c>
      <c r="J1971" s="12">
        <v>2681.4169999999999</v>
      </c>
      <c r="K1971" s="12">
        <v>2681.4169999999999</v>
      </c>
      <c r="L1971" s="13">
        <v>2479.3719999999998</v>
      </c>
      <c r="M1971" s="12">
        <v>108.753</v>
      </c>
      <c r="N1971" s="12">
        <v>108.753</v>
      </c>
      <c r="O1971" s="12">
        <v>42.482999999999997</v>
      </c>
      <c r="P1971" s="12">
        <v>23</v>
      </c>
      <c r="Q1971" s="12">
        <v>23</v>
      </c>
      <c r="R1971" s="12">
        <v>21</v>
      </c>
    </row>
    <row r="1972" spans="1:18" ht="17" customHeight="1" x14ac:dyDescent="0.15">
      <c r="A1972" s="8" t="s">
        <v>10509</v>
      </c>
      <c r="B1972" s="9" t="s">
        <v>10510</v>
      </c>
      <c r="C1972" s="8" t="s">
        <v>10511</v>
      </c>
      <c r="D1972" s="8" t="s">
        <v>10511</v>
      </c>
      <c r="E1972" s="8" t="s">
        <v>10512</v>
      </c>
      <c r="F1972" s="8" t="s">
        <v>10513</v>
      </c>
      <c r="G1972" s="8" t="s">
        <v>10417</v>
      </c>
      <c r="H1972" s="8" t="s">
        <v>10404</v>
      </c>
      <c r="I1972" s="8" t="str">
        <f>HYPERLINK("http://www.askosrl.com/","www.askosrl.com")</f>
        <v>www.askosrl.com</v>
      </c>
      <c r="J1972" s="10">
        <v>2484.8000000000002</v>
      </c>
      <c r="K1972" s="10">
        <v>2484.8000000000002</v>
      </c>
      <c r="L1972" s="10">
        <v>2478.0770000000002</v>
      </c>
      <c r="M1972" s="10">
        <v>9.6609999999999996</v>
      </c>
      <c r="N1972" s="10">
        <v>9.6609999999999996</v>
      </c>
      <c r="O1972" s="10">
        <v>40.188000000000002</v>
      </c>
      <c r="P1972" s="10">
        <v>8</v>
      </c>
      <c r="Q1972" s="10">
        <v>8</v>
      </c>
      <c r="R1972" s="10">
        <v>7</v>
      </c>
    </row>
    <row r="1973" spans="1:18" ht="17" customHeight="1" x14ac:dyDescent="0.15">
      <c r="A1973" s="11" t="s">
        <v>10514</v>
      </c>
      <c r="B1973" s="1" t="s">
        <v>10515</v>
      </c>
      <c r="C1973" s="11" t="s">
        <v>10516</v>
      </c>
      <c r="D1973" s="11" t="s">
        <v>10516</v>
      </c>
      <c r="E1973" s="11" t="s">
        <v>10517</v>
      </c>
      <c r="F1973" s="11" t="s">
        <v>10459</v>
      </c>
      <c r="G1973" s="11" t="s">
        <v>10518</v>
      </c>
      <c r="H1973" s="11" t="s">
        <v>10424</v>
      </c>
      <c r="I1973" s="11" t="str">
        <f>HYPERLINK("http://www.pierrestudio.it/","www.pierrestudio.it")</f>
        <v>www.pierrestudio.it</v>
      </c>
      <c r="J1973" s="12">
        <v>2719.308</v>
      </c>
      <c r="K1973" s="12">
        <v>2719.308</v>
      </c>
      <c r="L1973" s="13">
        <v>2475.54</v>
      </c>
      <c r="M1973" s="12">
        <v>285.09699999999998</v>
      </c>
      <c r="N1973" s="12">
        <v>285.09699999999998</v>
      </c>
      <c r="O1973" s="12">
        <v>208.815</v>
      </c>
      <c r="P1973" s="14" t="s">
        <v>10418</v>
      </c>
      <c r="Q1973" s="14" t="s">
        <v>10418</v>
      </c>
      <c r="R1973" s="12">
        <v>32</v>
      </c>
    </row>
    <row r="1974" spans="1:18" ht="17" customHeight="1" x14ac:dyDescent="0.15">
      <c r="A1974" s="8" t="s">
        <v>10519</v>
      </c>
      <c r="B1974" s="9" t="s">
        <v>10520</v>
      </c>
      <c r="C1974" s="8" t="s">
        <v>10521</v>
      </c>
      <c r="D1974" s="8" t="s">
        <v>10521</v>
      </c>
      <c r="E1974" s="8" t="s">
        <v>10522</v>
      </c>
      <c r="F1974" s="8" t="s">
        <v>10459</v>
      </c>
      <c r="G1974" s="8" t="s">
        <v>10518</v>
      </c>
      <c r="H1974" s="8" t="s">
        <v>10424</v>
      </c>
      <c r="I1974" s="8" t="str">
        <f>HYPERLINK("http://www.confstir.it/","www.confstir.it")</f>
        <v>www.confstir.it</v>
      </c>
      <c r="J1974" s="10">
        <v>2798.3020000000001</v>
      </c>
      <c r="K1974" s="10">
        <v>2798.3020000000001</v>
      </c>
      <c r="L1974" s="10">
        <v>2471.5569999999998</v>
      </c>
      <c r="M1974" s="10">
        <v>283.44499999999999</v>
      </c>
      <c r="N1974" s="10">
        <v>283.44499999999999</v>
      </c>
      <c r="O1974" s="10">
        <v>4.1609999999999996</v>
      </c>
      <c r="P1974" s="10">
        <v>12</v>
      </c>
      <c r="Q1974" s="10">
        <v>12</v>
      </c>
      <c r="R1974" s="10">
        <v>19</v>
      </c>
    </row>
    <row r="1975" spans="1:18" ht="17" customHeight="1" x14ac:dyDescent="0.15">
      <c r="A1975" s="11" t="s">
        <v>10523</v>
      </c>
      <c r="B1975" s="1" t="s">
        <v>10524</v>
      </c>
      <c r="C1975" s="11" t="s">
        <v>10525</v>
      </c>
      <c r="D1975" s="11" t="s">
        <v>10525</v>
      </c>
      <c r="E1975" s="11" t="s">
        <v>10526</v>
      </c>
      <c r="F1975" s="11" t="s">
        <v>10513</v>
      </c>
      <c r="G1975" s="11" t="s">
        <v>10527</v>
      </c>
      <c r="H1975" s="11" t="s">
        <v>10497</v>
      </c>
      <c r="I1975" s="11" t="str">
        <f>HYPERLINK("http://www.stiritalia.com/","www.stiritalia.com")</f>
        <v>www.stiritalia.com</v>
      </c>
      <c r="J1975" s="12">
        <v>4235.0990000000002</v>
      </c>
      <c r="K1975" s="12">
        <v>4235.0990000000002</v>
      </c>
      <c r="L1975" s="13">
        <v>2468.4070000000002</v>
      </c>
      <c r="M1975" s="12">
        <v>123.881</v>
      </c>
      <c r="N1975" s="12">
        <v>123.881</v>
      </c>
      <c r="O1975" s="12">
        <v>161.06100000000001</v>
      </c>
      <c r="P1975" s="12">
        <v>87</v>
      </c>
      <c r="Q1975" s="12">
        <v>87</v>
      </c>
      <c r="R1975" s="12">
        <v>66</v>
      </c>
    </row>
    <row r="1976" spans="1:18" ht="17" customHeight="1" x14ac:dyDescent="0.15">
      <c r="A1976" s="8" t="s">
        <v>10528</v>
      </c>
      <c r="B1976" s="9" t="s">
        <v>10529</v>
      </c>
      <c r="C1976" s="8" t="s">
        <v>10530</v>
      </c>
      <c r="D1976" s="8" t="s">
        <v>10530</v>
      </c>
      <c r="E1976" s="8" t="s">
        <v>10531</v>
      </c>
      <c r="F1976" s="8" t="s">
        <v>10416</v>
      </c>
      <c r="G1976" s="8" t="s">
        <v>10518</v>
      </c>
      <c r="H1976" s="8" t="s">
        <v>10424</v>
      </c>
      <c r="I1976" s="8" t="str">
        <f>HYPERLINK("http://www.xtechsport.it/","www.xtechsport.it")</f>
        <v>www.xtechsport.it</v>
      </c>
      <c r="J1976" s="10">
        <v>2328.5810000000001</v>
      </c>
      <c r="K1976" s="10">
        <v>2328.5810000000001</v>
      </c>
      <c r="L1976" s="10">
        <v>2463.3510000000001</v>
      </c>
      <c r="M1976" s="10">
        <v>255.904</v>
      </c>
      <c r="N1976" s="10">
        <v>255.904</v>
      </c>
      <c r="O1976" s="10">
        <v>199.37100000000001</v>
      </c>
      <c r="P1976" s="10">
        <v>4</v>
      </c>
      <c r="Q1976" s="10">
        <v>4</v>
      </c>
      <c r="R1976" s="10">
        <v>4</v>
      </c>
    </row>
    <row r="1977" spans="1:18" ht="29.5" customHeight="1" x14ac:dyDescent="0.15">
      <c r="A1977" s="11" t="s">
        <v>10532</v>
      </c>
      <c r="B1977" s="1" t="s">
        <v>10533</v>
      </c>
      <c r="C1977" s="11" t="s">
        <v>10534</v>
      </c>
      <c r="D1977" s="11" t="s">
        <v>10534</v>
      </c>
      <c r="E1977" s="11" t="s">
        <v>10535</v>
      </c>
      <c r="F1977" s="11" t="s">
        <v>10395</v>
      </c>
      <c r="G1977" s="11" t="s">
        <v>10441</v>
      </c>
      <c r="H1977" s="11" t="s">
        <v>10404</v>
      </c>
      <c r="I1977" s="11" t="str">
        <f>HYPERLINK("http://www.sergiograsso.it/","www.sergiograsso.it")</f>
        <v>www.sergiograsso.it</v>
      </c>
      <c r="J1977" s="12">
        <v>2227.4630000000002</v>
      </c>
      <c r="K1977" s="12">
        <v>2227.4630000000002</v>
      </c>
      <c r="L1977" s="13">
        <v>2461.0700000000002</v>
      </c>
      <c r="M1977" s="12">
        <v>13.157999999999999</v>
      </c>
      <c r="N1977" s="12">
        <v>13.157999999999999</v>
      </c>
      <c r="O1977" s="12">
        <v>165.22499999999999</v>
      </c>
      <c r="P1977" s="12">
        <v>17</v>
      </c>
      <c r="Q1977" s="12">
        <v>17</v>
      </c>
      <c r="R1977" s="12">
        <v>22</v>
      </c>
    </row>
    <row r="1978" spans="1:18" ht="17" customHeight="1" x14ac:dyDescent="0.15">
      <c r="A1978" s="8" t="s">
        <v>10536</v>
      </c>
      <c r="B1978" s="9" t="s">
        <v>10537</v>
      </c>
      <c r="C1978" s="8" t="s">
        <v>10538</v>
      </c>
      <c r="D1978" s="8" t="s">
        <v>10538</v>
      </c>
      <c r="E1978" s="8" t="s">
        <v>10539</v>
      </c>
      <c r="F1978" s="8" t="s">
        <v>10540</v>
      </c>
      <c r="G1978" s="8" t="s">
        <v>10541</v>
      </c>
      <c r="H1978" s="8" t="s">
        <v>10542</v>
      </c>
      <c r="I1978" s="8" t="str">
        <f>HYPERLINK("http://www.one-more.info/","www.one-more.info")</f>
        <v>www.one-more.info</v>
      </c>
      <c r="J1978" s="10">
        <v>2543.6080000000002</v>
      </c>
      <c r="K1978" s="10">
        <v>2543.6080000000002</v>
      </c>
      <c r="L1978" s="10">
        <v>2458.7359999999999</v>
      </c>
      <c r="M1978" s="10">
        <v>1.986</v>
      </c>
      <c r="N1978" s="10">
        <v>1.986</v>
      </c>
      <c r="O1978" s="10">
        <v>2.7810000000000001</v>
      </c>
      <c r="P1978" s="10">
        <v>4</v>
      </c>
      <c r="Q1978" s="10">
        <v>4</v>
      </c>
      <c r="R1978" s="10">
        <v>3</v>
      </c>
    </row>
    <row r="1979" spans="1:18" ht="29.5" customHeight="1" x14ac:dyDescent="0.15">
      <c r="A1979" s="11" t="s">
        <v>10543</v>
      </c>
      <c r="B1979" s="1" t="s">
        <v>10544</v>
      </c>
      <c r="C1979" s="11" t="s">
        <v>10545</v>
      </c>
      <c r="D1979" s="11" t="s">
        <v>10545</v>
      </c>
      <c r="E1979" s="11" t="s">
        <v>10546</v>
      </c>
      <c r="F1979" s="11" t="s">
        <v>10459</v>
      </c>
      <c r="G1979" s="11" t="s">
        <v>10547</v>
      </c>
      <c r="H1979" s="11" t="s">
        <v>10411</v>
      </c>
      <c r="I1979" s="11" t="str">
        <f>HYPERLINK("http://www.prontomodanewmelody.com/","www.prontomodanewmelody.com")</f>
        <v>www.prontomodanewmelody.com</v>
      </c>
      <c r="J1979" s="12">
        <v>3044.241</v>
      </c>
      <c r="K1979" s="12">
        <v>3044.241</v>
      </c>
      <c r="L1979" s="13">
        <v>2455.547</v>
      </c>
      <c r="M1979" s="12">
        <v>56.860999999999997</v>
      </c>
      <c r="N1979" s="12">
        <v>56.860999999999997</v>
      </c>
      <c r="O1979" s="12">
        <v>23.300999999999998</v>
      </c>
      <c r="P1979" s="12">
        <v>7</v>
      </c>
      <c r="Q1979" s="12">
        <v>7</v>
      </c>
      <c r="R1979" s="12">
        <v>11</v>
      </c>
    </row>
    <row r="1980" spans="1:18" ht="17" customHeight="1" x14ac:dyDescent="0.15">
      <c r="A1980" s="8" t="s">
        <v>10548</v>
      </c>
      <c r="B1980" s="9" t="s">
        <v>10549</v>
      </c>
      <c r="C1980" s="8" t="s">
        <v>10550</v>
      </c>
      <c r="D1980" s="8" t="s">
        <v>10550</v>
      </c>
      <c r="E1980" s="8" t="s">
        <v>10551</v>
      </c>
      <c r="F1980" s="8" t="s">
        <v>10402</v>
      </c>
      <c r="G1980" s="8" t="s">
        <v>10547</v>
      </c>
      <c r="H1980" s="8" t="s">
        <v>10411</v>
      </c>
      <c r="I1980" s="8" t="str">
        <f>HYPERLINK("http://www.dallepianecashmere.it/","www.dallepianecashmere.it")</f>
        <v>www.dallepianecashmere.it</v>
      </c>
      <c r="J1980" s="10">
        <v>2510.8380000000002</v>
      </c>
      <c r="K1980" s="10">
        <v>2510.8380000000002</v>
      </c>
      <c r="L1980" s="10">
        <v>2453.9870000000001</v>
      </c>
      <c r="M1980" s="10">
        <v>15.332000000000001</v>
      </c>
      <c r="N1980" s="10">
        <v>15.332000000000001</v>
      </c>
      <c r="O1980" s="10">
        <v>33.64</v>
      </c>
      <c r="P1980" s="10">
        <v>9</v>
      </c>
      <c r="Q1980" s="10">
        <v>9</v>
      </c>
      <c r="R1980" s="10">
        <v>9</v>
      </c>
    </row>
    <row r="1981" spans="1:18" ht="17" customHeight="1" x14ac:dyDescent="0.15">
      <c r="A1981" s="11" t="s">
        <v>10552</v>
      </c>
      <c r="B1981" s="1" t="s">
        <v>10553</v>
      </c>
      <c r="C1981" s="11" t="s">
        <v>10554</v>
      </c>
      <c r="D1981" s="11" t="s">
        <v>10554</v>
      </c>
      <c r="E1981" s="11" t="s">
        <v>10555</v>
      </c>
      <c r="F1981" s="11" t="s">
        <v>10395</v>
      </c>
      <c r="G1981" s="11" t="s">
        <v>10556</v>
      </c>
      <c r="H1981" s="11" t="s">
        <v>10424</v>
      </c>
      <c r="I1981" s="11" t="str">
        <f>HYPERLINK("http://www.pepechildrenshoes.com/","www.pepechildrenshoes.com")</f>
        <v>www.pepechildrenshoes.com</v>
      </c>
      <c r="J1981" s="12">
        <v>2378.4830000000002</v>
      </c>
      <c r="K1981" s="12">
        <v>2378.4830000000002</v>
      </c>
      <c r="L1981" s="13">
        <v>2453.328</v>
      </c>
      <c r="M1981" s="12">
        <v>180.42599999999999</v>
      </c>
      <c r="N1981" s="12">
        <v>180.42599999999999</v>
      </c>
      <c r="O1981" s="12">
        <v>181.81</v>
      </c>
      <c r="P1981" s="12">
        <v>14</v>
      </c>
      <c r="Q1981" s="12">
        <v>14</v>
      </c>
      <c r="R1981" s="12">
        <v>14</v>
      </c>
    </row>
    <row r="1982" spans="1:18" ht="17" customHeight="1" x14ac:dyDescent="0.15">
      <c r="A1982" s="8" t="s">
        <v>10557</v>
      </c>
      <c r="B1982" s="9" t="s">
        <v>10558</v>
      </c>
      <c r="C1982" s="8" t="s">
        <v>10559</v>
      </c>
      <c r="D1982" s="8" t="s">
        <v>10559</v>
      </c>
      <c r="E1982" s="8" t="s">
        <v>10560</v>
      </c>
      <c r="F1982" s="8" t="s">
        <v>10429</v>
      </c>
      <c r="G1982" s="8" t="s">
        <v>10403</v>
      </c>
      <c r="H1982" s="8" t="s">
        <v>10404</v>
      </c>
      <c r="I1982" s="8" t="str">
        <f>HYPERLINK("http://www.skintite.it/","www.skintite.it")</f>
        <v>www.skintite.it</v>
      </c>
      <c r="J1982" s="10">
        <v>1150.269</v>
      </c>
      <c r="K1982" s="10">
        <v>1150.269</v>
      </c>
      <c r="L1982" s="10">
        <v>2451.6909999999998</v>
      </c>
      <c r="M1982" s="10">
        <v>178.82900000000001</v>
      </c>
      <c r="N1982" s="10">
        <v>178.82900000000001</v>
      </c>
      <c r="O1982" s="10">
        <v>688.88900000000001</v>
      </c>
      <c r="P1982" s="15" t="s">
        <v>10418</v>
      </c>
      <c r="Q1982" s="15" t="s">
        <v>10418</v>
      </c>
      <c r="R1982" s="10">
        <v>9</v>
      </c>
    </row>
    <row r="1983" spans="1:18" ht="17" customHeight="1" x14ac:dyDescent="0.15">
      <c r="A1983" s="11" t="s">
        <v>10561</v>
      </c>
      <c r="B1983" s="1" t="s">
        <v>10562</v>
      </c>
      <c r="C1983" s="11" t="s">
        <v>10563</v>
      </c>
      <c r="D1983" s="11" t="s">
        <v>10563</v>
      </c>
      <c r="E1983" s="11" t="s">
        <v>10564</v>
      </c>
      <c r="F1983" s="11" t="s">
        <v>10490</v>
      </c>
      <c r="G1983" s="11" t="s">
        <v>10396</v>
      </c>
      <c r="H1983" s="11" t="s">
        <v>10397</v>
      </c>
      <c r="I1983" s="11" t="str">
        <f>HYPERLINK("http://www.eneasrl.com/","www.eneasrl.com")</f>
        <v>www.eneasrl.com</v>
      </c>
      <c r="J1983" s="12">
        <v>2716.4110000000001</v>
      </c>
      <c r="K1983" s="12">
        <v>2716.4110000000001</v>
      </c>
      <c r="L1983" s="13">
        <v>2445.1190000000001</v>
      </c>
      <c r="M1983" s="12">
        <v>181.44200000000001</v>
      </c>
      <c r="N1983" s="12">
        <v>181.44200000000001</v>
      </c>
      <c r="O1983" s="12">
        <v>122.21</v>
      </c>
      <c r="P1983" s="12">
        <v>27</v>
      </c>
      <c r="Q1983" s="12">
        <v>27</v>
      </c>
      <c r="R1983" s="12">
        <v>27</v>
      </c>
    </row>
    <row r="1984" spans="1:18" ht="17" customHeight="1" x14ac:dyDescent="0.15">
      <c r="A1984" s="8" t="s">
        <v>10565</v>
      </c>
      <c r="B1984" s="9" t="s">
        <v>10566</v>
      </c>
      <c r="C1984" s="8" t="s">
        <v>10567</v>
      </c>
      <c r="D1984" s="8" t="s">
        <v>10567</v>
      </c>
      <c r="E1984" s="8" t="s">
        <v>10568</v>
      </c>
      <c r="F1984" s="8" t="s">
        <v>10395</v>
      </c>
      <c r="G1984" s="8" t="s">
        <v>10396</v>
      </c>
      <c r="H1984" s="8" t="s">
        <v>10397</v>
      </c>
      <c r="I1984" s="8" t="str">
        <f>HYPERLINK("http://www.corvari.it/","www.corvari.it")</f>
        <v>www.corvari.it</v>
      </c>
      <c r="J1984" s="10">
        <v>2721.123</v>
      </c>
      <c r="K1984" s="10">
        <v>2721.123</v>
      </c>
      <c r="L1984" s="10">
        <v>2441.3380000000002</v>
      </c>
      <c r="M1984" s="10">
        <v>1.05</v>
      </c>
      <c r="N1984" s="10">
        <v>1.05</v>
      </c>
      <c r="O1984" s="10">
        <v>4.0720000000000001</v>
      </c>
      <c r="P1984" s="15" t="s">
        <v>10418</v>
      </c>
      <c r="Q1984" s="15" t="s">
        <v>10418</v>
      </c>
      <c r="R1984" s="10">
        <v>16</v>
      </c>
    </row>
    <row r="1985" spans="1:18" ht="17" customHeight="1" x14ac:dyDescent="0.15">
      <c r="A1985" s="11" t="s">
        <v>10569</v>
      </c>
      <c r="B1985" s="1" t="s">
        <v>10570</v>
      </c>
      <c r="C1985" s="11" t="s">
        <v>10571</v>
      </c>
      <c r="D1985" s="11" t="s">
        <v>10571</v>
      </c>
      <c r="E1985" s="11" t="s">
        <v>10572</v>
      </c>
      <c r="F1985" s="11" t="s">
        <v>10573</v>
      </c>
      <c r="G1985" s="11" t="s">
        <v>10574</v>
      </c>
      <c r="H1985" s="11" t="s">
        <v>10575</v>
      </c>
      <c r="I1985" s="11" t="str">
        <f>HYPERLINK("http://portofiori.it/","portofiori.it")</f>
        <v>portofiori.it</v>
      </c>
      <c r="J1985" s="12">
        <v>2488.1509999999998</v>
      </c>
      <c r="K1985" s="12">
        <v>2488.1509999999998</v>
      </c>
      <c r="L1985" s="13">
        <v>2440.8200000000002</v>
      </c>
      <c r="M1985" s="12">
        <v>4.9029999999999996</v>
      </c>
      <c r="N1985" s="12">
        <v>4.9029999999999996</v>
      </c>
      <c r="O1985" s="12">
        <v>28.699000000000002</v>
      </c>
      <c r="P1985" s="14" t="s">
        <v>10576</v>
      </c>
      <c r="Q1985" s="14" t="s">
        <v>10576</v>
      </c>
      <c r="R1985" s="12">
        <v>14</v>
      </c>
    </row>
    <row r="1986" spans="1:18" ht="17" customHeight="1" x14ac:dyDescent="0.15">
      <c r="A1986" s="8" t="s">
        <v>10577</v>
      </c>
      <c r="B1986" s="9" t="s">
        <v>10578</v>
      </c>
      <c r="C1986" s="8" t="s">
        <v>10579</v>
      </c>
      <c r="D1986" s="8" t="s">
        <v>10579</v>
      </c>
      <c r="E1986" s="8" t="s">
        <v>10580</v>
      </c>
      <c r="F1986" s="8" t="s">
        <v>10581</v>
      </c>
      <c r="G1986" s="8" t="s">
        <v>10582</v>
      </c>
      <c r="H1986" s="8" t="s">
        <v>10583</v>
      </c>
      <c r="I1986" s="8" t="str">
        <f>HYPERLINK("http://www.calzemiva.it/","www.calzemiva.it")</f>
        <v>www.calzemiva.it</v>
      </c>
      <c r="J1986" s="10">
        <v>1591.0160000000001</v>
      </c>
      <c r="K1986" s="10">
        <v>1591.0160000000001</v>
      </c>
      <c r="L1986" s="10">
        <v>2434.2040000000002</v>
      </c>
      <c r="M1986" s="10">
        <v>-65.355999999999995</v>
      </c>
      <c r="N1986" s="10">
        <v>-65.355999999999995</v>
      </c>
      <c r="O1986" s="10">
        <v>-104.28400000000001</v>
      </c>
      <c r="P1986" s="10">
        <v>14</v>
      </c>
      <c r="Q1986" s="10">
        <v>14</v>
      </c>
      <c r="R1986" s="10">
        <v>16</v>
      </c>
    </row>
    <row r="1987" spans="1:18" ht="29.5" customHeight="1" x14ac:dyDescent="0.15">
      <c r="A1987" s="11" t="s">
        <v>10584</v>
      </c>
      <c r="B1987" s="1" t="s">
        <v>10585</v>
      </c>
      <c r="C1987" s="11" t="s">
        <v>10586</v>
      </c>
      <c r="D1987" s="11" t="s">
        <v>10586</v>
      </c>
      <c r="E1987" s="11" t="s">
        <v>10587</v>
      </c>
      <c r="F1987" s="11" t="s">
        <v>10588</v>
      </c>
      <c r="G1987" s="11" t="s">
        <v>10589</v>
      </c>
      <c r="H1987" s="11" t="s">
        <v>10590</v>
      </c>
      <c r="I1987" s="11" t="str">
        <f>HYPERLINK("http://www.dovicofirenze.com/","www.dovicofirenze.com")</f>
        <v>www.dovicofirenze.com</v>
      </c>
      <c r="J1987" s="12">
        <v>2953.8969999999999</v>
      </c>
      <c r="K1987" s="12">
        <v>2953.8969999999999</v>
      </c>
      <c r="L1987" s="13">
        <v>2433.31</v>
      </c>
      <c r="M1987" s="12">
        <v>275.58199999999999</v>
      </c>
      <c r="N1987" s="12">
        <v>275.58199999999999</v>
      </c>
      <c r="O1987" s="12">
        <v>107.61</v>
      </c>
      <c r="P1987" s="12">
        <v>17</v>
      </c>
      <c r="Q1987" s="12">
        <v>17</v>
      </c>
      <c r="R1987" s="12">
        <v>14</v>
      </c>
    </row>
    <row r="1988" spans="1:18" ht="17" customHeight="1" x14ac:dyDescent="0.15">
      <c r="A1988" s="8" t="s">
        <v>10591</v>
      </c>
      <c r="B1988" s="9" t="s">
        <v>10592</v>
      </c>
      <c r="C1988" s="8" t="s">
        <v>10593</v>
      </c>
      <c r="D1988" s="8" t="s">
        <v>10593</v>
      </c>
      <c r="E1988" s="8" t="s">
        <v>10594</v>
      </c>
      <c r="F1988" s="8" t="s">
        <v>10595</v>
      </c>
      <c r="G1988" s="8" t="s">
        <v>10596</v>
      </c>
      <c r="H1988" s="8" t="s">
        <v>10583</v>
      </c>
      <c r="I1988" s="8" t="str">
        <f>HYPERLINK("http://www.sneaknit.it/","www.sneaknit.it")</f>
        <v>www.sneaknit.it</v>
      </c>
      <c r="J1988" s="10">
        <v>2585.9490000000001</v>
      </c>
      <c r="K1988" s="10">
        <v>2585.9490000000001</v>
      </c>
      <c r="L1988" s="10">
        <v>2430.451</v>
      </c>
      <c r="M1988" s="10">
        <v>408.67500000000001</v>
      </c>
      <c r="N1988" s="10">
        <v>408.67500000000001</v>
      </c>
      <c r="O1988" s="10">
        <v>404.66199999999998</v>
      </c>
      <c r="P1988" s="10">
        <v>2</v>
      </c>
      <c r="Q1988" s="10">
        <v>2</v>
      </c>
      <c r="R1988" s="10">
        <v>2</v>
      </c>
    </row>
    <row r="1989" spans="1:18" ht="17" customHeight="1" x14ac:dyDescent="0.15">
      <c r="A1989" s="11" t="s">
        <v>10597</v>
      </c>
      <c r="B1989" s="1" t="s">
        <v>10598</v>
      </c>
      <c r="C1989" s="11" t="s">
        <v>10599</v>
      </c>
      <c r="D1989" s="11" t="s">
        <v>10599</v>
      </c>
      <c r="E1989" s="11" t="s">
        <v>10600</v>
      </c>
      <c r="F1989" s="11" t="s">
        <v>10595</v>
      </c>
      <c r="G1989" s="11" t="s">
        <v>10601</v>
      </c>
      <c r="H1989" s="11" t="s">
        <v>10575</v>
      </c>
      <c r="I1989" s="11" t="str">
        <f>HYPERLINK("http://www.suolificiodangelo.it/","www.suolificiodangelo.it")</f>
        <v>www.suolificiodangelo.it</v>
      </c>
      <c r="J1989" s="12">
        <v>2006.9059999999999</v>
      </c>
      <c r="K1989" s="12">
        <v>2006.9059999999999</v>
      </c>
      <c r="L1989" s="13">
        <v>2429.8440000000001</v>
      </c>
      <c r="M1989" s="12">
        <v>17.361999999999998</v>
      </c>
      <c r="N1989" s="12">
        <v>17.361999999999998</v>
      </c>
      <c r="O1989" s="12">
        <v>78.855000000000004</v>
      </c>
      <c r="P1989" s="14" t="s">
        <v>10576</v>
      </c>
      <c r="Q1989" s="14" t="s">
        <v>10576</v>
      </c>
      <c r="R1989" s="12">
        <v>27</v>
      </c>
    </row>
    <row r="1990" spans="1:18" ht="17" customHeight="1" x14ac:dyDescent="0.15">
      <c r="A1990" s="8" t="s">
        <v>10602</v>
      </c>
      <c r="B1990" s="9" t="s">
        <v>10603</v>
      </c>
      <c r="C1990" s="8" t="s">
        <v>10604</v>
      </c>
      <c r="D1990" s="8" t="s">
        <v>10604</v>
      </c>
      <c r="E1990" s="8" t="s">
        <v>10605</v>
      </c>
      <c r="F1990" s="8" t="s">
        <v>10595</v>
      </c>
      <c r="G1990" s="8" t="s">
        <v>10606</v>
      </c>
      <c r="H1990" s="8" t="s">
        <v>10607</v>
      </c>
      <c r="I1990" s="8" t="str">
        <f>HYPERLINK("http://www.tranceriavaltenna.it/","www.tranceriavaltenna.it")</f>
        <v>www.tranceriavaltenna.it</v>
      </c>
      <c r="J1990" s="10">
        <v>2257.6080000000002</v>
      </c>
      <c r="K1990" s="10">
        <v>2257.6080000000002</v>
      </c>
      <c r="L1990" s="10">
        <v>2427.527</v>
      </c>
      <c r="M1990" s="10">
        <v>5.7729999999999997</v>
      </c>
      <c r="N1990" s="10">
        <v>5.7729999999999997</v>
      </c>
      <c r="O1990" s="10">
        <v>29.26</v>
      </c>
      <c r="P1990" s="10">
        <v>53</v>
      </c>
      <c r="Q1990" s="10">
        <v>53</v>
      </c>
      <c r="R1990" s="10">
        <v>47</v>
      </c>
    </row>
    <row r="1991" spans="1:18" ht="17" customHeight="1" x14ac:dyDescent="0.15">
      <c r="A1991" s="11" t="s">
        <v>10608</v>
      </c>
      <c r="B1991" s="1" t="s">
        <v>10609</v>
      </c>
      <c r="C1991" s="11" t="s">
        <v>10610</v>
      </c>
      <c r="D1991" s="11" t="s">
        <v>10610</v>
      </c>
      <c r="E1991" s="11" t="s">
        <v>10611</v>
      </c>
      <c r="F1991" s="11" t="s">
        <v>10612</v>
      </c>
      <c r="G1991" s="11" t="s">
        <v>10589</v>
      </c>
      <c r="H1991" s="11" t="s">
        <v>10590</v>
      </c>
      <c r="I1991" s="11" t="str">
        <f>HYPERLINK("http://www.talentionline.it/","www.talentionline.it")</f>
        <v>www.talentionline.it</v>
      </c>
      <c r="J1991" s="12">
        <v>2164.84</v>
      </c>
      <c r="K1991" s="12">
        <v>2164.84</v>
      </c>
      <c r="L1991" s="13">
        <v>2426.944</v>
      </c>
      <c r="M1991" s="12">
        <v>23.015999999999998</v>
      </c>
      <c r="N1991" s="12">
        <v>23.015999999999998</v>
      </c>
      <c r="O1991" s="12">
        <v>25.067</v>
      </c>
      <c r="P1991" s="12">
        <v>7</v>
      </c>
      <c r="Q1991" s="12">
        <v>7</v>
      </c>
      <c r="R1991" s="12">
        <v>11</v>
      </c>
    </row>
    <row r="1992" spans="1:18" ht="17" customHeight="1" x14ac:dyDescent="0.15">
      <c r="A1992" s="8" t="s">
        <v>10613</v>
      </c>
      <c r="B1992" s="9" t="s">
        <v>10614</v>
      </c>
      <c r="C1992" s="8" t="s">
        <v>10615</v>
      </c>
      <c r="D1992" s="8" t="s">
        <v>10615</v>
      </c>
      <c r="E1992" s="8" t="s">
        <v>10616</v>
      </c>
      <c r="F1992" s="8" t="s">
        <v>10617</v>
      </c>
      <c r="G1992" s="8" t="s">
        <v>10618</v>
      </c>
      <c r="H1992" s="8" t="s">
        <v>10590</v>
      </c>
      <c r="I1992" s="8" t="str">
        <f>HYPERLINK("http://www.kimoco.it/","www.kimoco.it")</f>
        <v>www.kimoco.it</v>
      </c>
      <c r="J1992" s="10">
        <v>3000.585</v>
      </c>
      <c r="K1992" s="10">
        <v>3000.585</v>
      </c>
      <c r="L1992" s="10">
        <v>2421.9409999999998</v>
      </c>
      <c r="M1992" s="10">
        <v>73.203999999999994</v>
      </c>
      <c r="N1992" s="10">
        <v>73.203999999999994</v>
      </c>
      <c r="O1992" s="10">
        <v>196.60599999999999</v>
      </c>
      <c r="P1992" s="10">
        <v>25</v>
      </c>
      <c r="Q1992" s="10">
        <v>25</v>
      </c>
      <c r="R1992" s="10">
        <v>24</v>
      </c>
    </row>
    <row r="1993" spans="1:18" ht="17" customHeight="1" x14ac:dyDescent="0.15">
      <c r="A1993" s="11" t="s">
        <v>10619</v>
      </c>
      <c r="B1993" s="1" t="s">
        <v>10620</v>
      </c>
      <c r="C1993" s="11" t="s">
        <v>10621</v>
      </c>
      <c r="D1993" s="11" t="s">
        <v>10621</v>
      </c>
      <c r="E1993" s="11" t="s">
        <v>10622</v>
      </c>
      <c r="F1993" s="11" t="s">
        <v>10581</v>
      </c>
      <c r="G1993" s="11" t="s">
        <v>10623</v>
      </c>
      <c r="H1993" s="11" t="s">
        <v>10583</v>
      </c>
      <c r="I1993" s="11" t="str">
        <f>HYPERLINK("http://facenti.it/","facenti.it")</f>
        <v>facenti.it</v>
      </c>
      <c r="J1993" s="12">
        <v>145.922</v>
      </c>
      <c r="K1993" s="12">
        <v>2015.646</v>
      </c>
      <c r="L1993" s="13">
        <v>2415.56</v>
      </c>
      <c r="M1993" s="12">
        <v>-1674.84</v>
      </c>
      <c r="N1993" s="12">
        <v>-2954.194</v>
      </c>
      <c r="O1993" s="12">
        <v>2.8740000000000001</v>
      </c>
      <c r="P1993" s="12">
        <v>0</v>
      </c>
      <c r="Q1993" s="12">
        <v>8</v>
      </c>
      <c r="R1993" s="12">
        <v>12</v>
      </c>
    </row>
    <row r="1994" spans="1:18" ht="17" customHeight="1" x14ac:dyDescent="0.15">
      <c r="A1994" s="8" t="s">
        <v>10624</v>
      </c>
      <c r="B1994" s="9" t="s">
        <v>10625</v>
      </c>
      <c r="C1994" s="8" t="s">
        <v>10626</v>
      </c>
      <c r="D1994" s="8" t="s">
        <v>10626</v>
      </c>
      <c r="E1994" s="8" t="s">
        <v>10627</v>
      </c>
      <c r="F1994" s="8" t="s">
        <v>10595</v>
      </c>
      <c r="G1994" s="8" t="s">
        <v>10606</v>
      </c>
      <c r="H1994" s="8" t="s">
        <v>10607</v>
      </c>
      <c r="I1994" s="8" t="str">
        <f>HYPERLINK("http://www.solettificiosolea.it/","www.solettificiosolea.it")</f>
        <v>www.solettificiosolea.it</v>
      </c>
      <c r="J1994" s="10">
        <v>1742.5989999999999</v>
      </c>
      <c r="K1994" s="10">
        <v>1742.5989999999999</v>
      </c>
      <c r="L1994" s="10">
        <v>2414.9079999999999</v>
      </c>
      <c r="M1994" s="10">
        <v>20.079999999999998</v>
      </c>
      <c r="N1994" s="10">
        <v>20.079999999999998</v>
      </c>
      <c r="O1994" s="10">
        <v>116.66</v>
      </c>
      <c r="P1994" s="10">
        <v>21</v>
      </c>
      <c r="Q1994" s="10">
        <v>21</v>
      </c>
      <c r="R1994" s="10">
        <v>26</v>
      </c>
    </row>
    <row r="1995" spans="1:18" ht="17" customHeight="1" x14ac:dyDescent="0.15">
      <c r="A1995" s="11" t="s">
        <v>10628</v>
      </c>
      <c r="B1995" s="1" t="s">
        <v>10629</v>
      </c>
      <c r="C1995" s="11" t="s">
        <v>10630</v>
      </c>
      <c r="D1995" s="11" t="s">
        <v>10630</v>
      </c>
      <c r="E1995" s="11" t="s">
        <v>10631</v>
      </c>
      <c r="F1995" s="11" t="s">
        <v>10581</v>
      </c>
      <c r="G1995" s="11" t="s">
        <v>10632</v>
      </c>
      <c r="H1995" s="11" t="s">
        <v>10633</v>
      </c>
      <c r="I1995" s="11" t="str">
        <f>HYPERLINK("http://dublo.it/","dublo.it")</f>
        <v>dublo.it</v>
      </c>
      <c r="J1995" s="12">
        <v>1899.3610000000001</v>
      </c>
      <c r="K1995" s="12">
        <v>1899.3610000000001</v>
      </c>
      <c r="L1995" s="13">
        <v>2410.5369999999998</v>
      </c>
      <c r="M1995" s="12">
        <v>49.823</v>
      </c>
      <c r="N1995" s="12">
        <v>49.823</v>
      </c>
      <c r="O1995" s="12">
        <v>78.673000000000002</v>
      </c>
      <c r="P1995" s="12">
        <v>15</v>
      </c>
      <c r="Q1995" s="12">
        <v>15</v>
      </c>
      <c r="R1995" s="12">
        <v>15</v>
      </c>
    </row>
    <row r="1996" spans="1:18" ht="17" customHeight="1" x14ac:dyDescent="0.15">
      <c r="A1996" s="8" t="s">
        <v>10634</v>
      </c>
      <c r="B1996" s="9" t="s">
        <v>10635</v>
      </c>
      <c r="C1996" s="8" t="s">
        <v>10636</v>
      </c>
      <c r="D1996" s="8" t="s">
        <v>10636</v>
      </c>
      <c r="E1996" s="8" t="s">
        <v>10637</v>
      </c>
      <c r="F1996" s="8" t="s">
        <v>10638</v>
      </c>
      <c r="G1996" s="8" t="s">
        <v>10589</v>
      </c>
      <c r="H1996" s="8" t="s">
        <v>10590</v>
      </c>
      <c r="I1996" s="8" t="str">
        <f>HYPERLINK("http://www.miriam2.com/","www.miriam2.com")</f>
        <v>www.miriam2.com</v>
      </c>
      <c r="J1996" s="10">
        <v>2496.2739999999999</v>
      </c>
      <c r="K1996" s="10">
        <v>2496.2739999999999</v>
      </c>
      <c r="L1996" s="10">
        <v>2409.4160000000002</v>
      </c>
      <c r="M1996" s="10">
        <v>171.79</v>
      </c>
      <c r="N1996" s="10">
        <v>171.79</v>
      </c>
      <c r="O1996" s="10">
        <v>73.043000000000006</v>
      </c>
      <c r="P1996" s="15" t="s">
        <v>10576</v>
      </c>
      <c r="Q1996" s="15" t="s">
        <v>10576</v>
      </c>
      <c r="R1996" s="10">
        <v>16</v>
      </c>
    </row>
    <row r="1997" spans="1:18" ht="17" customHeight="1" x14ac:dyDescent="0.15">
      <c r="A1997" s="11" t="s">
        <v>10639</v>
      </c>
      <c r="B1997" s="1" t="s">
        <v>10640</v>
      </c>
      <c r="C1997" s="11" t="s">
        <v>10641</v>
      </c>
      <c r="D1997" s="11" t="s">
        <v>10641</v>
      </c>
      <c r="E1997" s="11" t="s">
        <v>10642</v>
      </c>
      <c r="F1997" s="11" t="s">
        <v>10643</v>
      </c>
      <c r="G1997" s="11" t="s">
        <v>10596</v>
      </c>
      <c r="H1997" s="11" t="s">
        <v>10583</v>
      </c>
      <c r="I1997" s="11" t="str">
        <f>HYPERLINK("http://www.arcier.com/","www.arcier.com")</f>
        <v>www.arcier.com</v>
      </c>
      <c r="J1997" s="12">
        <v>1381.1869999999999</v>
      </c>
      <c r="K1997" s="12">
        <v>1381.1869999999999</v>
      </c>
      <c r="L1997" s="13">
        <v>2408.308</v>
      </c>
      <c r="M1997" s="12">
        <v>3.42</v>
      </c>
      <c r="N1997" s="12">
        <v>3.42</v>
      </c>
      <c r="O1997" s="12">
        <v>3.3359999999999999</v>
      </c>
      <c r="P1997" s="12">
        <v>5</v>
      </c>
      <c r="Q1997" s="12">
        <v>5</v>
      </c>
      <c r="R1997" s="12">
        <v>5</v>
      </c>
    </row>
    <row r="1998" spans="1:18" ht="17" customHeight="1" x14ac:dyDescent="0.15">
      <c r="A1998" s="8" t="s">
        <v>10644</v>
      </c>
      <c r="B1998" s="9" t="s">
        <v>10645</v>
      </c>
      <c r="C1998" s="8" t="s">
        <v>10646</v>
      </c>
      <c r="D1998" s="8" t="s">
        <v>10646</v>
      </c>
      <c r="E1998" s="8" t="s">
        <v>10647</v>
      </c>
      <c r="F1998" s="8" t="s">
        <v>10648</v>
      </c>
      <c r="G1998" s="8" t="s">
        <v>10606</v>
      </c>
      <c r="H1998" s="8" t="s">
        <v>10607</v>
      </c>
      <c r="I1998" s="8" t="str">
        <f>HYPERLINK("http://gimez.it/","gimez.it")</f>
        <v>gimez.it</v>
      </c>
      <c r="J1998" s="10">
        <v>1785.579</v>
      </c>
      <c r="K1998" s="10">
        <v>1785.579</v>
      </c>
      <c r="L1998" s="10">
        <v>2407.529</v>
      </c>
      <c r="M1998" s="10">
        <v>-93.409000000000006</v>
      </c>
      <c r="N1998" s="10">
        <v>-93.409000000000006</v>
      </c>
      <c r="O1998" s="10">
        <v>1.681</v>
      </c>
      <c r="P1998" s="10">
        <v>12</v>
      </c>
      <c r="Q1998" s="10">
        <v>12</v>
      </c>
      <c r="R1998" s="10">
        <v>15</v>
      </c>
    </row>
    <row r="1999" spans="1:18" ht="29.5" customHeight="1" x14ac:dyDescent="0.15">
      <c r="A1999" s="11" t="s">
        <v>10649</v>
      </c>
      <c r="B1999" s="1" t="s">
        <v>10650</v>
      </c>
      <c r="C1999" s="11" t="s">
        <v>10651</v>
      </c>
      <c r="D1999" s="11" t="s">
        <v>10651</v>
      </c>
      <c r="E1999" s="11" t="s">
        <v>10652</v>
      </c>
      <c r="F1999" s="11" t="s">
        <v>10653</v>
      </c>
      <c r="G1999" s="11" t="s">
        <v>10589</v>
      </c>
      <c r="H1999" s="11" t="s">
        <v>10590</v>
      </c>
      <c r="I1999" s="11" t="str">
        <f>HYPERLINK("http://www.vincifur.it/","www.vincifur.it")</f>
        <v>www.vincifur.it</v>
      </c>
      <c r="J1999" s="12">
        <v>2839.422</v>
      </c>
      <c r="K1999" s="12">
        <v>2623.86</v>
      </c>
      <c r="L1999" s="13">
        <v>2406.9760000000001</v>
      </c>
      <c r="M1999" s="12">
        <v>67.879000000000005</v>
      </c>
      <c r="N1999" s="12">
        <v>50.505000000000003</v>
      </c>
      <c r="O1999" s="12">
        <v>50.072000000000003</v>
      </c>
      <c r="P1999" s="12">
        <v>9</v>
      </c>
      <c r="Q1999" s="12">
        <v>5</v>
      </c>
      <c r="R1999" s="12">
        <v>5</v>
      </c>
    </row>
    <row r="2000" spans="1:18" ht="17" customHeight="1" x14ac:dyDescent="0.15">
      <c r="A2000" s="8" t="s">
        <v>10654</v>
      </c>
      <c r="B2000" s="9" t="s">
        <v>10655</v>
      </c>
      <c r="C2000" s="8" t="s">
        <v>10656</v>
      </c>
      <c r="D2000" s="8" t="s">
        <v>10657</v>
      </c>
      <c r="E2000" s="8" t="s">
        <v>10658</v>
      </c>
      <c r="F2000" s="8" t="s">
        <v>10659</v>
      </c>
      <c r="G2000" s="8" t="s">
        <v>10623</v>
      </c>
      <c r="H2000" s="8" t="s">
        <v>10583</v>
      </c>
      <c r="I2000" s="8" t="str">
        <f>HYPERLINK("http://www.leclair.it/","www.leclair.it")</f>
        <v>www.leclair.it</v>
      </c>
      <c r="J2000" s="10">
        <v>2654.7510000000002</v>
      </c>
      <c r="K2000" s="10">
        <v>2654.7510000000002</v>
      </c>
      <c r="L2000" s="10">
        <v>2405.364</v>
      </c>
      <c r="M2000" s="10">
        <v>69.09</v>
      </c>
      <c r="N2000" s="10">
        <v>69.09</v>
      </c>
      <c r="O2000" s="10">
        <v>77.608999999999995</v>
      </c>
      <c r="P2000" s="15" t="s">
        <v>10576</v>
      </c>
      <c r="Q2000" s="15" t="s">
        <v>10576</v>
      </c>
      <c r="R2000" s="10">
        <v>17</v>
      </c>
    </row>
    <row r="2001" spans="1:18" ht="29.5" customHeight="1" x14ac:dyDescent="0.15">
      <c r="A2001" s="11" t="s">
        <v>10660</v>
      </c>
      <c r="B2001" s="1" t="s">
        <v>10661</v>
      </c>
      <c r="C2001" s="11" t="s">
        <v>10662</v>
      </c>
      <c r="D2001" s="11" t="s">
        <v>10662</v>
      </c>
      <c r="E2001" s="11" t="s">
        <v>10663</v>
      </c>
      <c r="F2001" s="11" t="s">
        <v>10648</v>
      </c>
      <c r="G2001" s="11" t="s">
        <v>10664</v>
      </c>
      <c r="H2001" s="11" t="s">
        <v>10665</v>
      </c>
      <c r="I2001" s="11" t="str">
        <f>HYPERLINK("http://www.bressanshoes.com/","www.bressanshoes.com")</f>
        <v>www.bressanshoes.com</v>
      </c>
      <c r="J2001" s="12">
        <v>2552.4670000000001</v>
      </c>
      <c r="K2001" s="12">
        <v>2552.4670000000001</v>
      </c>
      <c r="L2001" s="13">
        <v>2402.2179999999998</v>
      </c>
      <c r="M2001" s="12">
        <v>134.75</v>
      </c>
      <c r="N2001" s="12">
        <v>134.75</v>
      </c>
      <c r="O2001" s="12">
        <v>120.53100000000001</v>
      </c>
      <c r="P2001" s="12">
        <v>12</v>
      </c>
      <c r="Q2001" s="12">
        <v>12</v>
      </c>
      <c r="R2001" s="12">
        <v>9</v>
      </c>
    </row>
    <row r="2002" spans="1:18" ht="17" customHeight="1" x14ac:dyDescent="0.15">
      <c r="A2002" s="8" t="s">
        <v>10666</v>
      </c>
      <c r="B2002" s="9" t="s">
        <v>10667</v>
      </c>
      <c r="C2002" s="8" t="s">
        <v>10668</v>
      </c>
      <c r="D2002" s="8" t="s">
        <v>10668</v>
      </c>
      <c r="E2002" s="8" t="s">
        <v>10669</v>
      </c>
      <c r="F2002" s="8" t="s">
        <v>10648</v>
      </c>
      <c r="G2002" s="8" t="s">
        <v>10596</v>
      </c>
      <c r="H2002" s="8" t="s">
        <v>10583</v>
      </c>
      <c r="I2002" s="8" t="str">
        <f>HYPERLINK("http://www.r-lief.com/","www.r-lief.com")</f>
        <v>www.r-lief.com</v>
      </c>
      <c r="J2002" s="10">
        <v>3033.415</v>
      </c>
      <c r="K2002" s="10">
        <v>3033.415</v>
      </c>
      <c r="L2002" s="10">
        <v>2401.85</v>
      </c>
      <c r="M2002" s="10">
        <v>390.64</v>
      </c>
      <c r="N2002" s="10">
        <v>390.64</v>
      </c>
      <c r="O2002" s="10">
        <v>163.72999999999999</v>
      </c>
      <c r="P2002" s="10">
        <v>0</v>
      </c>
      <c r="Q2002" s="10">
        <v>0</v>
      </c>
      <c r="R2002" s="10">
        <v>0</v>
      </c>
    </row>
    <row r="2003" spans="1:18" ht="17" customHeight="1" x14ac:dyDescent="0.15">
      <c r="A2003" s="11" t="s">
        <v>10670</v>
      </c>
      <c r="B2003" s="1" t="s">
        <v>10671</v>
      </c>
      <c r="C2003" s="11" t="s">
        <v>10672</v>
      </c>
      <c r="D2003" s="11" t="s">
        <v>10672</v>
      </c>
      <c r="E2003" s="11" t="s">
        <v>10673</v>
      </c>
      <c r="F2003" s="11" t="s">
        <v>10638</v>
      </c>
      <c r="G2003" s="11" t="s">
        <v>10596</v>
      </c>
      <c r="H2003" s="11" t="s">
        <v>10583</v>
      </c>
      <c r="I2003" s="11" t="str">
        <f>HYPERLINK("http://www.wooliweiss.it/","www.wooliweiss.it")</f>
        <v>www.wooliweiss.it</v>
      </c>
      <c r="J2003" s="12">
        <v>3007.181</v>
      </c>
      <c r="K2003" s="12">
        <v>3007.181</v>
      </c>
      <c r="L2003" s="13">
        <v>2397.15</v>
      </c>
      <c r="M2003" s="12">
        <v>258.048</v>
      </c>
      <c r="N2003" s="12">
        <v>258.048</v>
      </c>
      <c r="O2003" s="12">
        <v>185.53</v>
      </c>
      <c r="P2003" s="12">
        <v>7</v>
      </c>
      <c r="Q2003" s="12">
        <v>7</v>
      </c>
      <c r="R2003" s="12">
        <v>3</v>
      </c>
    </row>
    <row r="2004" spans="1:18" ht="17" customHeight="1" x14ac:dyDescent="0.15">
      <c r="A2004" s="8" t="s">
        <v>10674</v>
      </c>
      <c r="B2004" s="9" t="s">
        <v>10675</v>
      </c>
      <c r="C2004" s="8" t="s">
        <v>10676</v>
      </c>
      <c r="D2004" s="8" t="s">
        <v>10676</v>
      </c>
      <c r="E2004" s="8" t="s">
        <v>10677</v>
      </c>
      <c r="F2004" s="8" t="s">
        <v>10588</v>
      </c>
      <c r="G2004" s="8" t="s">
        <v>10574</v>
      </c>
      <c r="H2004" s="8" t="s">
        <v>10575</v>
      </c>
      <c r="I2004" s="8" t="str">
        <f>HYPERLINK("http://innueitalia.it/","innueitalia.it")</f>
        <v>innueitalia.it</v>
      </c>
      <c r="J2004" s="10">
        <v>2089.904</v>
      </c>
      <c r="K2004" s="10">
        <v>2089.904</v>
      </c>
      <c r="L2004" s="10">
        <v>2395.46</v>
      </c>
      <c r="M2004" s="10">
        <v>121.524</v>
      </c>
      <c r="N2004" s="10">
        <v>121.524</v>
      </c>
      <c r="O2004" s="10">
        <v>209.08199999999999</v>
      </c>
      <c r="P2004" s="10">
        <v>3</v>
      </c>
      <c r="Q2004" s="10">
        <v>3</v>
      </c>
      <c r="R2004" s="10">
        <v>3</v>
      </c>
    </row>
    <row r="2005" spans="1:18" ht="17" customHeight="1" x14ac:dyDescent="0.15">
      <c r="A2005" s="11" t="s">
        <v>10678</v>
      </c>
      <c r="B2005" s="1" t="s">
        <v>10679</v>
      </c>
      <c r="C2005" s="11" t="s">
        <v>10680</v>
      </c>
      <c r="D2005" s="11" t="s">
        <v>10680</v>
      </c>
      <c r="E2005" s="11" t="s">
        <v>10681</v>
      </c>
      <c r="F2005" s="11" t="s">
        <v>10573</v>
      </c>
      <c r="G2005" s="11" t="s">
        <v>10682</v>
      </c>
      <c r="H2005" s="11" t="s">
        <v>10575</v>
      </c>
      <c r="I2005" s="11" t="str">
        <f>HYPERLINK("http://www.villagabrisa.it/","www.villagabrisa.it/")</f>
        <v>www.villagabrisa.it/</v>
      </c>
      <c r="J2005" s="12">
        <v>2973.6590000000001</v>
      </c>
      <c r="K2005" s="12">
        <v>2973.6590000000001</v>
      </c>
      <c r="L2005" s="13">
        <v>2391.5010000000002</v>
      </c>
      <c r="M2005" s="12">
        <v>863.94899999999996</v>
      </c>
      <c r="N2005" s="12">
        <v>863.94899999999996</v>
      </c>
      <c r="O2005" s="12">
        <v>553.63</v>
      </c>
      <c r="P2005" s="14" t="s">
        <v>10576</v>
      </c>
      <c r="Q2005" s="14" t="s">
        <v>10576</v>
      </c>
      <c r="R2005" s="12">
        <v>17</v>
      </c>
    </row>
    <row r="2006" spans="1:18" ht="17" customHeight="1" x14ac:dyDescent="0.15">
      <c r="A2006" s="8" t="s">
        <v>10683</v>
      </c>
      <c r="B2006" s="9" t="s">
        <v>10684</v>
      </c>
      <c r="C2006" s="8" t="s">
        <v>10685</v>
      </c>
      <c r="D2006" s="8" t="s">
        <v>10685</v>
      </c>
      <c r="E2006" s="8" t="s">
        <v>10686</v>
      </c>
      <c r="F2006" s="8" t="s">
        <v>10573</v>
      </c>
      <c r="G2006" s="8" t="s">
        <v>10687</v>
      </c>
      <c r="H2006" s="8" t="s">
        <v>10665</v>
      </c>
      <c r="I2006" s="8" t="str">
        <f>HYPERLINK("http://www.rigomar.it/","www.rigomar.it")</f>
        <v>www.rigomar.it</v>
      </c>
      <c r="J2006" s="10">
        <v>4102.7209999999995</v>
      </c>
      <c r="K2006" s="10">
        <v>4102.7209999999995</v>
      </c>
      <c r="L2006" s="10">
        <v>2391.1709999999998</v>
      </c>
      <c r="M2006" s="10">
        <v>7.6529999999999996</v>
      </c>
      <c r="N2006" s="10">
        <v>7.6529999999999996</v>
      </c>
      <c r="O2006" s="10">
        <v>51.642000000000003</v>
      </c>
      <c r="P2006" s="10">
        <v>10</v>
      </c>
      <c r="Q2006" s="10">
        <v>10</v>
      </c>
      <c r="R2006" s="10">
        <v>6</v>
      </c>
    </row>
    <row r="2007" spans="1:18" ht="17" customHeight="1" x14ac:dyDescent="0.15">
      <c r="A2007" s="11" t="s">
        <v>10688</v>
      </c>
      <c r="B2007" s="1" t="s">
        <v>10689</v>
      </c>
      <c r="C2007" s="11" t="s">
        <v>10690</v>
      </c>
      <c r="D2007" s="11" t="s">
        <v>10690</v>
      </c>
      <c r="E2007" s="11" t="s">
        <v>10691</v>
      </c>
      <c r="F2007" s="11" t="s">
        <v>10617</v>
      </c>
      <c r="G2007" s="11" t="s">
        <v>10692</v>
      </c>
      <c r="H2007" s="11" t="s">
        <v>10665</v>
      </c>
      <c r="I2007" s="11" t="str">
        <f>HYPERLINK("http://fblpelli.it/","fblpelli.it")</f>
        <v>fblpelli.it</v>
      </c>
      <c r="J2007" s="12">
        <v>2074.58</v>
      </c>
      <c r="K2007" s="12">
        <v>2074.58</v>
      </c>
      <c r="L2007" s="13">
        <v>2390.7640000000001</v>
      </c>
      <c r="M2007" s="12">
        <v>11.77</v>
      </c>
      <c r="N2007" s="12">
        <v>11.77</v>
      </c>
      <c r="O2007" s="12">
        <v>10.176</v>
      </c>
      <c r="P2007" s="12">
        <v>12</v>
      </c>
      <c r="Q2007" s="12">
        <v>12</v>
      </c>
      <c r="R2007" s="12">
        <v>12</v>
      </c>
    </row>
    <row r="2008" spans="1:18" ht="17" customHeight="1" x14ac:dyDescent="0.15">
      <c r="A2008" s="8" t="s">
        <v>10693</v>
      </c>
      <c r="B2008" s="9" t="s">
        <v>10694</v>
      </c>
      <c r="C2008" s="8" t="s">
        <v>10695</v>
      </c>
      <c r="D2008" s="8" t="s">
        <v>10695</v>
      </c>
      <c r="E2008" s="8" t="s">
        <v>10696</v>
      </c>
      <c r="F2008" s="8" t="s">
        <v>10659</v>
      </c>
      <c r="G2008" s="8" t="s">
        <v>10697</v>
      </c>
      <c r="H2008" s="8" t="s">
        <v>10698</v>
      </c>
      <c r="I2008" s="8" t="str">
        <f>HYPERLINK("http://ricamificiomarini.it/","ricamificiomarini.it")</f>
        <v>ricamificiomarini.it</v>
      </c>
      <c r="J2008" s="10">
        <v>3387.0729999999999</v>
      </c>
      <c r="K2008" s="10">
        <v>3387.0729999999999</v>
      </c>
      <c r="L2008" s="10">
        <v>2388.971</v>
      </c>
      <c r="M2008" s="10">
        <v>102.59099999999999</v>
      </c>
      <c r="N2008" s="10">
        <v>102.59099999999999</v>
      </c>
      <c r="O2008" s="10">
        <v>149.017</v>
      </c>
      <c r="P2008" s="10">
        <v>13</v>
      </c>
      <c r="Q2008" s="10">
        <v>13</v>
      </c>
      <c r="R2008" s="10">
        <v>14</v>
      </c>
    </row>
    <row r="2009" spans="1:18" ht="17" customHeight="1" x14ac:dyDescent="0.15">
      <c r="A2009" s="11" t="s">
        <v>10699</v>
      </c>
      <c r="B2009" s="1" t="s">
        <v>10700</v>
      </c>
      <c r="C2009" s="11" t="s">
        <v>10701</v>
      </c>
      <c r="D2009" s="11" t="s">
        <v>10701</v>
      </c>
      <c r="E2009" s="11" t="s">
        <v>10702</v>
      </c>
      <c r="F2009" s="11" t="s">
        <v>10617</v>
      </c>
      <c r="G2009" s="11" t="s">
        <v>10692</v>
      </c>
      <c r="H2009" s="11" t="s">
        <v>10665</v>
      </c>
      <c r="I2009" s="11" t="str">
        <f>HYPERLINK("http://www.carbipel.com/","www.carbipel.com")</f>
        <v>www.carbipel.com</v>
      </c>
      <c r="J2009" s="12">
        <v>2131.752</v>
      </c>
      <c r="K2009" s="12">
        <v>2131.752</v>
      </c>
      <c r="L2009" s="13">
        <v>2388.6489999999999</v>
      </c>
      <c r="M2009" s="12">
        <v>11.752000000000001</v>
      </c>
      <c r="N2009" s="12">
        <v>11.752000000000001</v>
      </c>
      <c r="O2009" s="12">
        <v>-4.8330000000000002</v>
      </c>
      <c r="P2009" s="12">
        <v>14</v>
      </c>
      <c r="Q2009" s="12">
        <v>14</v>
      </c>
      <c r="R2009" s="12">
        <v>13</v>
      </c>
    </row>
    <row r="2010" spans="1:18" ht="17" customHeight="1" x14ac:dyDescent="0.15">
      <c r="A2010" s="8" t="s">
        <v>10703</v>
      </c>
      <c r="B2010" s="9" t="s">
        <v>10704</v>
      </c>
      <c r="C2010" s="8" t="s">
        <v>10705</v>
      </c>
      <c r="D2010" s="8" t="s">
        <v>10705</v>
      </c>
      <c r="E2010" s="8" t="s">
        <v>10706</v>
      </c>
      <c r="F2010" s="8" t="s">
        <v>10707</v>
      </c>
      <c r="G2010" s="8" t="s">
        <v>10708</v>
      </c>
      <c r="H2010" s="8" t="s">
        <v>10709</v>
      </c>
      <c r="I2010" s="8" t="str">
        <f>HYPERLINK("http://www.rueeschitaly.com/","www.rueeschitaly.com")</f>
        <v>www.rueeschitaly.com</v>
      </c>
      <c r="J2010" s="10">
        <v>2538.9520000000002</v>
      </c>
      <c r="K2010" s="10">
        <v>2538.9520000000002</v>
      </c>
      <c r="L2010" s="10">
        <v>2388.0309999999999</v>
      </c>
      <c r="M2010" s="10">
        <v>192.05099999999999</v>
      </c>
      <c r="N2010" s="10">
        <v>192.05099999999999</v>
      </c>
      <c r="O2010" s="10">
        <v>152.53700000000001</v>
      </c>
      <c r="P2010" s="10">
        <v>2</v>
      </c>
      <c r="Q2010" s="10">
        <v>2</v>
      </c>
      <c r="R2010" s="10">
        <v>19</v>
      </c>
    </row>
    <row r="2011" spans="1:18" ht="17" customHeight="1" x14ac:dyDescent="0.15">
      <c r="A2011" s="11" t="s">
        <v>10710</v>
      </c>
      <c r="B2011" s="1" t="s">
        <v>10711</v>
      </c>
      <c r="C2011" s="11" t="s">
        <v>10712</v>
      </c>
      <c r="D2011" s="11" t="s">
        <v>10712</v>
      </c>
      <c r="E2011" s="11" t="s">
        <v>10713</v>
      </c>
      <c r="F2011" s="11" t="s">
        <v>10638</v>
      </c>
      <c r="G2011" s="11" t="s">
        <v>10692</v>
      </c>
      <c r="H2011" s="11" t="s">
        <v>10665</v>
      </c>
      <c r="I2011" s="11" t="str">
        <f>HYPERLINK("http://www.inchstudio.it/","www.inchstudio.it")</f>
        <v>www.inchstudio.it</v>
      </c>
      <c r="J2011" s="12">
        <v>2562.2809999999999</v>
      </c>
      <c r="K2011" s="12">
        <v>2562.2809999999999</v>
      </c>
      <c r="L2011" s="13">
        <v>2386.431</v>
      </c>
      <c r="M2011" s="12">
        <v>1.008</v>
      </c>
      <c r="N2011" s="12">
        <v>1.008</v>
      </c>
      <c r="O2011" s="12">
        <v>8.3190000000000008</v>
      </c>
      <c r="P2011" s="12">
        <v>24</v>
      </c>
      <c r="Q2011" s="12">
        <v>24</v>
      </c>
      <c r="R2011" s="12">
        <v>20</v>
      </c>
    </row>
    <row r="2012" spans="1:18" ht="29.5" customHeight="1" x14ac:dyDescent="0.15">
      <c r="A2012" s="8" t="s">
        <v>10714</v>
      </c>
      <c r="B2012" s="9" t="s">
        <v>10715</v>
      </c>
      <c r="C2012" s="8" t="s">
        <v>10716</v>
      </c>
      <c r="D2012" s="8" t="s">
        <v>10716</v>
      </c>
      <c r="E2012" s="8" t="s">
        <v>10717</v>
      </c>
      <c r="F2012" s="8" t="s">
        <v>10573</v>
      </c>
      <c r="G2012" s="8" t="s">
        <v>10687</v>
      </c>
      <c r="H2012" s="8" t="s">
        <v>10665</v>
      </c>
      <c r="I2012" s="8" t="str">
        <f>HYPERLINK("http://www.crosspoint-chemise.com/","www.crosspoint-chemise.com")</f>
        <v>www.crosspoint-chemise.com</v>
      </c>
      <c r="J2012" s="10">
        <v>2506.2339999999999</v>
      </c>
      <c r="K2012" s="10">
        <v>2506.2339999999999</v>
      </c>
      <c r="L2012" s="10">
        <v>2386.0920000000001</v>
      </c>
      <c r="M2012" s="10">
        <v>4.0650000000000004</v>
      </c>
      <c r="N2012" s="10">
        <v>4.0650000000000004</v>
      </c>
      <c r="O2012" s="10">
        <v>1.526</v>
      </c>
      <c r="P2012" s="10">
        <v>8</v>
      </c>
      <c r="Q2012" s="10">
        <v>8</v>
      </c>
      <c r="R2012" s="10">
        <v>9</v>
      </c>
    </row>
    <row r="2013" spans="1:18" ht="17" customHeight="1" x14ac:dyDescent="0.15">
      <c r="A2013" s="11" t="s">
        <v>10718</v>
      </c>
      <c r="B2013" s="1" t="s">
        <v>10719</v>
      </c>
      <c r="C2013" s="11" t="s">
        <v>10720</v>
      </c>
      <c r="D2013" s="11" t="s">
        <v>10720</v>
      </c>
      <c r="E2013" s="11" t="s">
        <v>10721</v>
      </c>
      <c r="F2013" s="11" t="s">
        <v>10617</v>
      </c>
      <c r="G2013" s="11" t="s">
        <v>10618</v>
      </c>
      <c r="H2013" s="11" t="s">
        <v>10590</v>
      </c>
      <c r="I2013" s="11" t="str">
        <f>HYPERLINK("http://odeonpellami.it/","odeonpellami.it")</f>
        <v>odeonpellami.it</v>
      </c>
      <c r="J2013" s="12">
        <v>2345.828</v>
      </c>
      <c r="K2013" s="12">
        <v>2345.828</v>
      </c>
      <c r="L2013" s="13">
        <v>2377.1849999999999</v>
      </c>
      <c r="M2013" s="12">
        <v>7.085</v>
      </c>
      <c r="N2013" s="12">
        <v>7.085</v>
      </c>
      <c r="O2013" s="12">
        <v>4.1390000000000002</v>
      </c>
      <c r="P2013" s="14" t="s">
        <v>10576</v>
      </c>
      <c r="Q2013" s="14" t="s">
        <v>10576</v>
      </c>
      <c r="R2013" s="12">
        <v>0</v>
      </c>
    </row>
    <row r="2014" spans="1:18" ht="17" customHeight="1" x14ac:dyDescent="0.15">
      <c r="A2014" s="8" t="s">
        <v>10722</v>
      </c>
      <c r="B2014" s="9" t="s">
        <v>10723</v>
      </c>
      <c r="C2014" s="8" t="s">
        <v>10724</v>
      </c>
      <c r="D2014" s="8" t="s">
        <v>10724</v>
      </c>
      <c r="E2014" s="8" t="s">
        <v>10725</v>
      </c>
      <c r="F2014" s="8" t="s">
        <v>10726</v>
      </c>
      <c r="G2014" s="8" t="s">
        <v>10727</v>
      </c>
      <c r="H2014" s="8" t="s">
        <v>10583</v>
      </c>
      <c r="I2014" s="8" t="str">
        <f>HYPERLINK("http://www.moneystyle.it/","www.moneystyle.it")</f>
        <v>www.moneystyle.it</v>
      </c>
      <c r="J2014" s="10">
        <v>2252.3690000000001</v>
      </c>
      <c r="K2014" s="10">
        <v>2252.3690000000001</v>
      </c>
      <c r="L2014" s="10">
        <v>2376.1419999999998</v>
      </c>
      <c r="M2014" s="10">
        <v>15.215999999999999</v>
      </c>
      <c r="N2014" s="10">
        <v>15.215999999999999</v>
      </c>
      <c r="O2014" s="10">
        <v>16.654</v>
      </c>
      <c r="P2014" s="10">
        <v>5</v>
      </c>
      <c r="Q2014" s="10">
        <v>5</v>
      </c>
      <c r="R2014" s="10">
        <v>5</v>
      </c>
    </row>
    <row r="2015" spans="1:18" ht="17" customHeight="1" x14ac:dyDescent="0.15">
      <c r="A2015" s="11" t="s">
        <v>10728</v>
      </c>
      <c r="B2015" s="1" t="s">
        <v>10729</v>
      </c>
      <c r="C2015" s="11" t="s">
        <v>10730</v>
      </c>
      <c r="D2015" s="11" t="s">
        <v>10730</v>
      </c>
      <c r="E2015" s="11" t="s">
        <v>10731</v>
      </c>
      <c r="F2015" s="11" t="s">
        <v>10595</v>
      </c>
      <c r="G2015" s="11" t="s">
        <v>10732</v>
      </c>
      <c r="H2015" s="11" t="s">
        <v>10665</v>
      </c>
      <c r="I2015" s="11" t="str">
        <f>HYPERLINK("http://www.nemesisrl.org/","www.nemesisrl.org")</f>
        <v>www.nemesisrl.org</v>
      </c>
      <c r="J2015" s="12">
        <v>2252.6289999999999</v>
      </c>
      <c r="K2015" s="12">
        <v>2252.6289999999999</v>
      </c>
      <c r="L2015" s="13">
        <v>2375.9540000000002</v>
      </c>
      <c r="M2015" s="12">
        <v>206.84800000000001</v>
      </c>
      <c r="N2015" s="12">
        <v>206.84800000000001</v>
      </c>
      <c r="O2015" s="12">
        <v>249.65299999999999</v>
      </c>
      <c r="P2015" s="12">
        <v>17</v>
      </c>
      <c r="Q2015" s="12">
        <v>17</v>
      </c>
      <c r="R2015" s="12">
        <v>18</v>
      </c>
    </row>
    <row r="2016" spans="1:18" ht="17" customHeight="1" x14ac:dyDescent="0.15">
      <c r="A2016" s="8" t="s">
        <v>10733</v>
      </c>
      <c r="B2016" s="9" t="s">
        <v>10734</v>
      </c>
      <c r="C2016" s="8" t="s">
        <v>10735</v>
      </c>
      <c r="D2016" s="8" t="s">
        <v>10735</v>
      </c>
      <c r="E2016" s="8" t="s">
        <v>10736</v>
      </c>
      <c r="F2016" s="8" t="s">
        <v>10573</v>
      </c>
      <c r="G2016" s="8" t="s">
        <v>10596</v>
      </c>
      <c r="H2016" s="8" t="s">
        <v>10583</v>
      </c>
      <c r="I2016" s="8" t="str">
        <f>HYPERLINK("http://www.hefty-collection.com/","http://www.hefty-collection.com")</f>
        <v>http://www.hefty-collection.com</v>
      </c>
      <c r="J2016" s="10">
        <v>4359.8980000000001</v>
      </c>
      <c r="K2016" s="10">
        <v>4359.8980000000001</v>
      </c>
      <c r="L2016" s="10">
        <v>2375.8809999999999</v>
      </c>
      <c r="M2016" s="10">
        <v>108.941</v>
      </c>
      <c r="N2016" s="10">
        <v>108.941</v>
      </c>
      <c r="O2016" s="10">
        <v>53.451000000000001</v>
      </c>
      <c r="P2016" s="15" t="s">
        <v>10576</v>
      </c>
      <c r="Q2016" s="15" t="s">
        <v>10576</v>
      </c>
      <c r="R2016" s="10">
        <v>10</v>
      </c>
    </row>
    <row r="2017" spans="1:18" ht="17" customHeight="1" x14ac:dyDescent="0.15">
      <c r="A2017" s="11" t="s">
        <v>10737</v>
      </c>
      <c r="B2017" s="1" t="s">
        <v>10738</v>
      </c>
      <c r="C2017" s="11" t="s">
        <v>10739</v>
      </c>
      <c r="D2017" s="11" t="s">
        <v>10739</v>
      </c>
      <c r="E2017" s="11" t="s">
        <v>10740</v>
      </c>
      <c r="F2017" s="11" t="s">
        <v>10741</v>
      </c>
      <c r="G2017" s="11" t="s">
        <v>10742</v>
      </c>
      <c r="H2017" s="11" t="s">
        <v>10743</v>
      </c>
      <c r="I2017" s="11" t="str">
        <f>HYPERLINK("http://www.reposa.it/","www.reposa.it")</f>
        <v>www.reposa.it</v>
      </c>
      <c r="J2017" s="12">
        <v>2286.0949999999998</v>
      </c>
      <c r="K2017" s="12">
        <v>2286.0949999999998</v>
      </c>
      <c r="L2017" s="13">
        <v>2375.4650000000001</v>
      </c>
      <c r="M2017" s="12">
        <v>483.73700000000002</v>
      </c>
      <c r="N2017" s="12">
        <v>483.73700000000002</v>
      </c>
      <c r="O2017" s="12">
        <v>3.2519999999999998</v>
      </c>
      <c r="P2017" s="12">
        <v>3</v>
      </c>
      <c r="Q2017" s="12">
        <v>3</v>
      </c>
      <c r="R2017" s="12">
        <v>5</v>
      </c>
    </row>
    <row r="2018" spans="1:18" ht="29.5" customHeight="1" x14ac:dyDescent="0.15">
      <c r="A2018" s="8" t="s">
        <v>10744</v>
      </c>
      <c r="B2018" s="9" t="s">
        <v>10745</v>
      </c>
      <c r="C2018" s="8" t="s">
        <v>10746</v>
      </c>
      <c r="D2018" s="8" t="s">
        <v>10747</v>
      </c>
      <c r="E2018" s="8" t="s">
        <v>10748</v>
      </c>
      <c r="F2018" s="8" t="s">
        <v>10749</v>
      </c>
      <c r="G2018" s="8" t="s">
        <v>10750</v>
      </c>
      <c r="H2018" s="8" t="s">
        <v>10743</v>
      </c>
      <c r="I2018" s="8" t="str">
        <f>HYPERLINK("http://www.sxpitalia.com/","www.sxpitalia.com")</f>
        <v>www.sxpitalia.com</v>
      </c>
      <c r="J2018" s="10">
        <v>2198.8879999999999</v>
      </c>
      <c r="K2018" s="10">
        <v>2198.8879999999999</v>
      </c>
      <c r="L2018" s="10">
        <v>2374.567</v>
      </c>
      <c r="M2018" s="10">
        <v>74.512</v>
      </c>
      <c r="N2018" s="10">
        <v>74.512</v>
      </c>
      <c r="O2018" s="10">
        <v>289.09399999999999</v>
      </c>
      <c r="P2018" s="10">
        <v>9</v>
      </c>
      <c r="Q2018" s="10">
        <v>9</v>
      </c>
      <c r="R2018" s="10">
        <v>10</v>
      </c>
    </row>
    <row r="2019" spans="1:18" ht="17" customHeight="1" x14ac:dyDescent="0.15">
      <c r="A2019" s="11" t="s">
        <v>10751</v>
      </c>
      <c r="B2019" s="1" t="s">
        <v>10752</v>
      </c>
      <c r="C2019" s="11" t="s">
        <v>10753</v>
      </c>
      <c r="D2019" s="11" t="s">
        <v>10753</v>
      </c>
      <c r="E2019" s="11" t="s">
        <v>10754</v>
      </c>
      <c r="F2019" s="11" t="s">
        <v>10741</v>
      </c>
      <c r="G2019" s="11" t="s">
        <v>10755</v>
      </c>
      <c r="H2019" s="11" t="s">
        <v>10756</v>
      </c>
      <c r="I2019" s="11" t="str">
        <f>HYPERLINK("http://www.agostini.shoes/","www.agostini.shoes")</f>
        <v>www.agostini.shoes</v>
      </c>
      <c r="J2019" s="12">
        <v>2122.7800000000002</v>
      </c>
      <c r="K2019" s="12">
        <v>2122.7800000000002</v>
      </c>
      <c r="L2019" s="13">
        <v>2373.2109999999998</v>
      </c>
      <c r="M2019" s="12">
        <v>28.268999999999998</v>
      </c>
      <c r="N2019" s="12">
        <v>28.268999999999998</v>
      </c>
      <c r="O2019" s="12">
        <v>47.944000000000003</v>
      </c>
      <c r="P2019" s="12">
        <v>16</v>
      </c>
      <c r="Q2019" s="12">
        <v>16</v>
      </c>
      <c r="R2019" s="12">
        <v>25</v>
      </c>
    </row>
    <row r="2020" spans="1:18" ht="17" customHeight="1" x14ac:dyDescent="0.15">
      <c r="A2020" s="8" t="s">
        <v>10757</v>
      </c>
      <c r="B2020" s="9" t="s">
        <v>10758</v>
      </c>
      <c r="C2020" s="8" t="s">
        <v>10759</v>
      </c>
      <c r="D2020" s="8" t="s">
        <v>10759</v>
      </c>
      <c r="E2020" s="8" t="s">
        <v>10760</v>
      </c>
      <c r="F2020" s="8" t="s">
        <v>10761</v>
      </c>
      <c r="G2020" s="8" t="s">
        <v>10762</v>
      </c>
      <c r="H2020" s="8" t="s">
        <v>10763</v>
      </c>
      <c r="I2020" s="8" t="str">
        <f>HYPERLINK("http://www.cappellificiocervo.it/","www.cappellificiocervo.it")</f>
        <v>www.cappellificiocervo.it</v>
      </c>
      <c r="J2020" s="10">
        <v>3280.8820000000001</v>
      </c>
      <c r="K2020" s="10">
        <v>3280.8820000000001</v>
      </c>
      <c r="L2020" s="10">
        <v>2370.895</v>
      </c>
      <c r="M2020" s="10">
        <v>117.63500000000001</v>
      </c>
      <c r="N2020" s="10">
        <v>117.63500000000001</v>
      </c>
      <c r="O2020" s="10">
        <v>75.852999999999994</v>
      </c>
      <c r="P2020" s="10">
        <v>11</v>
      </c>
      <c r="Q2020" s="10">
        <v>11</v>
      </c>
      <c r="R2020" s="10">
        <v>11</v>
      </c>
    </row>
    <row r="2021" spans="1:18" ht="17" customHeight="1" x14ac:dyDescent="0.15">
      <c r="A2021" s="11" t="s">
        <v>10764</v>
      </c>
      <c r="B2021" s="1" t="s">
        <v>10765</v>
      </c>
      <c r="C2021" s="11" t="s">
        <v>10766</v>
      </c>
      <c r="D2021" s="11" t="s">
        <v>10766</v>
      </c>
      <c r="E2021" s="11" t="s">
        <v>10767</v>
      </c>
      <c r="F2021" s="11" t="s">
        <v>10768</v>
      </c>
      <c r="G2021" s="11" t="s">
        <v>10769</v>
      </c>
      <c r="H2021" s="11" t="s">
        <v>10770</v>
      </c>
      <c r="I2021" s="11" t="str">
        <f>HYPERLINK("http://www.blueyes-italy.it/","www.blueyes-italy.it")</f>
        <v>www.blueyes-italy.it</v>
      </c>
      <c r="J2021" s="12">
        <v>1893.386</v>
      </c>
      <c r="K2021" s="12">
        <v>1893.386</v>
      </c>
      <c r="L2021" s="13">
        <v>2370.44</v>
      </c>
      <c r="M2021" s="12">
        <v>12.047000000000001</v>
      </c>
      <c r="N2021" s="12">
        <v>12.047000000000001</v>
      </c>
      <c r="O2021" s="12">
        <v>62.25</v>
      </c>
      <c r="P2021" s="12">
        <v>30</v>
      </c>
      <c r="Q2021" s="12">
        <v>30</v>
      </c>
      <c r="R2021" s="12">
        <v>36</v>
      </c>
    </row>
    <row r="2022" spans="1:18" ht="17" customHeight="1" x14ac:dyDescent="0.15">
      <c r="A2022" s="8" t="s">
        <v>10771</v>
      </c>
      <c r="B2022" s="9" t="s">
        <v>10772</v>
      </c>
      <c r="C2022" s="8" t="s">
        <v>10773</v>
      </c>
      <c r="D2022" s="8" t="s">
        <v>10773</v>
      </c>
      <c r="E2022" s="8" t="s">
        <v>10774</v>
      </c>
      <c r="F2022" s="8" t="s">
        <v>10761</v>
      </c>
      <c r="G2022" s="8" t="s">
        <v>10775</v>
      </c>
      <c r="H2022" s="8" t="s">
        <v>10776</v>
      </c>
      <c r="I2022" s="8" t="str">
        <f>HYPERLINK("http://axis-italy.com/","axis-italy.com")</f>
        <v>axis-italy.com</v>
      </c>
      <c r="J2022" s="10">
        <v>1500.8389999999999</v>
      </c>
      <c r="K2022" s="10">
        <v>1500.8389999999999</v>
      </c>
      <c r="L2022" s="10">
        <v>2369.7979999999998</v>
      </c>
      <c r="M2022" s="10">
        <v>28.257000000000001</v>
      </c>
      <c r="N2022" s="10">
        <v>28.257000000000001</v>
      </c>
      <c r="O2022" s="10">
        <v>24.52</v>
      </c>
      <c r="P2022" s="10">
        <v>17</v>
      </c>
      <c r="Q2022" s="10">
        <v>17</v>
      </c>
      <c r="R2022" s="10">
        <v>19</v>
      </c>
    </row>
    <row r="2023" spans="1:18" ht="17" customHeight="1" x14ac:dyDescent="0.15">
      <c r="A2023" s="11" t="s">
        <v>10777</v>
      </c>
      <c r="B2023" s="1" t="s">
        <v>10778</v>
      </c>
      <c r="C2023" s="11" t="s">
        <v>10779</v>
      </c>
      <c r="D2023" s="11" t="s">
        <v>10779</v>
      </c>
      <c r="E2023" s="11" t="s">
        <v>10780</v>
      </c>
      <c r="F2023" s="11" t="s">
        <v>10781</v>
      </c>
      <c r="G2023" s="11" t="s">
        <v>10750</v>
      </c>
      <c r="H2023" s="11" t="s">
        <v>10743</v>
      </c>
      <c r="I2023" s="11" t="str">
        <f>HYPERLINK("http://www.newlorima.it/","www.newlorima.it")</f>
        <v>www.newlorima.it</v>
      </c>
      <c r="J2023" s="12">
        <v>2555.65</v>
      </c>
      <c r="K2023" s="12">
        <v>2555.65</v>
      </c>
      <c r="L2023" s="13">
        <v>2368.69</v>
      </c>
      <c r="M2023" s="12">
        <v>-76.655000000000001</v>
      </c>
      <c r="N2023" s="12">
        <v>-76.655000000000001</v>
      </c>
      <c r="O2023" s="12">
        <v>26.591000000000001</v>
      </c>
      <c r="P2023" s="12">
        <v>21</v>
      </c>
      <c r="Q2023" s="12">
        <v>21</v>
      </c>
      <c r="R2023" s="12">
        <v>21</v>
      </c>
    </row>
    <row r="2024" spans="1:18" ht="17" customHeight="1" x14ac:dyDescent="0.15">
      <c r="A2024" s="8" t="s">
        <v>10782</v>
      </c>
      <c r="B2024" s="9" t="s">
        <v>10783</v>
      </c>
      <c r="C2024" s="8" t="s">
        <v>10784</v>
      </c>
      <c r="D2024" s="8" t="s">
        <v>10784</v>
      </c>
      <c r="E2024" s="8" t="s">
        <v>10785</v>
      </c>
      <c r="F2024" s="8" t="s">
        <v>10786</v>
      </c>
      <c r="G2024" s="8" t="s">
        <v>10787</v>
      </c>
      <c r="H2024" s="8" t="s">
        <v>10770</v>
      </c>
      <c r="I2024" s="8" t="str">
        <f>HYPERLINK("http://www.jollypiuconfezioni.it/","www.jollypiuconfezioni.it")</f>
        <v>www.jollypiuconfezioni.it</v>
      </c>
      <c r="J2024" s="10">
        <v>2324.364</v>
      </c>
      <c r="K2024" s="10">
        <v>2324.364</v>
      </c>
      <c r="L2024" s="10">
        <v>2367.7809999999999</v>
      </c>
      <c r="M2024" s="10">
        <v>9.2810000000000006</v>
      </c>
      <c r="N2024" s="10">
        <v>9.2810000000000006</v>
      </c>
      <c r="O2024" s="10">
        <v>16.189</v>
      </c>
      <c r="P2024" s="10">
        <v>13</v>
      </c>
      <c r="Q2024" s="10">
        <v>13</v>
      </c>
      <c r="R2024" s="10">
        <v>13</v>
      </c>
    </row>
    <row r="2025" spans="1:18" ht="29.5" customHeight="1" x14ac:dyDescent="0.15">
      <c r="A2025" s="11" t="s">
        <v>10788</v>
      </c>
      <c r="B2025" s="1" t="s">
        <v>10789</v>
      </c>
      <c r="C2025" s="11" t="s">
        <v>10790</v>
      </c>
      <c r="D2025" s="11" t="s">
        <v>10790</v>
      </c>
      <c r="E2025" s="11" t="s">
        <v>10791</v>
      </c>
      <c r="F2025" s="11" t="s">
        <v>10741</v>
      </c>
      <c r="G2025" s="11" t="s">
        <v>10775</v>
      </c>
      <c r="H2025" s="11" t="s">
        <v>10776</v>
      </c>
      <c r="I2025" s="11" t="str">
        <f>HYPERLINK("http://www.jarrett.it/","www.jarrett.it")</f>
        <v>www.jarrett.it</v>
      </c>
      <c r="J2025" s="12">
        <v>4143.6769999999997</v>
      </c>
      <c r="K2025" s="12">
        <v>4143.6769999999997</v>
      </c>
      <c r="L2025" s="13">
        <v>2366.5540000000001</v>
      </c>
      <c r="M2025" s="12">
        <v>118.075</v>
      </c>
      <c r="N2025" s="12">
        <v>118.075</v>
      </c>
      <c r="O2025" s="12">
        <v>41.643999999999998</v>
      </c>
      <c r="P2025" s="14" t="s">
        <v>10792</v>
      </c>
      <c r="Q2025" s="14" t="s">
        <v>10792</v>
      </c>
      <c r="R2025" s="12">
        <v>28</v>
      </c>
    </row>
    <row r="2026" spans="1:18" ht="17" customHeight="1" x14ac:dyDescent="0.15">
      <c r="A2026" s="8" t="s">
        <v>10793</v>
      </c>
      <c r="B2026" s="9" t="s">
        <v>10794</v>
      </c>
      <c r="C2026" s="8" t="s">
        <v>10795</v>
      </c>
      <c r="D2026" s="8" t="s">
        <v>10795</v>
      </c>
      <c r="E2026" s="8" t="s">
        <v>10796</v>
      </c>
      <c r="F2026" s="8" t="s">
        <v>10761</v>
      </c>
      <c r="G2026" s="8" t="s">
        <v>10797</v>
      </c>
      <c r="H2026" s="8" t="s">
        <v>10798</v>
      </c>
      <c r="I2026" s="8" t="str">
        <f>HYPERLINK("http://www.biagiosanto.it/","www.biagiosanto.it")</f>
        <v>www.biagiosanto.it</v>
      </c>
      <c r="J2026" s="10">
        <v>2653.761</v>
      </c>
      <c r="K2026" s="10">
        <v>2653.761</v>
      </c>
      <c r="L2026" s="10">
        <v>2364.6889999999999</v>
      </c>
      <c r="M2026" s="10">
        <v>-206.553</v>
      </c>
      <c r="N2026" s="10">
        <v>-206.553</v>
      </c>
      <c r="O2026" s="10">
        <v>-91.066999999999993</v>
      </c>
      <c r="P2026" s="10">
        <v>45</v>
      </c>
      <c r="Q2026" s="10">
        <v>45</v>
      </c>
      <c r="R2026" s="10">
        <v>47</v>
      </c>
    </row>
    <row r="2027" spans="1:18" ht="17" customHeight="1" x14ac:dyDescent="0.15">
      <c r="A2027" s="11" t="s">
        <v>10799</v>
      </c>
      <c r="B2027" s="1" t="s">
        <v>10800</v>
      </c>
      <c r="C2027" s="11" t="s">
        <v>10801</v>
      </c>
      <c r="D2027" s="11" t="s">
        <v>10801</v>
      </c>
      <c r="E2027" s="11" t="s">
        <v>10802</v>
      </c>
      <c r="F2027" s="11" t="s">
        <v>10749</v>
      </c>
      <c r="G2027" s="11" t="s">
        <v>10803</v>
      </c>
      <c r="H2027" s="11" t="s">
        <v>10804</v>
      </c>
      <c r="I2027" s="11" t="str">
        <f>HYPERLINK("http://www.feasportswear.it/","www.feasportswear.it")</f>
        <v>www.feasportswear.it</v>
      </c>
      <c r="J2027" s="12">
        <v>2430.9780000000001</v>
      </c>
      <c r="K2027" s="12">
        <v>2430.9780000000001</v>
      </c>
      <c r="L2027" s="13">
        <v>2357.2820000000002</v>
      </c>
      <c r="M2027" s="12">
        <v>9.5980000000000008</v>
      </c>
      <c r="N2027" s="12">
        <v>9.5980000000000008</v>
      </c>
      <c r="O2027" s="12">
        <v>5.5590000000000002</v>
      </c>
      <c r="P2027" s="12">
        <v>5</v>
      </c>
      <c r="Q2027" s="12">
        <v>5</v>
      </c>
      <c r="R2027" s="12">
        <v>4</v>
      </c>
    </row>
    <row r="2028" spans="1:18" ht="17" customHeight="1" x14ac:dyDescent="0.15">
      <c r="A2028" s="8" t="s">
        <v>10805</v>
      </c>
      <c r="B2028" s="9" t="s">
        <v>10806</v>
      </c>
      <c r="C2028" s="8" t="s">
        <v>10807</v>
      </c>
      <c r="D2028" s="8" t="s">
        <v>10807</v>
      </c>
      <c r="E2028" s="8" t="s">
        <v>10808</v>
      </c>
      <c r="F2028" s="8" t="s">
        <v>10809</v>
      </c>
      <c r="G2028" s="8" t="s">
        <v>10803</v>
      </c>
      <c r="H2028" s="8" t="s">
        <v>10804</v>
      </c>
      <c r="I2028" s="8" t="str">
        <f>HYPERLINK("http://www.confezioniumbre.it/","www.confezioniumbre.it")</f>
        <v>www.confezioniumbre.it</v>
      </c>
      <c r="J2028" s="10">
        <v>2385.6579999999999</v>
      </c>
      <c r="K2028" s="10">
        <v>2385.6579999999999</v>
      </c>
      <c r="L2028" s="10">
        <v>2347.4140000000002</v>
      </c>
      <c r="M2028" s="10">
        <v>1.8879999999999999</v>
      </c>
      <c r="N2028" s="10">
        <v>1.8879999999999999</v>
      </c>
      <c r="O2028" s="10">
        <v>-176.197</v>
      </c>
      <c r="P2028" s="10">
        <v>8</v>
      </c>
      <c r="Q2028" s="10">
        <v>8</v>
      </c>
      <c r="R2028" s="10">
        <v>8</v>
      </c>
    </row>
    <row r="2029" spans="1:18" ht="17" customHeight="1" x14ac:dyDescent="0.15">
      <c r="A2029" s="11" t="s">
        <v>10810</v>
      </c>
      <c r="B2029" s="1" t="s">
        <v>10811</v>
      </c>
      <c r="C2029" s="11" t="s">
        <v>10812</v>
      </c>
      <c r="D2029" s="11" t="s">
        <v>10812</v>
      </c>
      <c r="E2029" s="11" t="s">
        <v>10813</v>
      </c>
      <c r="F2029" s="11" t="s">
        <v>10786</v>
      </c>
      <c r="G2029" s="11" t="s">
        <v>10814</v>
      </c>
      <c r="H2029" s="11" t="s">
        <v>10743</v>
      </c>
      <c r="I2029" s="11" t="str">
        <f>HYPERLINK("http://www.koon.it/","www.koon.it")</f>
        <v>www.koon.it</v>
      </c>
      <c r="J2029" s="12">
        <v>2315.3589999999999</v>
      </c>
      <c r="K2029" s="12">
        <v>2315.3589999999999</v>
      </c>
      <c r="L2029" s="13">
        <v>2345.864</v>
      </c>
      <c r="M2029" s="12">
        <v>1.59</v>
      </c>
      <c r="N2029" s="12">
        <v>1.59</v>
      </c>
      <c r="O2029" s="12">
        <v>3.6859999999999999</v>
      </c>
      <c r="P2029" s="14" t="s">
        <v>10792</v>
      </c>
      <c r="Q2029" s="14" t="s">
        <v>10792</v>
      </c>
      <c r="R2029" s="12">
        <v>9</v>
      </c>
    </row>
    <row r="2030" spans="1:18" ht="17" customHeight="1" x14ac:dyDescent="0.15">
      <c r="A2030" s="8" t="s">
        <v>10815</v>
      </c>
      <c r="B2030" s="9" t="s">
        <v>10816</v>
      </c>
      <c r="C2030" s="8" t="s">
        <v>10817</v>
      </c>
      <c r="D2030" s="8" t="s">
        <v>10817</v>
      </c>
      <c r="E2030" s="8" t="s">
        <v>10818</v>
      </c>
      <c r="F2030" s="8" t="s">
        <v>10749</v>
      </c>
      <c r="G2030" s="8" t="s">
        <v>10819</v>
      </c>
      <c r="H2030" s="8" t="s">
        <v>10798</v>
      </c>
      <c r="I2030" s="8" t="str">
        <f>HYPERLINK("http://www.etielle.it/","www.etielle.it")</f>
        <v>www.etielle.it</v>
      </c>
      <c r="J2030" s="10">
        <v>2824.14</v>
      </c>
      <c r="K2030" s="10">
        <v>2824.14</v>
      </c>
      <c r="L2030" s="10">
        <v>2340.453</v>
      </c>
      <c r="M2030" s="10">
        <v>17.207999999999998</v>
      </c>
      <c r="N2030" s="10">
        <v>17.207999999999998</v>
      </c>
      <c r="O2030" s="10">
        <v>40.695</v>
      </c>
      <c r="P2030" s="15" t="s">
        <v>10792</v>
      </c>
      <c r="Q2030" s="15" t="s">
        <v>10792</v>
      </c>
      <c r="R2030" s="10">
        <v>21</v>
      </c>
    </row>
    <row r="2031" spans="1:18" ht="17" customHeight="1" x14ac:dyDescent="0.15">
      <c r="A2031" s="11" t="s">
        <v>10820</v>
      </c>
      <c r="B2031" s="1" t="s">
        <v>10821</v>
      </c>
      <c r="C2031" s="11" t="s">
        <v>10822</v>
      </c>
      <c r="D2031" s="11" t="s">
        <v>10822</v>
      </c>
      <c r="E2031" s="11" t="s">
        <v>10823</v>
      </c>
      <c r="F2031" s="11" t="s">
        <v>10761</v>
      </c>
      <c r="G2031" s="11" t="s">
        <v>10742</v>
      </c>
      <c r="H2031" s="11" t="s">
        <v>10743</v>
      </c>
      <c r="I2031" s="11" t="str">
        <f>HYPERLINK("http://www.cintelliegalluzzo.it/","www.cintelliegalluzzo.it")</f>
        <v>www.cintelliegalluzzo.it</v>
      </c>
      <c r="J2031" s="12">
        <v>1167.665</v>
      </c>
      <c r="K2031" s="12">
        <v>1167.665</v>
      </c>
      <c r="L2031" s="13">
        <v>2338.7860000000001</v>
      </c>
      <c r="M2031" s="12">
        <v>2.4430000000000001</v>
      </c>
      <c r="N2031" s="12">
        <v>2.4430000000000001</v>
      </c>
      <c r="O2031" s="12">
        <v>20.149000000000001</v>
      </c>
      <c r="P2031" s="12">
        <v>5</v>
      </c>
      <c r="Q2031" s="12">
        <v>5</v>
      </c>
      <c r="R2031" s="12">
        <v>4</v>
      </c>
    </row>
    <row r="2032" spans="1:18" ht="17" customHeight="1" x14ac:dyDescent="0.15">
      <c r="A2032" s="8" t="s">
        <v>10824</v>
      </c>
      <c r="B2032" s="9" t="s">
        <v>10825</v>
      </c>
      <c r="C2032" s="8" t="s">
        <v>10826</v>
      </c>
      <c r="D2032" s="8" t="s">
        <v>10826</v>
      </c>
      <c r="E2032" s="8" t="s">
        <v>10827</v>
      </c>
      <c r="F2032" s="8" t="s">
        <v>10741</v>
      </c>
      <c r="G2032" s="8" t="s">
        <v>10828</v>
      </c>
      <c r="H2032" s="8" t="s">
        <v>10776</v>
      </c>
      <c r="I2032" s="8" t="str">
        <f>HYPERLINK("http://www.bettis.it/","www.bettis.it")</f>
        <v>www.bettis.it</v>
      </c>
      <c r="J2032" s="10">
        <v>2323.8760000000002</v>
      </c>
      <c r="K2032" s="10">
        <v>2323.8760000000002</v>
      </c>
      <c r="L2032" s="10">
        <v>2336.335</v>
      </c>
      <c r="M2032" s="10">
        <v>43.557000000000002</v>
      </c>
      <c r="N2032" s="10">
        <v>43.557000000000002</v>
      </c>
      <c r="O2032" s="10">
        <v>86.966999999999999</v>
      </c>
      <c r="P2032" s="10">
        <v>11</v>
      </c>
      <c r="Q2032" s="10">
        <v>11</v>
      </c>
      <c r="R2032" s="10">
        <v>11</v>
      </c>
    </row>
    <row r="2033" spans="1:18" ht="17" customHeight="1" x14ac:dyDescent="0.15">
      <c r="A2033" s="11" t="s">
        <v>10829</v>
      </c>
      <c r="B2033" s="1" t="s">
        <v>10830</v>
      </c>
      <c r="C2033" s="11" t="s">
        <v>10831</v>
      </c>
      <c r="D2033" s="11" t="s">
        <v>10831</v>
      </c>
      <c r="E2033" s="11" t="s">
        <v>10832</v>
      </c>
      <c r="F2033" s="11" t="s">
        <v>10833</v>
      </c>
      <c r="G2033" s="11" t="s">
        <v>10834</v>
      </c>
      <c r="H2033" s="11" t="s">
        <v>10798</v>
      </c>
      <c r="I2033" s="11" t="str">
        <f>HYPERLINK("http://www.effegrinta.it/","www.effegrinta.it")</f>
        <v>www.effegrinta.it</v>
      </c>
      <c r="J2033" s="12">
        <v>2632.4989999999998</v>
      </c>
      <c r="K2033" s="12">
        <v>2632.4989999999998</v>
      </c>
      <c r="L2033" s="13">
        <v>2334.0659999999998</v>
      </c>
      <c r="M2033" s="12">
        <v>102.441</v>
      </c>
      <c r="N2033" s="12">
        <v>102.441</v>
      </c>
      <c r="O2033" s="12">
        <v>113.639</v>
      </c>
      <c r="P2033" s="14" t="s">
        <v>10792</v>
      </c>
      <c r="Q2033" s="14" t="s">
        <v>10792</v>
      </c>
      <c r="R2033" s="12">
        <v>12</v>
      </c>
    </row>
    <row r="2034" spans="1:18" ht="17" customHeight="1" x14ac:dyDescent="0.15">
      <c r="A2034" s="8" t="s">
        <v>10835</v>
      </c>
      <c r="B2034" s="9" t="s">
        <v>10836</v>
      </c>
      <c r="C2034" s="8" t="s">
        <v>10837</v>
      </c>
      <c r="D2034" s="8" t="s">
        <v>10837</v>
      </c>
      <c r="E2034" s="8" t="s">
        <v>10838</v>
      </c>
      <c r="F2034" s="8" t="s">
        <v>10839</v>
      </c>
      <c r="G2034" s="8" t="s">
        <v>10742</v>
      </c>
      <c r="H2034" s="8" t="s">
        <v>10743</v>
      </c>
      <c r="I2034" s="8" t="str">
        <f>HYPERLINK("http://laviafirenze.com/","laviafirenze.com")</f>
        <v>laviafirenze.com</v>
      </c>
      <c r="J2034" s="10">
        <v>2415.9769999999999</v>
      </c>
      <c r="K2034" s="10">
        <v>2415.9769999999999</v>
      </c>
      <c r="L2034" s="10">
        <v>2334.0650000000001</v>
      </c>
      <c r="M2034" s="10">
        <v>32.323</v>
      </c>
      <c r="N2034" s="10">
        <v>32.323</v>
      </c>
      <c r="O2034" s="10">
        <v>23.858000000000001</v>
      </c>
      <c r="P2034" s="10">
        <v>6</v>
      </c>
      <c r="Q2034" s="10">
        <v>6</v>
      </c>
      <c r="R2034" s="10">
        <v>7</v>
      </c>
    </row>
    <row r="2035" spans="1:18" ht="29.5" customHeight="1" x14ac:dyDescent="0.15">
      <c r="A2035" s="11" t="s">
        <v>10840</v>
      </c>
      <c r="B2035" s="1" t="s">
        <v>10841</v>
      </c>
      <c r="C2035" s="11" t="s">
        <v>10842</v>
      </c>
      <c r="D2035" s="11" t="s">
        <v>10842</v>
      </c>
      <c r="E2035" s="11" t="s">
        <v>10843</v>
      </c>
      <c r="F2035" s="11" t="s">
        <v>10844</v>
      </c>
      <c r="G2035" s="11" t="s">
        <v>10845</v>
      </c>
      <c r="H2035" s="11" t="s">
        <v>10763</v>
      </c>
      <c r="I2035" s="11" t="str">
        <f>HYPERLINK("http://flsolettificio.it/","flsolettificio.it")</f>
        <v>flsolettificio.it</v>
      </c>
      <c r="J2035" s="12">
        <v>2238.8130000000001</v>
      </c>
      <c r="K2035" s="12">
        <v>2238.8130000000001</v>
      </c>
      <c r="L2035" s="13">
        <v>2334.0329999999999</v>
      </c>
      <c r="M2035" s="12">
        <v>135.447</v>
      </c>
      <c r="N2035" s="12">
        <v>135.447</v>
      </c>
      <c r="O2035" s="12">
        <v>246.00200000000001</v>
      </c>
      <c r="P2035" s="12">
        <v>20</v>
      </c>
      <c r="Q2035" s="12">
        <v>20</v>
      </c>
      <c r="R2035" s="12">
        <v>21</v>
      </c>
    </row>
    <row r="2036" spans="1:18" ht="17" customHeight="1" x14ac:dyDescent="0.15">
      <c r="A2036" s="8" t="s">
        <v>10846</v>
      </c>
      <c r="B2036" s="9" t="s">
        <v>10847</v>
      </c>
      <c r="C2036" s="8" t="s">
        <v>10848</v>
      </c>
      <c r="D2036" s="8" t="s">
        <v>10848</v>
      </c>
      <c r="E2036" s="8" t="s">
        <v>10849</v>
      </c>
      <c r="F2036" s="8" t="s">
        <v>10839</v>
      </c>
      <c r="G2036" s="8" t="s">
        <v>10742</v>
      </c>
      <c r="H2036" s="8" t="s">
        <v>10743</v>
      </c>
      <c r="I2036" s="8" t="str">
        <f>HYPERLINK("http://www.postandco.it/","www.postandco.it")</f>
        <v>www.postandco.it</v>
      </c>
      <c r="J2036" s="10">
        <v>2214.6120000000001</v>
      </c>
      <c r="K2036" s="10">
        <v>2214.6120000000001</v>
      </c>
      <c r="L2036" s="10">
        <v>2333.1320000000001</v>
      </c>
      <c r="M2036" s="10">
        <v>15.935</v>
      </c>
      <c r="N2036" s="10">
        <v>15.935</v>
      </c>
      <c r="O2036" s="10">
        <v>34.317</v>
      </c>
      <c r="P2036" s="15" t="s">
        <v>10792</v>
      </c>
      <c r="Q2036" s="15" t="s">
        <v>10792</v>
      </c>
      <c r="R2036" s="10">
        <v>15</v>
      </c>
    </row>
    <row r="2037" spans="1:18" ht="17" customHeight="1" x14ac:dyDescent="0.15">
      <c r="A2037" s="11" t="s">
        <v>10850</v>
      </c>
      <c r="B2037" s="1" t="s">
        <v>10851</v>
      </c>
      <c r="C2037" s="11" t="s">
        <v>10852</v>
      </c>
      <c r="D2037" s="11" t="s">
        <v>10852</v>
      </c>
      <c r="E2037" s="11" t="s">
        <v>10853</v>
      </c>
      <c r="F2037" s="11" t="s">
        <v>10786</v>
      </c>
      <c r="G2037" s="11" t="s">
        <v>10854</v>
      </c>
      <c r="H2037" s="11" t="s">
        <v>10770</v>
      </c>
      <c r="I2037" s="11" t="str">
        <f>HYPERLINK("http://www.dorafalu.com/","www.dorafalu.com")</f>
        <v>www.dorafalu.com</v>
      </c>
      <c r="J2037" s="12">
        <v>2944.3809999999999</v>
      </c>
      <c r="K2037" s="12">
        <v>2944.3809999999999</v>
      </c>
      <c r="L2037" s="13">
        <v>2333.0010000000002</v>
      </c>
      <c r="M2037" s="12">
        <v>327.41500000000002</v>
      </c>
      <c r="N2037" s="12">
        <v>327.41500000000002</v>
      </c>
      <c r="O2037" s="12">
        <v>122.38200000000001</v>
      </c>
      <c r="P2037" s="12">
        <v>29</v>
      </c>
      <c r="Q2037" s="12">
        <v>29</v>
      </c>
      <c r="R2037" s="12">
        <v>26</v>
      </c>
    </row>
    <row r="2038" spans="1:18" ht="17" customHeight="1" x14ac:dyDescent="0.15">
      <c r="A2038" s="8" t="s">
        <v>10855</v>
      </c>
      <c r="B2038" s="9" t="s">
        <v>10856</v>
      </c>
      <c r="C2038" s="8" t="s">
        <v>10857</v>
      </c>
      <c r="D2038" s="8" t="s">
        <v>10857</v>
      </c>
      <c r="E2038" s="8" t="s">
        <v>10858</v>
      </c>
      <c r="F2038" s="8" t="s">
        <v>10859</v>
      </c>
      <c r="G2038" s="8" t="s">
        <v>10860</v>
      </c>
      <c r="H2038" s="8" t="s">
        <v>10756</v>
      </c>
      <c r="I2038" s="8" t="str">
        <f>HYPERLINK("http://selina.it/","selina.it")</f>
        <v>selina.it</v>
      </c>
      <c r="J2038" s="10">
        <v>2747.2249999999999</v>
      </c>
      <c r="K2038" s="10">
        <v>2747.2249999999999</v>
      </c>
      <c r="L2038" s="10">
        <v>2332.4650000000001</v>
      </c>
      <c r="M2038" s="10">
        <v>37.555</v>
      </c>
      <c r="N2038" s="10">
        <v>37.555</v>
      </c>
      <c r="O2038" s="10">
        <v>-347.62599999999998</v>
      </c>
      <c r="P2038" s="10">
        <v>8</v>
      </c>
      <c r="Q2038" s="10">
        <v>8</v>
      </c>
      <c r="R2038" s="10">
        <v>9</v>
      </c>
    </row>
    <row r="2039" spans="1:18" ht="29.5" customHeight="1" x14ac:dyDescent="0.15">
      <c r="A2039" s="11" t="s">
        <v>10861</v>
      </c>
      <c r="B2039" s="1" t="s">
        <v>10862</v>
      </c>
      <c r="C2039" s="11" t="s">
        <v>10863</v>
      </c>
      <c r="D2039" s="11" t="s">
        <v>10863</v>
      </c>
      <c r="E2039" s="11" t="s">
        <v>10864</v>
      </c>
      <c r="F2039" s="11" t="s">
        <v>10839</v>
      </c>
      <c r="G2039" s="11" t="s">
        <v>10742</v>
      </c>
      <c r="H2039" s="11" t="s">
        <v>10743</v>
      </c>
      <c r="I2039" s="11" t="str">
        <f>HYPERLINK("http://emmachiara.it/","emmachiara.it")</f>
        <v>emmachiara.it</v>
      </c>
      <c r="J2039" s="12">
        <v>3111.0819999999999</v>
      </c>
      <c r="K2039" s="12">
        <v>3111.0819999999999</v>
      </c>
      <c r="L2039" s="13">
        <v>2328.873</v>
      </c>
      <c r="M2039" s="12">
        <v>117.812</v>
      </c>
      <c r="N2039" s="12">
        <v>117.812</v>
      </c>
      <c r="O2039" s="12">
        <v>140.458</v>
      </c>
      <c r="P2039" s="14" t="s">
        <v>10792</v>
      </c>
      <c r="Q2039" s="14" t="s">
        <v>10792</v>
      </c>
      <c r="R2039" s="12">
        <v>13</v>
      </c>
    </row>
    <row r="2040" spans="1:18" ht="17" customHeight="1" x14ac:dyDescent="0.15">
      <c r="A2040" s="8" t="s">
        <v>10865</v>
      </c>
      <c r="B2040" s="9" t="s">
        <v>10866</v>
      </c>
      <c r="C2040" s="8" t="s">
        <v>10867</v>
      </c>
      <c r="D2040" s="8" t="s">
        <v>10867</v>
      </c>
      <c r="E2040" s="8" t="s">
        <v>10868</v>
      </c>
      <c r="F2040" s="8" t="s">
        <v>10844</v>
      </c>
      <c r="G2040" s="8" t="s">
        <v>10775</v>
      </c>
      <c r="H2040" s="8" t="s">
        <v>10776</v>
      </c>
      <c r="I2040" s="8" t="str">
        <f>HYPERLINK("http://www.berdini.com/","www.berdini.com")</f>
        <v>www.berdini.com</v>
      </c>
      <c r="J2040" s="10">
        <v>1841.6479999999999</v>
      </c>
      <c r="K2040" s="10">
        <v>1841.6479999999999</v>
      </c>
      <c r="L2040" s="10">
        <v>2328.5520000000001</v>
      </c>
      <c r="M2040" s="10">
        <v>31.504000000000001</v>
      </c>
      <c r="N2040" s="10">
        <v>31.504000000000001</v>
      </c>
      <c r="O2040" s="10">
        <v>119.869</v>
      </c>
      <c r="P2040" s="10">
        <v>16</v>
      </c>
      <c r="Q2040" s="10">
        <v>16</v>
      </c>
      <c r="R2040" s="10">
        <v>15</v>
      </c>
    </row>
    <row r="2041" spans="1:18" ht="17" customHeight="1" x14ac:dyDescent="0.15">
      <c r="A2041" s="11" t="s">
        <v>10869</v>
      </c>
      <c r="B2041" s="1" t="s">
        <v>10870</v>
      </c>
      <c r="C2041" s="11" t="s">
        <v>10871</v>
      </c>
      <c r="D2041" s="11" t="s">
        <v>10871</v>
      </c>
      <c r="E2041" s="11" t="s">
        <v>10872</v>
      </c>
      <c r="F2041" s="11" t="s">
        <v>10786</v>
      </c>
      <c r="G2041" s="11" t="s">
        <v>10819</v>
      </c>
      <c r="H2041" s="11" t="s">
        <v>10798</v>
      </c>
      <c r="I2041" s="11" t="str">
        <f>HYPERLINK("http://unionsrl.net/","unionsrl.net")</f>
        <v>unionsrl.net</v>
      </c>
      <c r="J2041" s="12">
        <v>2601.3020000000001</v>
      </c>
      <c r="K2041" s="12">
        <v>2601.3020000000001</v>
      </c>
      <c r="L2041" s="13">
        <v>2321.5340000000001</v>
      </c>
      <c r="M2041" s="12">
        <v>45.441000000000003</v>
      </c>
      <c r="N2041" s="12">
        <v>45.441000000000003</v>
      </c>
      <c r="O2041" s="12">
        <v>46.774000000000001</v>
      </c>
      <c r="P2041" s="12">
        <v>44</v>
      </c>
      <c r="Q2041" s="12">
        <v>44</v>
      </c>
      <c r="R2041" s="12">
        <v>41</v>
      </c>
    </row>
    <row r="2042" spans="1:18" ht="17" customHeight="1" x14ac:dyDescent="0.15">
      <c r="A2042" s="8" t="s">
        <v>10873</v>
      </c>
      <c r="B2042" s="9" t="s">
        <v>10874</v>
      </c>
      <c r="C2042" s="8" t="s">
        <v>10875</v>
      </c>
      <c r="D2042" s="8" t="s">
        <v>10875</v>
      </c>
      <c r="E2042" s="8" t="s">
        <v>10876</v>
      </c>
      <c r="F2042" s="8" t="s">
        <v>10833</v>
      </c>
      <c r="G2042" s="8" t="s">
        <v>10834</v>
      </c>
      <c r="H2042" s="8" t="s">
        <v>10798</v>
      </c>
      <c r="I2042" s="8" t="str">
        <f>HYPERLINK("http://henryclifford.it/","henryclifford.it")</f>
        <v>henryclifford.it</v>
      </c>
      <c r="J2042" s="10">
        <v>2739.3510000000001</v>
      </c>
      <c r="K2042" s="10">
        <v>2739.3510000000001</v>
      </c>
      <c r="L2042" s="10">
        <v>2319.8440000000001</v>
      </c>
      <c r="M2042" s="10">
        <v>55.53</v>
      </c>
      <c r="N2042" s="10">
        <v>55.53</v>
      </c>
      <c r="O2042" s="10">
        <v>28.106000000000002</v>
      </c>
      <c r="P2042" s="10">
        <v>7</v>
      </c>
      <c r="Q2042" s="10">
        <v>7</v>
      </c>
      <c r="R2042" s="10">
        <v>10</v>
      </c>
    </row>
    <row r="2043" spans="1:18" ht="17" customHeight="1" x14ac:dyDescent="0.15">
      <c r="A2043" s="11" t="s">
        <v>10877</v>
      </c>
      <c r="B2043" s="1" t="s">
        <v>10878</v>
      </c>
      <c r="C2043" s="11" t="s">
        <v>10879</v>
      </c>
      <c r="D2043" s="11" t="s">
        <v>10879</v>
      </c>
      <c r="E2043" s="11" t="s">
        <v>10880</v>
      </c>
      <c r="F2043" s="11" t="s">
        <v>10859</v>
      </c>
      <c r="G2043" s="11" t="s">
        <v>10881</v>
      </c>
      <c r="H2043" s="11" t="s">
        <v>10770</v>
      </c>
      <c r="I2043" s="11" t="str">
        <f>HYPERLINK("http://fragi.it/","fragi.it")</f>
        <v>fragi.it</v>
      </c>
      <c r="J2043" s="12">
        <v>2137.8440000000001</v>
      </c>
      <c r="K2043" s="12">
        <v>2137.8440000000001</v>
      </c>
      <c r="L2043" s="13">
        <v>2317.8530000000001</v>
      </c>
      <c r="M2043" s="12">
        <v>-97.522999999999996</v>
      </c>
      <c r="N2043" s="12">
        <v>-97.522999999999996</v>
      </c>
      <c r="O2043" s="12">
        <v>-296.19099999999997</v>
      </c>
      <c r="P2043" s="12">
        <v>17</v>
      </c>
      <c r="Q2043" s="12">
        <v>17</v>
      </c>
      <c r="R2043" s="12">
        <v>21</v>
      </c>
    </row>
    <row r="2044" spans="1:18" ht="17" customHeight="1" x14ac:dyDescent="0.15">
      <c r="A2044" s="8" t="s">
        <v>10882</v>
      </c>
      <c r="B2044" s="9" t="s">
        <v>10883</v>
      </c>
      <c r="C2044" s="8" t="s">
        <v>10884</v>
      </c>
      <c r="D2044" s="8" t="s">
        <v>10884</v>
      </c>
      <c r="E2044" s="8" t="s">
        <v>10885</v>
      </c>
      <c r="F2044" s="8" t="s">
        <v>10886</v>
      </c>
      <c r="G2044" s="8" t="s">
        <v>10742</v>
      </c>
      <c r="H2044" s="8" t="s">
        <v>10743</v>
      </c>
      <c r="I2044" s="8" t="str">
        <f>HYPERLINK("http://stewart.it/","stewart.it")</f>
        <v>stewart.it</v>
      </c>
      <c r="J2044" s="10">
        <v>1751.5419999999999</v>
      </c>
      <c r="K2044" s="10">
        <v>1751.5419999999999</v>
      </c>
      <c r="L2044" s="10">
        <v>2314.9299999999998</v>
      </c>
      <c r="M2044" s="10">
        <v>-312.36900000000003</v>
      </c>
      <c r="N2044" s="10">
        <v>-312.36900000000003</v>
      </c>
      <c r="O2044" s="10">
        <v>44.182000000000002</v>
      </c>
      <c r="P2044" s="10">
        <v>4</v>
      </c>
      <c r="Q2044" s="10">
        <v>4</v>
      </c>
      <c r="R2044" s="10">
        <v>7</v>
      </c>
    </row>
    <row r="2045" spans="1:18" ht="17" customHeight="1" x14ac:dyDescent="0.15">
      <c r="A2045" s="11" t="s">
        <v>10887</v>
      </c>
      <c r="B2045" s="1" t="s">
        <v>10888</v>
      </c>
      <c r="C2045" s="11" t="s">
        <v>10889</v>
      </c>
      <c r="D2045" s="11" t="s">
        <v>10889</v>
      </c>
      <c r="E2045" s="11" t="s">
        <v>10890</v>
      </c>
      <c r="F2045" s="11" t="s">
        <v>10781</v>
      </c>
      <c r="G2045" s="11" t="s">
        <v>10891</v>
      </c>
      <c r="H2045" s="11" t="s">
        <v>10756</v>
      </c>
      <c r="I2045" s="11" t="str">
        <f>HYPERLINK("http://www.zermepel.it/","www.zermepel.it")</f>
        <v>www.zermepel.it</v>
      </c>
      <c r="J2045" s="12">
        <v>2756.085</v>
      </c>
      <c r="K2045" s="12">
        <v>2756.085</v>
      </c>
      <c r="L2045" s="13">
        <v>2312.1149999999998</v>
      </c>
      <c r="M2045" s="12">
        <v>1.032</v>
      </c>
      <c r="N2045" s="12">
        <v>1.032</v>
      </c>
      <c r="O2045" s="12">
        <v>0.85899999999999999</v>
      </c>
      <c r="P2045" s="12">
        <v>10</v>
      </c>
      <c r="Q2045" s="12">
        <v>10</v>
      </c>
      <c r="R2045" s="12">
        <v>9</v>
      </c>
    </row>
    <row r="2046" spans="1:18" ht="17" customHeight="1" x14ac:dyDescent="0.15">
      <c r="A2046" s="8" t="s">
        <v>10892</v>
      </c>
      <c r="B2046" s="9" t="s">
        <v>10893</v>
      </c>
      <c r="C2046" s="8" t="s">
        <v>10894</v>
      </c>
      <c r="D2046" s="8" t="s">
        <v>10894</v>
      </c>
      <c r="E2046" s="8" t="s">
        <v>10895</v>
      </c>
      <c r="F2046" s="8" t="s">
        <v>10786</v>
      </c>
      <c r="G2046" s="8" t="s">
        <v>10896</v>
      </c>
      <c r="H2046" s="8" t="s">
        <v>10743</v>
      </c>
      <c r="I2046" s="8" t="str">
        <f>HYPERLINK("http://www.victoria-r.it/","www.victoria-r.it")</f>
        <v>www.victoria-r.it</v>
      </c>
      <c r="J2046" s="10">
        <v>1863.001</v>
      </c>
      <c r="K2046" s="10">
        <v>1863.001</v>
      </c>
      <c r="L2046" s="10">
        <v>2304.3719999999998</v>
      </c>
      <c r="M2046" s="10">
        <v>7.1999999999999995E-2</v>
      </c>
      <c r="N2046" s="10">
        <v>7.1999999999999995E-2</v>
      </c>
      <c r="O2046" s="10">
        <v>26.114999999999998</v>
      </c>
      <c r="P2046" s="10">
        <v>5</v>
      </c>
      <c r="Q2046" s="10">
        <v>5</v>
      </c>
      <c r="R2046" s="10">
        <v>3</v>
      </c>
    </row>
    <row r="2047" spans="1:18" ht="17" customHeight="1" x14ac:dyDescent="0.15">
      <c r="A2047" s="11" t="s">
        <v>10897</v>
      </c>
      <c r="B2047" s="1" t="s">
        <v>10898</v>
      </c>
      <c r="C2047" s="11" t="s">
        <v>10899</v>
      </c>
      <c r="D2047" s="11" t="s">
        <v>10899</v>
      </c>
      <c r="E2047" s="11" t="s">
        <v>10900</v>
      </c>
      <c r="F2047" s="11" t="s">
        <v>10768</v>
      </c>
      <c r="G2047" s="11" t="s">
        <v>10896</v>
      </c>
      <c r="H2047" s="11" t="s">
        <v>10743</v>
      </c>
      <c r="I2047" s="11" t="str">
        <f>HYPERLINK("http://rifo-lab.com/","rifo-lab.com")</f>
        <v>rifo-lab.com</v>
      </c>
      <c r="J2047" s="12">
        <v>2850.4560000000001</v>
      </c>
      <c r="K2047" s="12">
        <v>2850.4560000000001</v>
      </c>
      <c r="L2047" s="13">
        <v>2302.6909999999998</v>
      </c>
      <c r="M2047" s="12">
        <v>-326.67500000000001</v>
      </c>
      <c r="N2047" s="12">
        <v>-326.67500000000001</v>
      </c>
      <c r="O2047" s="12">
        <v>-321.447</v>
      </c>
      <c r="P2047" s="12">
        <v>18</v>
      </c>
      <c r="Q2047" s="12">
        <v>18</v>
      </c>
      <c r="R2047" s="12">
        <v>13</v>
      </c>
    </row>
    <row r="2048" spans="1:18" ht="17" customHeight="1" x14ac:dyDescent="0.15">
      <c r="A2048" s="8" t="s">
        <v>10901</v>
      </c>
      <c r="B2048" s="9" t="s">
        <v>10902</v>
      </c>
      <c r="C2048" s="8" t="s">
        <v>10903</v>
      </c>
      <c r="D2048" s="8" t="s">
        <v>10903</v>
      </c>
      <c r="E2048" s="8" t="s">
        <v>10904</v>
      </c>
      <c r="F2048" s="8" t="s">
        <v>10859</v>
      </c>
      <c r="G2048" s="8" t="s">
        <v>10819</v>
      </c>
      <c r="H2048" s="8" t="s">
        <v>10798</v>
      </c>
      <c r="I2048" s="8" t="str">
        <f>HYPERLINK("http://snellyintimo.com/","snellyintimo.com")</f>
        <v>snellyintimo.com</v>
      </c>
      <c r="J2048" s="10">
        <v>1495.117</v>
      </c>
      <c r="K2048" s="10">
        <v>1495.117</v>
      </c>
      <c r="L2048" s="10">
        <v>2301.9319999999998</v>
      </c>
      <c r="M2048" s="10">
        <v>-188.62</v>
      </c>
      <c r="N2048" s="10">
        <v>-188.62</v>
      </c>
      <c r="O2048" s="10">
        <v>18.349</v>
      </c>
      <c r="P2048" s="10">
        <v>11</v>
      </c>
      <c r="Q2048" s="10">
        <v>11</v>
      </c>
      <c r="R2048" s="10">
        <v>11</v>
      </c>
    </row>
    <row r="2049" spans="1:18" ht="17" customHeight="1" x14ac:dyDescent="0.15">
      <c r="A2049" s="11" t="s">
        <v>10905</v>
      </c>
      <c r="B2049" s="1" t="s">
        <v>10906</v>
      </c>
      <c r="C2049" s="11" t="s">
        <v>10907</v>
      </c>
      <c r="D2049" s="11" t="s">
        <v>10907</v>
      </c>
      <c r="E2049" s="11" t="s">
        <v>10908</v>
      </c>
      <c r="F2049" s="11" t="s">
        <v>10909</v>
      </c>
      <c r="G2049" s="11" t="s">
        <v>10910</v>
      </c>
      <c r="H2049" s="11" t="s">
        <v>10911</v>
      </c>
      <c r="I2049" s="11" t="str">
        <f>HYPERLINK("http://www.scissorscriptor.com/","www.scissorscriptor.com")</f>
        <v>www.scissorscriptor.com</v>
      </c>
      <c r="J2049" s="12">
        <v>3833.6109999999999</v>
      </c>
      <c r="K2049" s="12">
        <v>3833.6109999999999</v>
      </c>
      <c r="L2049" s="13">
        <v>2301.2020000000002</v>
      </c>
      <c r="M2049" s="12">
        <v>714.60699999999997</v>
      </c>
      <c r="N2049" s="12">
        <v>714.60699999999997</v>
      </c>
      <c r="O2049" s="12">
        <v>456.89400000000001</v>
      </c>
      <c r="P2049" s="12">
        <v>16</v>
      </c>
      <c r="Q2049" s="12">
        <v>16</v>
      </c>
      <c r="R2049" s="12">
        <v>9</v>
      </c>
    </row>
    <row r="2050" spans="1:18" ht="29.5" customHeight="1" x14ac:dyDescent="0.15">
      <c r="A2050" s="8" t="s">
        <v>10912</v>
      </c>
      <c r="B2050" s="9" t="s">
        <v>10913</v>
      </c>
      <c r="C2050" s="8" t="s">
        <v>10914</v>
      </c>
      <c r="D2050" s="8" t="s">
        <v>10914</v>
      </c>
      <c r="E2050" s="8" t="s">
        <v>10915</v>
      </c>
      <c r="F2050" s="8" t="s">
        <v>10916</v>
      </c>
      <c r="G2050" s="8" t="s">
        <v>10917</v>
      </c>
      <c r="H2050" s="8" t="s">
        <v>10918</v>
      </c>
      <c r="I2050" s="8" t="str">
        <f>HYPERLINK("http://gioiecologiche.it/","gioiecologiche.it")</f>
        <v>gioiecologiche.it</v>
      </c>
      <c r="J2050" s="10">
        <v>2130.384</v>
      </c>
      <c r="K2050" s="10">
        <v>2130.384</v>
      </c>
      <c r="L2050" s="10">
        <v>2297.2629999999999</v>
      </c>
      <c r="M2050" s="10">
        <v>-297.77600000000001</v>
      </c>
      <c r="N2050" s="10">
        <v>-297.77600000000001</v>
      </c>
      <c r="O2050" s="10">
        <v>-98.975999999999999</v>
      </c>
      <c r="P2050" s="10">
        <v>13</v>
      </c>
      <c r="Q2050" s="10">
        <v>13</v>
      </c>
      <c r="R2050" s="10">
        <v>12</v>
      </c>
    </row>
    <row r="2051" spans="1:18" ht="17" customHeight="1" x14ac:dyDescent="0.15">
      <c r="A2051" s="11" t="s">
        <v>10919</v>
      </c>
      <c r="B2051" s="1" t="s">
        <v>10920</v>
      </c>
      <c r="C2051" s="11" t="s">
        <v>10921</v>
      </c>
      <c r="D2051" s="11" t="s">
        <v>10921</v>
      </c>
      <c r="E2051" s="11" t="s">
        <v>10922</v>
      </c>
      <c r="F2051" s="11" t="s">
        <v>10923</v>
      </c>
      <c r="G2051" s="11" t="s">
        <v>10924</v>
      </c>
      <c r="H2051" s="11" t="s">
        <v>10925</v>
      </c>
      <c r="I2051" s="11" t="str">
        <f>HYPERLINK("http://pinkmemories.it/","pinkmemories.it")</f>
        <v>pinkmemories.it</v>
      </c>
      <c r="J2051" s="12">
        <v>2114.6950000000002</v>
      </c>
      <c r="K2051" s="12">
        <v>2114.6950000000002</v>
      </c>
      <c r="L2051" s="13">
        <v>2296.799</v>
      </c>
      <c r="M2051" s="12">
        <v>2.5179999999999998</v>
      </c>
      <c r="N2051" s="12">
        <v>2.5179999999999998</v>
      </c>
      <c r="O2051" s="12">
        <v>26.818999999999999</v>
      </c>
      <c r="P2051" s="12">
        <v>13</v>
      </c>
      <c r="Q2051" s="12">
        <v>13</v>
      </c>
      <c r="R2051" s="12">
        <v>10</v>
      </c>
    </row>
    <row r="2052" spans="1:18" ht="17" customHeight="1" x14ac:dyDescent="0.15">
      <c r="A2052" s="8" t="s">
        <v>10926</v>
      </c>
      <c r="B2052" s="9" t="s">
        <v>10927</v>
      </c>
      <c r="C2052" s="8" t="s">
        <v>10928</v>
      </c>
      <c r="D2052" s="8" t="s">
        <v>10928</v>
      </c>
      <c r="E2052" s="8" t="s">
        <v>10929</v>
      </c>
      <c r="F2052" s="8" t="s">
        <v>10916</v>
      </c>
      <c r="G2052" s="8" t="s">
        <v>10930</v>
      </c>
      <c r="H2052" s="8" t="s">
        <v>10931</v>
      </c>
      <c r="I2052" s="8" t="str">
        <f>HYPERLINK("http://www.ormalibera.it/","www.ormalibera.it")</f>
        <v>www.ormalibera.it</v>
      </c>
      <c r="J2052" s="10">
        <v>2769.96</v>
      </c>
      <c r="K2052" s="10">
        <v>2769.96</v>
      </c>
      <c r="L2052" s="10">
        <v>2295.9630000000002</v>
      </c>
      <c r="M2052" s="10">
        <v>53.218000000000004</v>
      </c>
      <c r="N2052" s="10">
        <v>53.218000000000004</v>
      </c>
      <c r="O2052" s="10">
        <v>13.698</v>
      </c>
      <c r="P2052" s="10">
        <v>13</v>
      </c>
      <c r="Q2052" s="10">
        <v>13</v>
      </c>
      <c r="R2052" s="10">
        <v>13</v>
      </c>
    </row>
    <row r="2053" spans="1:18" ht="17" customHeight="1" x14ac:dyDescent="0.15">
      <c r="A2053" s="11" t="s">
        <v>10932</v>
      </c>
      <c r="B2053" s="1" t="s">
        <v>10933</v>
      </c>
      <c r="C2053" s="11" t="s">
        <v>10934</v>
      </c>
      <c r="D2053" s="11" t="s">
        <v>10934</v>
      </c>
      <c r="E2053" s="11" t="s">
        <v>10935</v>
      </c>
      <c r="F2053" s="11" t="s">
        <v>10936</v>
      </c>
      <c r="G2053" s="11" t="s">
        <v>10910</v>
      </c>
      <c r="H2053" s="11" t="s">
        <v>10911</v>
      </c>
      <c r="I2053" s="11" t="str">
        <f>HYPERLINK("http://www.arcadiabags.com/","www.arcadiabags.com")</f>
        <v>www.arcadiabags.com</v>
      </c>
      <c r="J2053" s="12">
        <v>2408.3240000000001</v>
      </c>
      <c r="K2053" s="12">
        <v>2408.3240000000001</v>
      </c>
      <c r="L2053" s="13">
        <v>2294.89</v>
      </c>
      <c r="M2053" s="12">
        <v>-83.57</v>
      </c>
      <c r="N2053" s="12">
        <v>-83.57</v>
      </c>
      <c r="O2053" s="12">
        <v>-136.46100000000001</v>
      </c>
      <c r="P2053" s="12">
        <v>10</v>
      </c>
      <c r="Q2053" s="12">
        <v>10</v>
      </c>
      <c r="R2053" s="12">
        <v>10</v>
      </c>
    </row>
    <row r="2054" spans="1:18" ht="29.5" customHeight="1" x14ac:dyDescent="0.15">
      <c r="A2054" s="8" t="s">
        <v>10937</v>
      </c>
      <c r="B2054" s="9" t="s">
        <v>10938</v>
      </c>
      <c r="C2054" s="8" t="s">
        <v>10939</v>
      </c>
      <c r="D2054" s="8" t="s">
        <v>10939</v>
      </c>
      <c r="E2054" s="8" t="s">
        <v>10940</v>
      </c>
      <c r="F2054" s="8" t="s">
        <v>10941</v>
      </c>
      <c r="G2054" s="8" t="s">
        <v>10942</v>
      </c>
      <c r="H2054" s="8" t="s">
        <v>10931</v>
      </c>
      <c r="I2054" s="8" t="str">
        <f>HYPERLINK("http://www.primavera.it/","www.primavera.it")</f>
        <v>www.primavera.it</v>
      </c>
      <c r="J2054" s="10">
        <v>2410.2429999999999</v>
      </c>
      <c r="K2054" s="10">
        <v>2410.2429999999999</v>
      </c>
      <c r="L2054" s="10">
        <v>2290.866</v>
      </c>
      <c r="M2054" s="10">
        <v>12.884</v>
      </c>
      <c r="N2054" s="10">
        <v>12.884</v>
      </c>
      <c r="O2054" s="10">
        <v>24.279</v>
      </c>
      <c r="P2054" s="15" t="s">
        <v>10943</v>
      </c>
      <c r="Q2054" s="15" t="s">
        <v>10943</v>
      </c>
      <c r="R2054" s="10">
        <v>7</v>
      </c>
    </row>
    <row r="2055" spans="1:18" ht="17" customHeight="1" x14ac:dyDescent="0.15">
      <c r="A2055" s="11" t="s">
        <v>10944</v>
      </c>
      <c r="B2055" s="1" t="s">
        <v>10945</v>
      </c>
      <c r="C2055" s="11" t="s">
        <v>10946</v>
      </c>
      <c r="D2055" s="11" t="s">
        <v>10946</v>
      </c>
      <c r="E2055" s="11" t="s">
        <v>10947</v>
      </c>
      <c r="F2055" s="11" t="s">
        <v>10923</v>
      </c>
      <c r="G2055" s="11" t="s">
        <v>10948</v>
      </c>
      <c r="H2055" s="11" t="s">
        <v>10931</v>
      </c>
      <c r="I2055" s="11" t="str">
        <f>HYPERLINK("http://www.airily.it/","http://www.airily.it")</f>
        <v>http://www.airily.it</v>
      </c>
      <c r="J2055" s="12">
        <v>2226.3119999999999</v>
      </c>
      <c r="K2055" s="12">
        <v>2226.3119999999999</v>
      </c>
      <c r="L2055" s="13">
        <v>2290.7289999999998</v>
      </c>
      <c r="M2055" s="12">
        <v>12.516</v>
      </c>
      <c r="N2055" s="12">
        <v>12.516</v>
      </c>
      <c r="O2055" s="12">
        <v>24.35</v>
      </c>
      <c r="P2055" s="12">
        <v>44</v>
      </c>
      <c r="Q2055" s="12">
        <v>44</v>
      </c>
      <c r="R2055" s="12">
        <v>49</v>
      </c>
    </row>
    <row r="2056" spans="1:18" ht="17" customHeight="1" x14ac:dyDescent="0.15">
      <c r="A2056" s="8" t="s">
        <v>10949</v>
      </c>
      <c r="B2056" s="9" t="s">
        <v>10950</v>
      </c>
      <c r="C2056" s="8" t="s">
        <v>10951</v>
      </c>
      <c r="D2056" s="8" t="s">
        <v>10951</v>
      </c>
      <c r="E2056" s="8" t="s">
        <v>10952</v>
      </c>
      <c r="F2056" s="8" t="s">
        <v>10936</v>
      </c>
      <c r="G2056" s="8" t="s">
        <v>10924</v>
      </c>
      <c r="H2056" s="8" t="s">
        <v>10925</v>
      </c>
      <c r="I2056" s="8" t="str">
        <f>HYPERLINK("http://pelletterieded.com/","pelletterieded.com")</f>
        <v>pelletterieded.com</v>
      </c>
      <c r="J2056" s="10">
        <v>2281.3539999999998</v>
      </c>
      <c r="K2056" s="10">
        <v>2281.3539999999998</v>
      </c>
      <c r="L2056" s="10">
        <v>2289.7249999999999</v>
      </c>
      <c r="M2056" s="10">
        <v>8.343</v>
      </c>
      <c r="N2056" s="10">
        <v>8.343</v>
      </c>
      <c r="O2056" s="10">
        <v>-62.331000000000003</v>
      </c>
      <c r="P2056" s="10">
        <v>11</v>
      </c>
      <c r="Q2056" s="10">
        <v>11</v>
      </c>
      <c r="R2056" s="10">
        <v>9</v>
      </c>
    </row>
    <row r="2057" spans="1:18" ht="17" customHeight="1" x14ac:dyDescent="0.15">
      <c r="A2057" s="11" t="s">
        <v>10953</v>
      </c>
      <c r="B2057" s="1" t="s">
        <v>10954</v>
      </c>
      <c r="C2057" s="11" t="s">
        <v>10955</v>
      </c>
      <c r="D2057" s="11" t="s">
        <v>10955</v>
      </c>
      <c r="E2057" s="11" t="s">
        <v>10956</v>
      </c>
      <c r="F2057" s="11" t="s">
        <v>10909</v>
      </c>
      <c r="G2057" s="11" t="s">
        <v>10957</v>
      </c>
      <c r="H2057" s="11" t="s">
        <v>10925</v>
      </c>
      <c r="I2057" s="11" t="str">
        <f>HYPERLINK("http://www.alessandrodimarco.com/","www.alessandrodimarco.com")</f>
        <v>www.alessandrodimarco.com</v>
      </c>
      <c r="J2057" s="12">
        <v>2666.2669999999998</v>
      </c>
      <c r="K2057" s="12">
        <v>2666.2669999999998</v>
      </c>
      <c r="L2057" s="13">
        <v>2288.6669999999999</v>
      </c>
      <c r="M2057" s="12">
        <v>19.155000000000001</v>
      </c>
      <c r="N2057" s="12">
        <v>19.155000000000001</v>
      </c>
      <c r="O2057" s="12">
        <v>51.731999999999999</v>
      </c>
      <c r="P2057" s="12">
        <v>35</v>
      </c>
      <c r="Q2057" s="12">
        <v>35</v>
      </c>
      <c r="R2057" s="12">
        <v>30</v>
      </c>
    </row>
    <row r="2058" spans="1:18" ht="17" customHeight="1" x14ac:dyDescent="0.15">
      <c r="A2058" s="8" t="s">
        <v>10958</v>
      </c>
      <c r="B2058" s="9" t="s">
        <v>10959</v>
      </c>
      <c r="C2058" s="8" t="s">
        <v>10960</v>
      </c>
      <c r="D2058" s="8" t="s">
        <v>10960</v>
      </c>
      <c r="E2058" s="8" t="s">
        <v>10961</v>
      </c>
      <c r="F2058" s="8" t="s">
        <v>10962</v>
      </c>
      <c r="G2058" s="8" t="s">
        <v>10963</v>
      </c>
      <c r="H2058" s="8" t="s">
        <v>10964</v>
      </c>
      <c r="I2058" s="8" t="str">
        <f>HYPERLINK("http://theplaysrl.it/","theplaysrl.it")</f>
        <v>theplaysrl.it</v>
      </c>
      <c r="J2058" s="10">
        <v>2670.3519999999999</v>
      </c>
      <c r="K2058" s="10">
        <v>2670.3519999999999</v>
      </c>
      <c r="L2058" s="10">
        <v>2281.96</v>
      </c>
      <c r="M2058" s="10">
        <v>434.57</v>
      </c>
      <c r="N2058" s="10">
        <v>434.57</v>
      </c>
      <c r="O2058" s="10">
        <v>236.77099999999999</v>
      </c>
      <c r="P2058" s="10">
        <v>8</v>
      </c>
      <c r="Q2058" s="10">
        <v>8</v>
      </c>
      <c r="R2058" s="10">
        <v>8</v>
      </c>
    </row>
    <row r="2059" spans="1:18" ht="17" customHeight="1" x14ac:dyDescent="0.15">
      <c r="A2059" s="11" t="s">
        <v>10965</v>
      </c>
      <c r="B2059" s="1" t="s">
        <v>10966</v>
      </c>
      <c r="C2059" s="11" t="s">
        <v>10967</v>
      </c>
      <c r="D2059" s="11" t="s">
        <v>10967</v>
      </c>
      <c r="E2059" s="11" t="s">
        <v>10968</v>
      </c>
      <c r="F2059" s="11" t="s">
        <v>10916</v>
      </c>
      <c r="G2059" s="11" t="s">
        <v>10969</v>
      </c>
      <c r="H2059" s="11" t="s">
        <v>10970</v>
      </c>
      <c r="I2059" s="11" t="str">
        <f>HYPERLINK("http://www.emanuelecrasto.it/","www.emanuelecrasto.it")</f>
        <v>www.emanuelecrasto.it</v>
      </c>
      <c r="J2059" s="12">
        <v>2854.6990000000001</v>
      </c>
      <c r="K2059" s="12">
        <v>2854.6990000000001</v>
      </c>
      <c r="L2059" s="13">
        <v>2281.402</v>
      </c>
      <c r="M2059" s="12">
        <v>136.733</v>
      </c>
      <c r="N2059" s="12">
        <v>136.733</v>
      </c>
      <c r="O2059" s="12">
        <v>71.488</v>
      </c>
      <c r="P2059" s="12">
        <v>10</v>
      </c>
      <c r="Q2059" s="12">
        <v>10</v>
      </c>
      <c r="R2059" s="12">
        <v>7</v>
      </c>
    </row>
    <row r="2060" spans="1:18" ht="43" customHeight="1" x14ac:dyDescent="0.15">
      <c r="A2060" s="8" t="s">
        <v>10971</v>
      </c>
      <c r="B2060" s="9" t="s">
        <v>10972</v>
      </c>
      <c r="C2060" s="8" t="s">
        <v>10973</v>
      </c>
      <c r="D2060" s="8" t="s">
        <v>10973</v>
      </c>
      <c r="E2060" s="8" t="s">
        <v>10974</v>
      </c>
      <c r="F2060" s="8" t="s">
        <v>10923</v>
      </c>
      <c r="G2060" s="8" t="s">
        <v>10975</v>
      </c>
      <c r="H2060" s="8" t="s">
        <v>10976</v>
      </c>
      <c r="I2060" s="8" t="str">
        <f>HYPERLINK("http://www.chiarullistore.com/","www.chiarullistore.com")</f>
        <v>www.chiarullistore.com</v>
      </c>
      <c r="J2060" s="10">
        <v>2187.9720000000002</v>
      </c>
      <c r="K2060" s="10">
        <v>2187.9720000000002</v>
      </c>
      <c r="L2060" s="10">
        <v>2280.1379999999999</v>
      </c>
      <c r="M2060" s="10">
        <v>4.2789999999999999</v>
      </c>
      <c r="N2060" s="10">
        <v>4.2789999999999999</v>
      </c>
      <c r="O2060" s="10">
        <v>-8.3689999999999998</v>
      </c>
      <c r="P2060" s="10">
        <v>16</v>
      </c>
      <c r="Q2060" s="10">
        <v>16</v>
      </c>
      <c r="R2060" s="10">
        <v>24</v>
      </c>
    </row>
    <row r="2061" spans="1:18" ht="17" customHeight="1" x14ac:dyDescent="0.15">
      <c r="A2061" s="11" t="s">
        <v>10977</v>
      </c>
      <c r="B2061" s="1" t="s">
        <v>10978</v>
      </c>
      <c r="C2061" s="11" t="s">
        <v>10979</v>
      </c>
      <c r="D2061" s="11" t="s">
        <v>10979</v>
      </c>
      <c r="E2061" s="11" t="s">
        <v>10980</v>
      </c>
      <c r="F2061" s="11" t="s">
        <v>10923</v>
      </c>
      <c r="G2061" s="11" t="s">
        <v>10981</v>
      </c>
      <c r="H2061" s="11" t="s">
        <v>10925</v>
      </c>
      <c r="I2061" s="11" t="str">
        <f>HYPERLINK("http://www.gsconfezioni.it/","www.gsconfezioni.it")</f>
        <v>www.gsconfezioni.it</v>
      </c>
      <c r="J2061" s="12">
        <v>2118.0149999999999</v>
      </c>
      <c r="K2061" s="12">
        <v>2118.0149999999999</v>
      </c>
      <c r="L2061" s="13">
        <v>2279.6149999999998</v>
      </c>
      <c r="M2061" s="12">
        <v>154.131</v>
      </c>
      <c r="N2061" s="12">
        <v>154.131</v>
      </c>
      <c r="O2061" s="12">
        <v>141.511</v>
      </c>
      <c r="P2061" s="12">
        <v>21</v>
      </c>
      <c r="Q2061" s="12">
        <v>21</v>
      </c>
      <c r="R2061" s="12">
        <v>21</v>
      </c>
    </row>
    <row r="2062" spans="1:18" ht="17" customHeight="1" x14ac:dyDescent="0.15">
      <c r="A2062" s="8" t="s">
        <v>10982</v>
      </c>
      <c r="B2062" s="9" t="s">
        <v>10983</v>
      </c>
      <c r="C2062" s="8" t="s">
        <v>10984</v>
      </c>
      <c r="D2062" s="8" t="s">
        <v>10984</v>
      </c>
      <c r="E2062" s="8" t="s">
        <v>10985</v>
      </c>
      <c r="F2062" s="8" t="s">
        <v>10986</v>
      </c>
      <c r="G2062" s="8" t="s">
        <v>10969</v>
      </c>
      <c r="H2062" s="8" t="s">
        <v>10970</v>
      </c>
      <c r="I2062" s="8" t="str">
        <f>HYPERLINK("http://dramee.it/","dramee.it")</f>
        <v>dramee.it</v>
      </c>
      <c r="J2062" s="10">
        <v>1693.2629999999999</v>
      </c>
      <c r="K2062" s="10">
        <v>1693.2629999999999</v>
      </c>
      <c r="L2062" s="10">
        <v>2278.7570000000001</v>
      </c>
      <c r="M2062" s="10">
        <v>10.257</v>
      </c>
      <c r="N2062" s="10">
        <v>10.257</v>
      </c>
      <c r="O2062" s="10">
        <v>55.637</v>
      </c>
      <c r="P2062" s="10">
        <v>15</v>
      </c>
      <c r="Q2062" s="10">
        <v>15</v>
      </c>
      <c r="R2062" s="10">
        <v>18</v>
      </c>
    </row>
    <row r="2063" spans="1:18" ht="17" customHeight="1" x14ac:dyDescent="0.15">
      <c r="A2063" s="11" t="s">
        <v>10987</v>
      </c>
      <c r="B2063" s="1" t="s">
        <v>10988</v>
      </c>
      <c r="C2063" s="11" t="s">
        <v>10989</v>
      </c>
      <c r="D2063" s="11" t="s">
        <v>10989</v>
      </c>
      <c r="E2063" s="11" t="s">
        <v>10990</v>
      </c>
      <c r="F2063" s="11" t="s">
        <v>10936</v>
      </c>
      <c r="G2063" s="11" t="s">
        <v>10924</v>
      </c>
      <c r="H2063" s="11" t="s">
        <v>10925</v>
      </c>
      <c r="I2063" s="11" t="str">
        <f>HYPERLINK("http://www.loipell.com/","www.loipell.com")</f>
        <v>www.loipell.com</v>
      </c>
      <c r="J2063" s="12">
        <v>4169.7190000000001</v>
      </c>
      <c r="K2063" s="12">
        <v>4169.7190000000001</v>
      </c>
      <c r="L2063" s="13">
        <v>2278.366</v>
      </c>
      <c r="M2063" s="12">
        <v>115.71</v>
      </c>
      <c r="N2063" s="12">
        <v>115.71</v>
      </c>
      <c r="O2063" s="12">
        <v>139.88900000000001</v>
      </c>
      <c r="P2063" s="12">
        <v>31</v>
      </c>
      <c r="Q2063" s="12">
        <v>31</v>
      </c>
      <c r="R2063" s="12">
        <v>29</v>
      </c>
    </row>
    <row r="2064" spans="1:18" ht="29.5" customHeight="1" x14ac:dyDescent="0.15">
      <c r="A2064" s="8" t="s">
        <v>10991</v>
      </c>
      <c r="B2064" s="9" t="s">
        <v>10992</v>
      </c>
      <c r="C2064" s="8" t="s">
        <v>10993</v>
      </c>
      <c r="D2064" s="8" t="s">
        <v>10993</v>
      </c>
      <c r="E2064" s="8" t="s">
        <v>10994</v>
      </c>
      <c r="F2064" s="8" t="s">
        <v>10995</v>
      </c>
      <c r="G2064" s="8" t="s">
        <v>10910</v>
      </c>
      <c r="H2064" s="8" t="s">
        <v>10911</v>
      </c>
      <c r="I2064" s="8" t="str">
        <f>HYPERLINK("http://italoferretti.com/","italoferretti.com")</f>
        <v>italoferretti.com</v>
      </c>
      <c r="J2064" s="10">
        <v>2709.4659999999999</v>
      </c>
      <c r="K2064" s="10">
        <v>2709.4659999999999</v>
      </c>
      <c r="L2064" s="10">
        <v>2278.34</v>
      </c>
      <c r="M2064" s="10">
        <v>30.683</v>
      </c>
      <c r="N2064" s="10">
        <v>30.683</v>
      </c>
      <c r="O2064" s="10">
        <v>76.992000000000004</v>
      </c>
      <c r="P2064" s="15" t="s">
        <v>10943</v>
      </c>
      <c r="Q2064" s="15" t="s">
        <v>10943</v>
      </c>
      <c r="R2064" s="10">
        <v>36</v>
      </c>
    </row>
    <row r="2065" spans="1:18" ht="17" customHeight="1" x14ac:dyDescent="0.15">
      <c r="A2065" s="11" t="s">
        <v>10996</v>
      </c>
      <c r="B2065" s="1" t="s">
        <v>10997</v>
      </c>
      <c r="C2065" s="11" t="s">
        <v>10998</v>
      </c>
      <c r="D2065" s="11" t="s">
        <v>10998</v>
      </c>
      <c r="E2065" s="11" t="s">
        <v>10999</v>
      </c>
      <c r="F2065" s="11" t="s">
        <v>11000</v>
      </c>
      <c r="G2065" s="11" t="s">
        <v>11001</v>
      </c>
      <c r="H2065" s="11" t="s">
        <v>10931</v>
      </c>
      <c r="I2065" s="11" t="str">
        <f>HYPERLINK("http://www.ubbiali.it/","www.ubbiali.it")</f>
        <v>www.ubbiali.it</v>
      </c>
      <c r="J2065" s="12">
        <v>2525.444</v>
      </c>
      <c r="K2065" s="12">
        <v>2525.444</v>
      </c>
      <c r="L2065" s="13">
        <v>2274.7730000000001</v>
      </c>
      <c r="M2065" s="12">
        <v>218.14099999999999</v>
      </c>
      <c r="N2065" s="12">
        <v>218.14099999999999</v>
      </c>
      <c r="O2065" s="12">
        <v>211.02500000000001</v>
      </c>
      <c r="P2065" s="12">
        <v>4</v>
      </c>
      <c r="Q2065" s="12">
        <v>4</v>
      </c>
      <c r="R2065" s="12">
        <v>4</v>
      </c>
    </row>
    <row r="2066" spans="1:18" ht="29.5" customHeight="1" x14ac:dyDescent="0.15">
      <c r="A2066" s="8" t="s">
        <v>11002</v>
      </c>
      <c r="B2066" s="9" t="s">
        <v>11003</v>
      </c>
      <c r="C2066" s="8" t="s">
        <v>11004</v>
      </c>
      <c r="D2066" s="8" t="s">
        <v>11004</v>
      </c>
      <c r="E2066" s="8" t="s">
        <v>11005</v>
      </c>
      <c r="F2066" s="8" t="s">
        <v>10909</v>
      </c>
      <c r="G2066" s="8" t="s">
        <v>11006</v>
      </c>
      <c r="H2066" s="8" t="s">
        <v>10931</v>
      </c>
      <c r="I2066" s="8" t="str">
        <f>HYPERLINK("http://www.zetafashion.com/","www.zetafashion.com")</f>
        <v>www.zetafashion.com</v>
      </c>
      <c r="J2066" s="10">
        <v>2643.576</v>
      </c>
      <c r="K2066" s="10">
        <v>2643.576</v>
      </c>
      <c r="L2066" s="10">
        <v>2270.8000000000002</v>
      </c>
      <c r="M2066" s="10">
        <v>31.24</v>
      </c>
      <c r="N2066" s="10">
        <v>31.24</v>
      </c>
      <c r="O2066" s="10">
        <v>29.216999999999999</v>
      </c>
      <c r="P2066" s="15" t="s">
        <v>10943</v>
      </c>
      <c r="Q2066" s="15" t="s">
        <v>10943</v>
      </c>
      <c r="R2066" s="10">
        <v>2</v>
      </c>
    </row>
    <row r="2067" spans="1:18" ht="17" customHeight="1" x14ac:dyDescent="0.15">
      <c r="A2067" s="11" t="s">
        <v>11007</v>
      </c>
      <c r="B2067" s="1" t="s">
        <v>11008</v>
      </c>
      <c r="C2067" s="11" t="s">
        <v>11009</v>
      </c>
      <c r="D2067" s="11" t="s">
        <v>11009</v>
      </c>
      <c r="E2067" s="11" t="s">
        <v>11010</v>
      </c>
      <c r="F2067" s="11" t="s">
        <v>10923</v>
      </c>
      <c r="G2067" s="11" t="s">
        <v>11011</v>
      </c>
      <c r="H2067" s="11" t="s">
        <v>10964</v>
      </c>
      <c r="I2067" s="11" t="str">
        <f>HYPERLINK("http://www.saraconfezioni.com/","www.saraconfezioni.com")</f>
        <v>www.saraconfezioni.com</v>
      </c>
      <c r="J2067" s="12">
        <v>2371.1120000000001</v>
      </c>
      <c r="K2067" s="12">
        <v>2371.1120000000001</v>
      </c>
      <c r="L2067" s="13">
        <v>2269.768</v>
      </c>
      <c r="M2067" s="12">
        <v>499.06900000000002</v>
      </c>
      <c r="N2067" s="12">
        <v>499.06900000000002</v>
      </c>
      <c r="O2067" s="12">
        <v>326.43</v>
      </c>
      <c r="P2067" s="12">
        <v>25</v>
      </c>
      <c r="Q2067" s="12">
        <v>25</v>
      </c>
      <c r="R2067" s="12">
        <v>14</v>
      </c>
    </row>
    <row r="2068" spans="1:18" ht="17" customHeight="1" x14ac:dyDescent="0.15">
      <c r="A2068" s="8" t="s">
        <v>11012</v>
      </c>
      <c r="B2068" s="9" t="s">
        <v>11013</v>
      </c>
      <c r="C2068" s="8" t="s">
        <v>11014</v>
      </c>
      <c r="D2068" s="8" t="s">
        <v>11014</v>
      </c>
      <c r="E2068" s="8" t="s">
        <v>11015</v>
      </c>
      <c r="F2068" s="8" t="s">
        <v>11016</v>
      </c>
      <c r="G2068" s="8" t="s">
        <v>10969</v>
      </c>
      <c r="H2068" s="8" t="s">
        <v>10970</v>
      </c>
      <c r="I2068" s="8" t="str">
        <f>HYPERLINK("http://www.sartoriadellintimo.it/","www.sartoriadellintimo.it")</f>
        <v>www.sartoriadellintimo.it</v>
      </c>
      <c r="J2068" s="10">
        <v>2267.8739999999998</v>
      </c>
      <c r="K2068" s="10">
        <v>2267.8739999999998</v>
      </c>
      <c r="L2068" s="10">
        <v>2268.9349999999999</v>
      </c>
      <c r="M2068" s="10">
        <v>70.403999999999996</v>
      </c>
      <c r="N2068" s="10">
        <v>70.403999999999996</v>
      </c>
      <c r="O2068" s="10">
        <v>77.085999999999999</v>
      </c>
      <c r="P2068" s="15" t="s">
        <v>10943</v>
      </c>
      <c r="Q2068" s="15" t="s">
        <v>10943</v>
      </c>
      <c r="R2068" s="10">
        <v>5</v>
      </c>
    </row>
    <row r="2069" spans="1:18" ht="17" customHeight="1" x14ac:dyDescent="0.15">
      <c r="A2069" s="11" t="s">
        <v>11017</v>
      </c>
      <c r="B2069" s="1" t="s">
        <v>11018</v>
      </c>
      <c r="C2069" s="11" t="s">
        <v>11019</v>
      </c>
      <c r="D2069" s="11" t="s">
        <v>11019</v>
      </c>
      <c r="E2069" s="11" t="s">
        <v>11020</v>
      </c>
      <c r="F2069" s="11" t="s">
        <v>10986</v>
      </c>
      <c r="G2069" s="11" t="s">
        <v>11021</v>
      </c>
      <c r="H2069" s="11" t="s">
        <v>10976</v>
      </c>
      <c r="I2069" s="11" t="str">
        <f>HYPERLINK("http://dellacquacollection.it/","dellacquacollection.it")</f>
        <v>dellacquacollection.it</v>
      </c>
      <c r="J2069" s="12">
        <v>1061.3409999999999</v>
      </c>
      <c r="K2069" s="12">
        <v>1061.3409999999999</v>
      </c>
      <c r="L2069" s="13">
        <v>2268.9389999999999</v>
      </c>
      <c r="M2069" s="12">
        <v>-145.71600000000001</v>
      </c>
      <c r="N2069" s="12">
        <v>-145.71600000000001</v>
      </c>
      <c r="O2069" s="12">
        <v>30.876999999999999</v>
      </c>
      <c r="P2069" s="12">
        <v>9</v>
      </c>
      <c r="Q2069" s="12">
        <v>9</v>
      </c>
      <c r="R2069" s="12">
        <v>8</v>
      </c>
    </row>
    <row r="2070" spans="1:18" ht="17" customHeight="1" x14ac:dyDescent="0.15">
      <c r="A2070" s="8" t="s">
        <v>11022</v>
      </c>
      <c r="B2070" s="9" t="s">
        <v>11023</v>
      </c>
      <c r="C2070" s="8" t="s">
        <v>11024</v>
      </c>
      <c r="D2070" s="8" t="s">
        <v>11024</v>
      </c>
      <c r="E2070" s="8" t="s">
        <v>11025</v>
      </c>
      <c r="F2070" s="8" t="s">
        <v>10936</v>
      </c>
      <c r="G2070" s="8" t="s">
        <v>10942</v>
      </c>
      <c r="H2070" s="8" t="s">
        <v>10931</v>
      </c>
      <c r="I2070" s="8" t="str">
        <f>HYPERLINK("http://www.tastesrl.it/","www.tastesrl.it")</f>
        <v>www.tastesrl.it</v>
      </c>
      <c r="J2070" s="10">
        <v>2266.6979999999999</v>
      </c>
      <c r="K2070" s="15" t="s">
        <v>10943</v>
      </c>
      <c r="L2070" s="10">
        <v>2266.6979999999999</v>
      </c>
      <c r="M2070" s="10">
        <v>-12.837999999999999</v>
      </c>
      <c r="N2070" s="15" t="s">
        <v>10943</v>
      </c>
      <c r="O2070" s="10">
        <v>-12.837999999999999</v>
      </c>
      <c r="P2070" s="10">
        <v>3</v>
      </c>
      <c r="Q2070" s="15" t="s">
        <v>10943</v>
      </c>
      <c r="R2070" s="10">
        <v>3</v>
      </c>
    </row>
    <row r="2071" spans="1:18" ht="17" customHeight="1" x14ac:dyDescent="0.15">
      <c r="A2071" s="11" t="s">
        <v>11026</v>
      </c>
      <c r="B2071" s="1" t="s">
        <v>11027</v>
      </c>
      <c r="C2071" s="11" t="s">
        <v>11028</v>
      </c>
      <c r="D2071" s="11" t="s">
        <v>11028</v>
      </c>
      <c r="E2071" s="11" t="s">
        <v>11029</v>
      </c>
      <c r="F2071" s="11" t="s">
        <v>10916</v>
      </c>
      <c r="G2071" s="11" t="s">
        <v>10917</v>
      </c>
      <c r="H2071" s="11" t="s">
        <v>10918</v>
      </c>
      <c r="I2071" s="11" t="str">
        <f>HYPERLINK("http://www.lucianoilari.com/","www.lucianoilari.com")</f>
        <v>www.lucianoilari.com</v>
      </c>
      <c r="J2071" s="12">
        <v>1511.9369999999999</v>
      </c>
      <c r="K2071" s="12">
        <v>1511.9369999999999</v>
      </c>
      <c r="L2071" s="13">
        <v>2257.5329999999999</v>
      </c>
      <c r="M2071" s="12">
        <v>-151.03800000000001</v>
      </c>
      <c r="N2071" s="12">
        <v>-151.03800000000001</v>
      </c>
      <c r="O2071" s="12">
        <v>13.913</v>
      </c>
      <c r="P2071" s="12">
        <v>7</v>
      </c>
      <c r="Q2071" s="12">
        <v>7</v>
      </c>
      <c r="R2071" s="12">
        <v>7</v>
      </c>
    </row>
    <row r="2072" spans="1:18" ht="17" customHeight="1" x14ac:dyDescent="0.15">
      <c r="A2072" s="8" t="s">
        <v>11030</v>
      </c>
      <c r="B2072" s="9" t="s">
        <v>11031</v>
      </c>
      <c r="C2072" s="8" t="s">
        <v>11032</v>
      </c>
      <c r="D2072" s="8" t="s">
        <v>11032</v>
      </c>
      <c r="E2072" s="8" t="s">
        <v>11033</v>
      </c>
      <c r="F2072" s="8" t="s">
        <v>10916</v>
      </c>
      <c r="G2072" s="8" t="s">
        <v>10969</v>
      </c>
      <c r="H2072" s="8" t="s">
        <v>10970</v>
      </c>
      <c r="I2072" s="8" t="str">
        <f>HYPERLINK("http://www.balie.shoes/","www.balie.shoes")</f>
        <v>www.balie.shoes</v>
      </c>
      <c r="J2072" s="10">
        <v>2062.1039999999998</v>
      </c>
      <c r="K2072" s="10">
        <v>2062.1039999999998</v>
      </c>
      <c r="L2072" s="10">
        <v>2257.1019999999999</v>
      </c>
      <c r="M2072" s="10">
        <v>68.873000000000005</v>
      </c>
      <c r="N2072" s="10">
        <v>68.873000000000005</v>
      </c>
      <c r="O2072" s="10">
        <v>49.030999999999999</v>
      </c>
      <c r="P2072" s="10">
        <v>16</v>
      </c>
      <c r="Q2072" s="10">
        <v>16</v>
      </c>
      <c r="R2072" s="10">
        <v>16</v>
      </c>
    </row>
    <row r="2073" spans="1:18" ht="17" customHeight="1" x14ac:dyDescent="0.15">
      <c r="A2073" s="11" t="s">
        <v>11034</v>
      </c>
      <c r="B2073" s="1" t="s">
        <v>11035</v>
      </c>
      <c r="C2073" s="11" t="s">
        <v>11036</v>
      </c>
      <c r="D2073" s="11" t="s">
        <v>11036</v>
      </c>
      <c r="E2073" s="11" t="s">
        <v>11037</v>
      </c>
      <c r="F2073" s="11" t="s">
        <v>11038</v>
      </c>
      <c r="G2073" s="11" t="s">
        <v>11039</v>
      </c>
      <c r="H2073" s="11" t="s">
        <v>11040</v>
      </c>
      <c r="I2073" s="11" t="str">
        <f>HYPERLINK("http://www.viniciopajaro.it/","www.viniciopajaro.it")</f>
        <v>www.viniciopajaro.it</v>
      </c>
      <c r="J2073" s="12">
        <v>2527.9279999999999</v>
      </c>
      <c r="K2073" s="12">
        <v>2527.9279999999999</v>
      </c>
      <c r="L2073" s="13">
        <v>2256.9830000000002</v>
      </c>
      <c r="M2073" s="12">
        <v>-87.861000000000004</v>
      </c>
      <c r="N2073" s="12">
        <v>-87.861000000000004</v>
      </c>
      <c r="O2073" s="12">
        <v>-204.42</v>
      </c>
      <c r="P2073" s="12">
        <v>19</v>
      </c>
      <c r="Q2073" s="12">
        <v>19</v>
      </c>
      <c r="R2073" s="12">
        <v>13</v>
      </c>
    </row>
    <row r="2074" spans="1:18" ht="17" customHeight="1" x14ac:dyDescent="0.15">
      <c r="A2074" s="8" t="s">
        <v>11041</v>
      </c>
      <c r="B2074" s="9" t="s">
        <v>11042</v>
      </c>
      <c r="C2074" s="8" t="s">
        <v>11043</v>
      </c>
      <c r="D2074" s="8" t="s">
        <v>11043</v>
      </c>
      <c r="E2074" s="8" t="s">
        <v>11044</v>
      </c>
      <c r="F2074" s="8" t="s">
        <v>10916</v>
      </c>
      <c r="G2074" s="8" t="s">
        <v>11045</v>
      </c>
      <c r="H2074" s="8" t="s">
        <v>10918</v>
      </c>
      <c r="I2074" s="8" t="str">
        <f>HYPERLINK("http://www.copponigroup.it/","www.copponigroup.it")</f>
        <v>www.copponigroup.it</v>
      </c>
      <c r="J2074" s="10">
        <v>2033.749</v>
      </c>
      <c r="K2074" s="10">
        <v>2033.749</v>
      </c>
      <c r="L2074" s="10">
        <v>2256.9059999999999</v>
      </c>
      <c r="M2074" s="10">
        <v>28.722000000000001</v>
      </c>
      <c r="N2074" s="10">
        <v>28.722000000000001</v>
      </c>
      <c r="O2074" s="10">
        <v>3.609</v>
      </c>
      <c r="P2074" s="10">
        <v>11</v>
      </c>
      <c r="Q2074" s="10">
        <v>11</v>
      </c>
      <c r="R2074" s="10">
        <v>17</v>
      </c>
    </row>
    <row r="2075" spans="1:18" ht="17" customHeight="1" x14ac:dyDescent="0.15">
      <c r="A2075" s="11" t="s">
        <v>11046</v>
      </c>
      <c r="B2075" s="1" t="s">
        <v>11047</v>
      </c>
      <c r="C2075" s="11" t="s">
        <v>11048</v>
      </c>
      <c r="D2075" s="11" t="s">
        <v>11048</v>
      </c>
      <c r="E2075" s="11" t="s">
        <v>11049</v>
      </c>
      <c r="F2075" s="11" t="s">
        <v>10962</v>
      </c>
      <c r="G2075" s="11" t="s">
        <v>11050</v>
      </c>
      <c r="H2075" s="11" t="s">
        <v>10964</v>
      </c>
      <c r="I2075" s="11" t="str">
        <f>HYPERLINK("http://www.maglificiocapelli.it/","www.maglificiocapelli.it")</f>
        <v>www.maglificiocapelli.it</v>
      </c>
      <c r="J2075" s="12">
        <v>2957.6550000000002</v>
      </c>
      <c r="K2075" s="12">
        <v>2957.6550000000002</v>
      </c>
      <c r="L2075" s="13">
        <v>2256.0970000000002</v>
      </c>
      <c r="M2075" s="12">
        <v>5.899</v>
      </c>
      <c r="N2075" s="12">
        <v>5.899</v>
      </c>
      <c r="O2075" s="12">
        <v>-28.081</v>
      </c>
      <c r="P2075" s="12">
        <v>26</v>
      </c>
      <c r="Q2075" s="12">
        <v>26</v>
      </c>
      <c r="R2075" s="12">
        <v>20</v>
      </c>
    </row>
    <row r="2076" spans="1:18" ht="17" customHeight="1" x14ac:dyDescent="0.15">
      <c r="A2076" s="8" t="s">
        <v>11051</v>
      </c>
      <c r="B2076" s="9" t="s">
        <v>11052</v>
      </c>
      <c r="C2076" s="8" t="s">
        <v>11053</v>
      </c>
      <c r="D2076" s="8" t="s">
        <v>11053</v>
      </c>
      <c r="E2076" s="8" t="s">
        <v>11054</v>
      </c>
      <c r="F2076" s="8" t="s">
        <v>10923</v>
      </c>
      <c r="G2076" s="8" t="s">
        <v>11055</v>
      </c>
      <c r="H2076" s="8" t="s">
        <v>11056</v>
      </c>
      <c r="I2076" s="8" t="str">
        <f>HYPERLINK("http://www.lucianobarbera.com/","www.lucianobarbera.com")</f>
        <v>www.lucianobarbera.com</v>
      </c>
      <c r="J2076" s="10">
        <v>2389.8809999999999</v>
      </c>
      <c r="K2076" s="10">
        <v>2389.8809999999999</v>
      </c>
      <c r="L2076" s="10">
        <v>2254.3029999999999</v>
      </c>
      <c r="M2076" s="10">
        <v>-41.692</v>
      </c>
      <c r="N2076" s="10">
        <v>-41.692</v>
      </c>
      <c r="O2076" s="10">
        <v>31.634</v>
      </c>
      <c r="P2076" s="10">
        <v>10</v>
      </c>
      <c r="Q2076" s="10">
        <v>10</v>
      </c>
      <c r="R2076" s="10">
        <v>10</v>
      </c>
    </row>
    <row r="2077" spans="1:18" ht="29.5" customHeight="1" x14ac:dyDescent="0.15">
      <c r="A2077" s="11" t="s">
        <v>11057</v>
      </c>
      <c r="B2077" s="1" t="s">
        <v>11058</v>
      </c>
      <c r="C2077" s="11" t="s">
        <v>11059</v>
      </c>
      <c r="D2077" s="11" t="s">
        <v>11059</v>
      </c>
      <c r="E2077" s="11" t="s">
        <v>11060</v>
      </c>
      <c r="F2077" s="11" t="s">
        <v>10916</v>
      </c>
      <c r="G2077" s="11" t="s">
        <v>11039</v>
      </c>
      <c r="H2077" s="11" t="s">
        <v>11040</v>
      </c>
      <c r="I2077" s="11" t="str">
        <f>HYPERLINK("http://www.dancenaturals.it/","www.dancenaturals.it")</f>
        <v>www.dancenaturals.it</v>
      </c>
      <c r="J2077" s="12">
        <v>2091.8609999999999</v>
      </c>
      <c r="K2077" s="12">
        <v>2091.8609999999999</v>
      </c>
      <c r="L2077" s="13">
        <v>2251.0059999999999</v>
      </c>
      <c r="M2077" s="12">
        <v>172.191</v>
      </c>
      <c r="N2077" s="12">
        <v>172.191</v>
      </c>
      <c r="O2077" s="12">
        <v>342.92500000000001</v>
      </c>
      <c r="P2077" s="14" t="s">
        <v>10943</v>
      </c>
      <c r="Q2077" s="14" t="s">
        <v>10943</v>
      </c>
      <c r="R2077" s="12">
        <v>23</v>
      </c>
    </row>
    <row r="2078" spans="1:18" ht="29.5" customHeight="1" x14ac:dyDescent="0.15">
      <c r="A2078" s="8" t="s">
        <v>11061</v>
      </c>
      <c r="B2078" s="9" t="s">
        <v>11062</v>
      </c>
      <c r="C2078" s="8" t="s">
        <v>11063</v>
      </c>
      <c r="D2078" s="8" t="s">
        <v>11063</v>
      </c>
      <c r="E2078" s="8" t="s">
        <v>11064</v>
      </c>
      <c r="F2078" s="8" t="s">
        <v>10916</v>
      </c>
      <c r="G2078" s="8" t="s">
        <v>11065</v>
      </c>
      <c r="H2078" s="8" t="s">
        <v>10925</v>
      </c>
      <c r="I2078" s="8" t="str">
        <f>HYPERLINK("http://www.nuovapr.com/","http://www.nuovapr.com")</f>
        <v>http://www.nuovapr.com</v>
      </c>
      <c r="J2078" s="10">
        <v>2837.6640000000002</v>
      </c>
      <c r="K2078" s="10">
        <v>2837.6640000000002</v>
      </c>
      <c r="L2078" s="10">
        <v>2250.4630000000002</v>
      </c>
      <c r="M2078" s="10">
        <v>15.327</v>
      </c>
      <c r="N2078" s="10">
        <v>15.327</v>
      </c>
      <c r="O2078" s="10">
        <v>80.233000000000004</v>
      </c>
      <c r="P2078" s="15" t="s">
        <v>10943</v>
      </c>
      <c r="Q2078" s="15" t="s">
        <v>10943</v>
      </c>
      <c r="R2078" s="10">
        <v>4</v>
      </c>
    </row>
    <row r="2079" spans="1:18" ht="17" customHeight="1" x14ac:dyDescent="0.15">
      <c r="A2079" s="11" t="s">
        <v>11066</v>
      </c>
      <c r="B2079" s="1" t="s">
        <v>11067</v>
      </c>
      <c r="C2079" s="11" t="s">
        <v>11068</v>
      </c>
      <c r="D2079" s="11" t="s">
        <v>11068</v>
      </c>
      <c r="E2079" s="11" t="s">
        <v>11069</v>
      </c>
      <c r="F2079" s="11" t="s">
        <v>10986</v>
      </c>
      <c r="G2079" s="11" t="s">
        <v>10924</v>
      </c>
      <c r="H2079" s="11" t="s">
        <v>10925</v>
      </c>
      <c r="I2079" s="11" t="str">
        <f>HYPERLINK("http://www.pellegrinisrl.it/","www.pellegrinisrl.it")</f>
        <v>www.pellegrinisrl.it</v>
      </c>
      <c r="J2079" s="12">
        <v>2341.556</v>
      </c>
      <c r="K2079" s="12">
        <v>2341.556</v>
      </c>
      <c r="L2079" s="13">
        <v>2250.0419999999999</v>
      </c>
      <c r="M2079" s="12">
        <v>82.853999999999999</v>
      </c>
      <c r="N2079" s="12">
        <v>82.853999999999999</v>
      </c>
      <c r="O2079" s="12">
        <v>54.124000000000002</v>
      </c>
      <c r="P2079" s="12">
        <v>8</v>
      </c>
      <c r="Q2079" s="12">
        <v>8</v>
      </c>
      <c r="R2079" s="12">
        <v>8</v>
      </c>
    </row>
    <row r="2080" spans="1:18" ht="17" customHeight="1" x14ac:dyDescent="0.15">
      <c r="A2080" s="8" t="s">
        <v>11070</v>
      </c>
      <c r="B2080" s="9" t="s">
        <v>11071</v>
      </c>
      <c r="C2080" s="8" t="s">
        <v>11072</v>
      </c>
      <c r="D2080" s="8" t="s">
        <v>11072</v>
      </c>
      <c r="E2080" s="8" t="s">
        <v>11073</v>
      </c>
      <c r="F2080" s="8" t="s">
        <v>10923</v>
      </c>
      <c r="G2080" s="8" t="s">
        <v>11074</v>
      </c>
      <c r="H2080" s="8" t="s">
        <v>11040</v>
      </c>
      <c r="I2080" s="8" t="str">
        <f>HYPERLINK("http://www.centralproject.com/","http://www.centralproject.com")</f>
        <v>http://www.centralproject.com</v>
      </c>
      <c r="J2080" s="10">
        <v>2328.049</v>
      </c>
      <c r="K2080" s="10">
        <v>2328.049</v>
      </c>
      <c r="L2080" s="10">
        <v>2249.9679999999998</v>
      </c>
      <c r="M2080" s="10">
        <v>17.105</v>
      </c>
      <c r="N2080" s="10">
        <v>17.105</v>
      </c>
      <c r="O2080" s="10">
        <v>22.658000000000001</v>
      </c>
      <c r="P2080" s="10">
        <v>3</v>
      </c>
      <c r="Q2080" s="10">
        <v>3</v>
      </c>
      <c r="R2080" s="10">
        <v>3</v>
      </c>
    </row>
    <row r="2081" spans="1:18" ht="17" customHeight="1" x14ac:dyDescent="0.15">
      <c r="A2081" s="11" t="s">
        <v>11075</v>
      </c>
      <c r="B2081" s="1" t="s">
        <v>11076</v>
      </c>
      <c r="C2081" s="11" t="s">
        <v>11077</v>
      </c>
      <c r="D2081" s="11" t="s">
        <v>11077</v>
      </c>
      <c r="E2081" s="11" t="s">
        <v>11078</v>
      </c>
      <c r="F2081" s="11" t="s">
        <v>11079</v>
      </c>
      <c r="G2081" s="11" t="s">
        <v>11080</v>
      </c>
      <c r="H2081" s="11" t="s">
        <v>11081</v>
      </c>
      <c r="I2081" s="11" t="str">
        <f>HYPERLINK("http://www.lineamodaprato.com/","www.lineamodaprato.com")</f>
        <v>www.lineamodaprato.com</v>
      </c>
      <c r="J2081" s="12">
        <v>1901.04</v>
      </c>
      <c r="K2081" s="12">
        <v>1901.04</v>
      </c>
      <c r="L2081" s="13">
        <v>2249.8139999999999</v>
      </c>
      <c r="M2081" s="12">
        <v>-116.997</v>
      </c>
      <c r="N2081" s="12">
        <v>-116.997</v>
      </c>
      <c r="O2081" s="12">
        <v>8.56</v>
      </c>
      <c r="P2081" s="14" t="s">
        <v>11082</v>
      </c>
      <c r="Q2081" s="14" t="s">
        <v>11082</v>
      </c>
      <c r="R2081" s="12">
        <v>10</v>
      </c>
    </row>
    <row r="2082" spans="1:18" ht="17" customHeight="1" x14ac:dyDescent="0.15">
      <c r="A2082" s="8" t="s">
        <v>11083</v>
      </c>
      <c r="B2082" s="9" t="s">
        <v>11084</v>
      </c>
      <c r="C2082" s="8" t="s">
        <v>11085</v>
      </c>
      <c r="D2082" s="8" t="s">
        <v>11085</v>
      </c>
      <c r="E2082" s="8" t="s">
        <v>11086</v>
      </c>
      <c r="F2082" s="8" t="s">
        <v>11087</v>
      </c>
      <c r="G2082" s="8" t="s">
        <v>11088</v>
      </c>
      <c r="H2082" s="8" t="s">
        <v>11081</v>
      </c>
      <c r="I2082" s="8" t="str">
        <f>HYPERLINK("http://www.suolificiosafi.com/","www.suolificiosafi.com")</f>
        <v>www.suolificiosafi.com</v>
      </c>
      <c r="J2082" s="10">
        <v>2051.2919999999999</v>
      </c>
      <c r="K2082" s="10">
        <v>2051.2919999999999</v>
      </c>
      <c r="L2082" s="10">
        <v>2248.5830000000001</v>
      </c>
      <c r="M2082" s="10">
        <v>192.88399999999999</v>
      </c>
      <c r="N2082" s="10">
        <v>192.88399999999999</v>
      </c>
      <c r="O2082" s="10">
        <v>263.14499999999998</v>
      </c>
      <c r="P2082" s="10">
        <v>10</v>
      </c>
      <c r="Q2082" s="10">
        <v>10</v>
      </c>
      <c r="R2082" s="10">
        <v>8</v>
      </c>
    </row>
    <row r="2083" spans="1:18" ht="17" customHeight="1" x14ac:dyDescent="0.15">
      <c r="A2083" s="11" t="s">
        <v>11089</v>
      </c>
      <c r="B2083" s="1" t="s">
        <v>11090</v>
      </c>
      <c r="C2083" s="11" t="s">
        <v>11091</v>
      </c>
      <c r="D2083" s="11" t="s">
        <v>11091</v>
      </c>
      <c r="E2083" s="11" t="s">
        <v>11092</v>
      </c>
      <c r="F2083" s="11" t="s">
        <v>11093</v>
      </c>
      <c r="G2083" s="11" t="s">
        <v>11094</v>
      </c>
      <c r="H2083" s="11" t="s">
        <v>11081</v>
      </c>
      <c r="I2083" s="11" t="str">
        <f>HYPERLINK("http://www.otello.it/","www.otello.it")</f>
        <v>www.otello.it</v>
      </c>
      <c r="J2083" s="12">
        <v>1702.597</v>
      </c>
      <c r="K2083" s="12">
        <v>1702.597</v>
      </c>
      <c r="L2083" s="13">
        <v>2245.009</v>
      </c>
      <c r="M2083" s="12">
        <v>5.1609999999999996</v>
      </c>
      <c r="N2083" s="12">
        <v>5.1609999999999996</v>
      </c>
      <c r="O2083" s="12">
        <v>10.039999999999999</v>
      </c>
      <c r="P2083" s="12">
        <v>6</v>
      </c>
      <c r="Q2083" s="12">
        <v>6</v>
      </c>
      <c r="R2083" s="12">
        <v>5</v>
      </c>
    </row>
    <row r="2084" spans="1:18" ht="17" customHeight="1" x14ac:dyDescent="0.15">
      <c r="A2084" s="8" t="s">
        <v>11095</v>
      </c>
      <c r="B2084" s="9" t="s">
        <v>11096</v>
      </c>
      <c r="C2084" s="8" t="s">
        <v>11097</v>
      </c>
      <c r="D2084" s="8" t="s">
        <v>11097</v>
      </c>
      <c r="E2084" s="8" t="s">
        <v>11098</v>
      </c>
      <c r="F2084" s="8" t="s">
        <v>11093</v>
      </c>
      <c r="G2084" s="8" t="s">
        <v>11088</v>
      </c>
      <c r="H2084" s="8" t="s">
        <v>11081</v>
      </c>
      <c r="I2084" s="8" t="str">
        <f>HYPERLINK("http://stampestampe.it/","stampestampe.it")</f>
        <v>stampestampe.it</v>
      </c>
      <c r="J2084" s="10">
        <v>1585.69</v>
      </c>
      <c r="K2084" s="10">
        <v>1585.69</v>
      </c>
      <c r="L2084" s="10">
        <v>2244.8879999999999</v>
      </c>
      <c r="M2084" s="10">
        <v>43.29</v>
      </c>
      <c r="N2084" s="10">
        <v>43.29</v>
      </c>
      <c r="O2084" s="10">
        <v>56.862000000000002</v>
      </c>
      <c r="P2084" s="15" t="s">
        <v>11082</v>
      </c>
      <c r="Q2084" s="15" t="s">
        <v>11082</v>
      </c>
      <c r="R2084" s="10">
        <v>15</v>
      </c>
    </row>
    <row r="2085" spans="1:18" ht="17" customHeight="1" x14ac:dyDescent="0.15">
      <c r="A2085" s="11" t="s">
        <v>11099</v>
      </c>
      <c r="B2085" s="1" t="s">
        <v>11100</v>
      </c>
      <c r="C2085" s="11" t="s">
        <v>11101</v>
      </c>
      <c r="D2085" s="11" t="s">
        <v>11101</v>
      </c>
      <c r="E2085" s="11" t="s">
        <v>11102</v>
      </c>
      <c r="F2085" s="11" t="s">
        <v>11103</v>
      </c>
      <c r="G2085" s="11" t="s">
        <v>11104</v>
      </c>
      <c r="H2085" s="11" t="s">
        <v>11105</v>
      </c>
      <c r="I2085" s="11" t="str">
        <f>HYPERLINK("http://artioli.com/","artioli.com")</f>
        <v>artioli.com</v>
      </c>
      <c r="J2085" s="12">
        <v>3114.2080000000001</v>
      </c>
      <c r="K2085" s="12">
        <v>3114.2080000000001</v>
      </c>
      <c r="L2085" s="13">
        <v>2243.8470000000002</v>
      </c>
      <c r="M2085" s="12">
        <v>46.082000000000001</v>
      </c>
      <c r="N2085" s="12">
        <v>46.082000000000001</v>
      </c>
      <c r="O2085" s="12">
        <v>-109.285</v>
      </c>
      <c r="P2085" s="12">
        <v>38</v>
      </c>
      <c r="Q2085" s="12">
        <v>38</v>
      </c>
      <c r="R2085" s="12">
        <v>38</v>
      </c>
    </row>
    <row r="2086" spans="1:18" ht="17" customHeight="1" x14ac:dyDescent="0.15">
      <c r="A2086" s="8" t="s">
        <v>11106</v>
      </c>
      <c r="B2086" s="9" t="s">
        <v>11107</v>
      </c>
      <c r="C2086" s="8" t="s">
        <v>11108</v>
      </c>
      <c r="D2086" s="8" t="s">
        <v>11108</v>
      </c>
      <c r="E2086" s="8" t="s">
        <v>11109</v>
      </c>
      <c r="F2086" s="8" t="s">
        <v>11110</v>
      </c>
      <c r="G2086" s="8" t="s">
        <v>11088</v>
      </c>
      <c r="H2086" s="8" t="s">
        <v>11081</v>
      </c>
      <c r="I2086" s="8" t="str">
        <f>HYPERLINK("http://creativeleather.it/","creativeleather.it")</f>
        <v>creativeleather.it</v>
      </c>
      <c r="J2086" s="10">
        <v>1349.79</v>
      </c>
      <c r="K2086" s="10">
        <v>1349.79</v>
      </c>
      <c r="L2086" s="10">
        <v>2235.817</v>
      </c>
      <c r="M2086" s="10">
        <v>14.253</v>
      </c>
      <c r="N2086" s="10">
        <v>14.253</v>
      </c>
      <c r="O2086" s="10">
        <v>4.1749999999999998</v>
      </c>
      <c r="P2086" s="10">
        <v>14</v>
      </c>
      <c r="Q2086" s="10">
        <v>14</v>
      </c>
      <c r="R2086" s="10">
        <v>15</v>
      </c>
    </row>
    <row r="2087" spans="1:18" ht="17" customHeight="1" x14ac:dyDescent="0.15">
      <c r="A2087" s="11" t="s">
        <v>11111</v>
      </c>
      <c r="B2087" s="1" t="s">
        <v>11112</v>
      </c>
      <c r="C2087" s="11" t="s">
        <v>11113</v>
      </c>
      <c r="D2087" s="11" t="s">
        <v>11113</v>
      </c>
      <c r="E2087" s="11" t="s">
        <v>11114</v>
      </c>
      <c r="F2087" s="11" t="s">
        <v>11079</v>
      </c>
      <c r="G2087" s="11" t="s">
        <v>11115</v>
      </c>
      <c r="H2087" s="11" t="s">
        <v>11116</v>
      </c>
      <c r="I2087" s="11" t="str">
        <f>HYPERLINK("http://www.elisafanti.it/","www.elisafanti.it")</f>
        <v>www.elisafanti.it</v>
      </c>
      <c r="J2087" s="12">
        <v>2776.5320000000002</v>
      </c>
      <c r="K2087" s="12">
        <v>2776.5320000000002</v>
      </c>
      <c r="L2087" s="13">
        <v>2233.636</v>
      </c>
      <c r="M2087" s="12">
        <v>288.54300000000001</v>
      </c>
      <c r="N2087" s="12">
        <v>288.54300000000001</v>
      </c>
      <c r="O2087" s="12">
        <v>8.6189999999999998</v>
      </c>
      <c r="P2087" s="12">
        <v>11</v>
      </c>
      <c r="Q2087" s="12">
        <v>11</v>
      </c>
      <c r="R2087" s="12">
        <v>11</v>
      </c>
    </row>
    <row r="2088" spans="1:18" ht="17" customHeight="1" x14ac:dyDescent="0.15">
      <c r="A2088" s="8" t="s">
        <v>11117</v>
      </c>
      <c r="B2088" s="9" t="s">
        <v>11118</v>
      </c>
      <c r="C2088" s="8" t="s">
        <v>11119</v>
      </c>
      <c r="D2088" s="8" t="s">
        <v>11119</v>
      </c>
      <c r="E2088" s="8" t="s">
        <v>11120</v>
      </c>
      <c r="F2088" s="8" t="s">
        <v>11121</v>
      </c>
      <c r="G2088" s="8" t="s">
        <v>11122</v>
      </c>
      <c r="H2088" s="8" t="s">
        <v>11116</v>
      </c>
      <c r="I2088" s="8" t="str">
        <f>HYPERLINK("http://olgalab.it/","olgalab.it")</f>
        <v>olgalab.it</v>
      </c>
      <c r="J2088" s="10">
        <v>2084.6840000000002</v>
      </c>
      <c r="K2088" s="10">
        <v>2084.6840000000002</v>
      </c>
      <c r="L2088" s="10">
        <v>2233.3710000000001</v>
      </c>
      <c r="M2088" s="10">
        <v>26.795999999999999</v>
      </c>
      <c r="N2088" s="10">
        <v>26.795999999999999</v>
      </c>
      <c r="O2088" s="10">
        <v>24.669</v>
      </c>
      <c r="P2088" s="10">
        <v>11</v>
      </c>
      <c r="Q2088" s="10">
        <v>11</v>
      </c>
      <c r="R2088" s="10">
        <v>9</v>
      </c>
    </row>
    <row r="2089" spans="1:18" ht="17" customHeight="1" x14ac:dyDescent="0.15">
      <c r="A2089" s="11" t="s">
        <v>11123</v>
      </c>
      <c r="B2089" s="1" t="s">
        <v>11124</v>
      </c>
      <c r="C2089" s="11" t="s">
        <v>11125</v>
      </c>
      <c r="D2089" s="11" t="s">
        <v>11126</v>
      </c>
      <c r="E2089" s="11" t="s">
        <v>11127</v>
      </c>
      <c r="F2089" s="11" t="s">
        <v>11128</v>
      </c>
      <c r="G2089" s="11" t="s">
        <v>11129</v>
      </c>
      <c r="H2089" s="11" t="s">
        <v>11105</v>
      </c>
      <c r="I2089" s="11" t="str">
        <f>HYPERLINK("http://www.giframed.it/","http://www.giframed.it")</f>
        <v>http://www.giframed.it</v>
      </c>
      <c r="J2089" s="12">
        <v>2273.6640000000002</v>
      </c>
      <c r="K2089" s="12">
        <v>2273.6640000000002</v>
      </c>
      <c r="L2089" s="13">
        <v>2230.0619999999999</v>
      </c>
      <c r="M2089" s="12">
        <v>-10.125999999999999</v>
      </c>
      <c r="N2089" s="12">
        <v>-10.125999999999999</v>
      </c>
      <c r="O2089" s="12">
        <v>2.7749999999999999</v>
      </c>
      <c r="P2089" s="12">
        <v>10</v>
      </c>
      <c r="Q2089" s="12">
        <v>10</v>
      </c>
      <c r="R2089" s="12">
        <v>10</v>
      </c>
    </row>
    <row r="2090" spans="1:18" ht="17" customHeight="1" x14ac:dyDescent="0.15">
      <c r="A2090" s="8" t="s">
        <v>11130</v>
      </c>
      <c r="B2090" s="9" t="s">
        <v>11131</v>
      </c>
      <c r="C2090" s="8" t="s">
        <v>11132</v>
      </c>
      <c r="D2090" s="8" t="s">
        <v>11132</v>
      </c>
      <c r="E2090" s="8" t="s">
        <v>11133</v>
      </c>
      <c r="F2090" s="8" t="s">
        <v>11134</v>
      </c>
      <c r="G2090" s="8" t="s">
        <v>11135</v>
      </c>
      <c r="H2090" s="8" t="s">
        <v>11136</v>
      </c>
      <c r="I2090" s="8" t="str">
        <f>HYPERLINK("http://www.antoniogargiuloleather.com/","www.antoniogargiuloleather.com")</f>
        <v>www.antoniogargiuloleather.com</v>
      </c>
      <c r="J2090" s="10">
        <v>2185.87</v>
      </c>
      <c r="K2090" s="10">
        <v>2185.87</v>
      </c>
      <c r="L2090" s="10">
        <v>2227.91</v>
      </c>
      <c r="M2090" s="10">
        <v>185.22</v>
      </c>
      <c r="N2090" s="10">
        <v>185.22</v>
      </c>
      <c r="O2090" s="10">
        <v>191.09299999999999</v>
      </c>
      <c r="P2090" s="15" t="s">
        <v>11082</v>
      </c>
      <c r="Q2090" s="15" t="s">
        <v>11082</v>
      </c>
      <c r="R2090" s="10">
        <v>11</v>
      </c>
    </row>
    <row r="2091" spans="1:18" ht="17" customHeight="1" x14ac:dyDescent="0.15">
      <c r="A2091" s="11" t="s">
        <v>11137</v>
      </c>
      <c r="B2091" s="1" t="s">
        <v>11138</v>
      </c>
      <c r="C2091" s="11" t="s">
        <v>11139</v>
      </c>
      <c r="D2091" s="11" t="s">
        <v>11139</v>
      </c>
      <c r="E2091" s="11" t="s">
        <v>11140</v>
      </c>
      <c r="F2091" s="11" t="s">
        <v>11079</v>
      </c>
      <c r="G2091" s="11" t="s">
        <v>11141</v>
      </c>
      <c r="H2091" s="11" t="s">
        <v>11081</v>
      </c>
      <c r="I2091" s="11" t="str">
        <f>HYPERLINK("http://www.vetrinadellamoda.it/","www.vetrinadellamoda.it")</f>
        <v>www.vetrinadellamoda.it</v>
      </c>
      <c r="J2091" s="12">
        <v>3202.0189999999998</v>
      </c>
      <c r="K2091" s="12">
        <v>3202.0189999999998</v>
      </c>
      <c r="L2091" s="13">
        <v>2225.4270000000001</v>
      </c>
      <c r="M2091" s="12">
        <v>180.042</v>
      </c>
      <c r="N2091" s="12">
        <v>180.042</v>
      </c>
      <c r="O2091" s="12">
        <v>6.2539999999999996</v>
      </c>
      <c r="P2091" s="12">
        <v>34</v>
      </c>
      <c r="Q2091" s="12">
        <v>34</v>
      </c>
      <c r="R2091" s="12">
        <v>29</v>
      </c>
    </row>
    <row r="2092" spans="1:18" ht="17" customHeight="1" x14ac:dyDescent="0.15">
      <c r="A2092" s="8" t="s">
        <v>11142</v>
      </c>
      <c r="B2092" s="9" t="s">
        <v>11143</v>
      </c>
      <c r="C2092" s="8" t="s">
        <v>11144</v>
      </c>
      <c r="D2092" s="8" t="s">
        <v>11144</v>
      </c>
      <c r="E2092" s="8" t="s">
        <v>11145</v>
      </c>
      <c r="F2092" s="8" t="s">
        <v>11146</v>
      </c>
      <c r="G2092" s="8" t="s">
        <v>11147</v>
      </c>
      <c r="H2092" s="8" t="s">
        <v>11148</v>
      </c>
      <c r="I2092" s="8" t="str">
        <f>HYPERLINK("http://www.marettocalzature.it/","www.marettocalzature.it")</f>
        <v>www.marettocalzature.it</v>
      </c>
      <c r="J2092" s="10">
        <v>2276.1219999999998</v>
      </c>
      <c r="K2092" s="10">
        <v>2276.1219999999998</v>
      </c>
      <c r="L2092" s="10">
        <v>2223.7739999999999</v>
      </c>
      <c r="M2092" s="10">
        <v>48.057000000000002</v>
      </c>
      <c r="N2092" s="10">
        <v>48.057000000000002</v>
      </c>
      <c r="O2092" s="10">
        <v>57.871000000000002</v>
      </c>
      <c r="P2092" s="10">
        <v>14</v>
      </c>
      <c r="Q2092" s="10">
        <v>14</v>
      </c>
      <c r="R2092" s="10">
        <v>12</v>
      </c>
    </row>
    <row r="2093" spans="1:18" ht="29.5" customHeight="1" x14ac:dyDescent="0.15">
      <c r="A2093" s="11" t="s">
        <v>11149</v>
      </c>
      <c r="B2093" s="1" t="s">
        <v>11150</v>
      </c>
      <c r="C2093" s="11" t="s">
        <v>11151</v>
      </c>
      <c r="D2093" s="11" t="s">
        <v>11151</v>
      </c>
      <c r="E2093" s="11" t="s">
        <v>11152</v>
      </c>
      <c r="F2093" s="11" t="s">
        <v>11153</v>
      </c>
      <c r="G2093" s="11" t="s">
        <v>11154</v>
      </c>
      <c r="H2093" s="11" t="s">
        <v>11105</v>
      </c>
      <c r="I2093" s="11" t="str">
        <f>HYPERLINK("http://www.tremolada1958.com/","www.tremolada1958.com")</f>
        <v>www.tremolada1958.com</v>
      </c>
      <c r="J2093" s="12">
        <v>1895.4739999999999</v>
      </c>
      <c r="K2093" s="12">
        <v>1895.4739999999999</v>
      </c>
      <c r="L2093" s="13">
        <v>2223.7539999999999</v>
      </c>
      <c r="M2093" s="12">
        <v>31.838000000000001</v>
      </c>
      <c r="N2093" s="12">
        <v>31.838000000000001</v>
      </c>
      <c r="O2093" s="12">
        <v>37.972000000000001</v>
      </c>
      <c r="P2093" s="12">
        <v>15</v>
      </c>
      <c r="Q2093" s="12">
        <v>15</v>
      </c>
      <c r="R2093" s="12">
        <v>15</v>
      </c>
    </row>
    <row r="2094" spans="1:18" ht="29.5" customHeight="1" x14ac:dyDescent="0.15">
      <c r="A2094" s="8" t="s">
        <v>11155</v>
      </c>
      <c r="B2094" s="9" t="s">
        <v>11156</v>
      </c>
      <c r="C2094" s="8" t="s">
        <v>11157</v>
      </c>
      <c r="D2094" s="8" t="s">
        <v>11157</v>
      </c>
      <c r="E2094" s="8" t="s">
        <v>11158</v>
      </c>
      <c r="F2094" s="8" t="s">
        <v>11159</v>
      </c>
      <c r="G2094" s="8" t="s">
        <v>11088</v>
      </c>
      <c r="H2094" s="8" t="s">
        <v>11081</v>
      </c>
      <c r="I2094" s="8" t="str">
        <f>HYPERLINK("http://innbamboo.it/","innbamboo.it")</f>
        <v>innbamboo.it</v>
      </c>
      <c r="J2094" s="10">
        <v>2481.9229999999998</v>
      </c>
      <c r="K2094" s="10">
        <v>2481.9229999999998</v>
      </c>
      <c r="L2094" s="10">
        <v>2222.596</v>
      </c>
      <c r="M2094" s="10">
        <v>26.861999999999998</v>
      </c>
      <c r="N2094" s="10">
        <v>26.861999999999998</v>
      </c>
      <c r="O2094" s="10">
        <v>15.1</v>
      </c>
      <c r="P2094" s="10">
        <v>14</v>
      </c>
      <c r="Q2094" s="10">
        <v>14</v>
      </c>
      <c r="R2094" s="10">
        <v>13</v>
      </c>
    </row>
    <row r="2095" spans="1:18" ht="17" customHeight="1" x14ac:dyDescent="0.15">
      <c r="A2095" s="11" t="s">
        <v>11160</v>
      </c>
      <c r="B2095" s="1" t="s">
        <v>11161</v>
      </c>
      <c r="C2095" s="11" t="s">
        <v>11162</v>
      </c>
      <c r="D2095" s="11" t="s">
        <v>11162</v>
      </c>
      <c r="E2095" s="11" t="s">
        <v>11163</v>
      </c>
      <c r="F2095" s="11" t="s">
        <v>11159</v>
      </c>
      <c r="G2095" s="11" t="s">
        <v>11135</v>
      </c>
      <c r="H2095" s="11" t="s">
        <v>11136</v>
      </c>
      <c r="I2095" s="11" t="str">
        <f>HYPERLINK("http://quiin21.it/","quiin21.it")</f>
        <v>quiin21.it</v>
      </c>
      <c r="J2095" s="12">
        <v>1768.6389999999999</v>
      </c>
      <c r="K2095" s="12">
        <v>1768.6389999999999</v>
      </c>
      <c r="L2095" s="13">
        <v>2221.9319999999998</v>
      </c>
      <c r="M2095" s="12">
        <v>-134.166</v>
      </c>
      <c r="N2095" s="12">
        <v>-134.166</v>
      </c>
      <c r="O2095" s="12">
        <v>32.826000000000001</v>
      </c>
      <c r="P2095" s="12">
        <v>10</v>
      </c>
      <c r="Q2095" s="12">
        <v>10</v>
      </c>
      <c r="R2095" s="12">
        <v>8</v>
      </c>
    </row>
    <row r="2096" spans="1:18" ht="17" customHeight="1" x14ac:dyDescent="0.15">
      <c r="A2096" s="8" t="s">
        <v>11164</v>
      </c>
      <c r="B2096" s="9" t="s">
        <v>11165</v>
      </c>
      <c r="C2096" s="8" t="s">
        <v>11166</v>
      </c>
      <c r="D2096" s="8" t="s">
        <v>11166</v>
      </c>
      <c r="E2096" s="8" t="s">
        <v>11167</v>
      </c>
      <c r="F2096" s="8" t="s">
        <v>11110</v>
      </c>
      <c r="G2096" s="8" t="s">
        <v>11168</v>
      </c>
      <c r="H2096" s="8" t="s">
        <v>11169</v>
      </c>
      <c r="I2096" s="8" t="str">
        <f>HYPERLINK("http://www.planetbags.it/","www.planetbags.it")</f>
        <v>www.planetbags.it</v>
      </c>
      <c r="J2096" s="10">
        <v>2182.8739999999998</v>
      </c>
      <c r="K2096" s="10">
        <v>2182.8739999999998</v>
      </c>
      <c r="L2096" s="10">
        <v>2221.4009999999998</v>
      </c>
      <c r="M2096" s="10">
        <v>164.81800000000001</v>
      </c>
      <c r="N2096" s="10">
        <v>164.81800000000001</v>
      </c>
      <c r="O2096" s="10">
        <v>165.19200000000001</v>
      </c>
      <c r="P2096" s="10">
        <v>13</v>
      </c>
      <c r="Q2096" s="10">
        <v>13</v>
      </c>
      <c r="R2096" s="10">
        <v>11</v>
      </c>
    </row>
    <row r="2097" spans="1:18" ht="17" customHeight="1" x14ac:dyDescent="0.15">
      <c r="A2097" s="11" t="s">
        <v>11170</v>
      </c>
      <c r="B2097" s="1" t="s">
        <v>11171</v>
      </c>
      <c r="C2097" s="11" t="s">
        <v>11172</v>
      </c>
      <c r="D2097" s="11" t="s">
        <v>11172</v>
      </c>
      <c r="E2097" s="11" t="s">
        <v>11173</v>
      </c>
      <c r="F2097" s="11" t="s">
        <v>11103</v>
      </c>
      <c r="G2097" s="11" t="s">
        <v>11174</v>
      </c>
      <c r="H2097" s="11" t="s">
        <v>11175</v>
      </c>
      <c r="I2097" s="11" t="str">
        <f>HYPERLINK("http://bruglia.it/","bruglia.it")</f>
        <v>bruglia.it</v>
      </c>
      <c r="J2097" s="12">
        <v>2353.4340000000002</v>
      </c>
      <c r="K2097" s="12">
        <v>2353.4340000000002</v>
      </c>
      <c r="L2097" s="13">
        <v>2220.962</v>
      </c>
      <c r="M2097" s="12">
        <v>-69.813000000000002</v>
      </c>
      <c r="N2097" s="12">
        <v>-69.813000000000002</v>
      </c>
      <c r="O2097" s="12">
        <v>48.128</v>
      </c>
      <c r="P2097" s="14" t="s">
        <v>11082</v>
      </c>
      <c r="Q2097" s="14" t="s">
        <v>11082</v>
      </c>
      <c r="R2097" s="12">
        <v>18</v>
      </c>
    </row>
    <row r="2098" spans="1:18" ht="17" customHeight="1" x14ac:dyDescent="0.15">
      <c r="A2098" s="8" t="s">
        <v>11176</v>
      </c>
      <c r="B2098" s="9" t="s">
        <v>11177</v>
      </c>
      <c r="C2098" s="8" t="s">
        <v>11178</v>
      </c>
      <c r="D2098" s="8" t="s">
        <v>11178</v>
      </c>
      <c r="E2098" s="8" t="s">
        <v>11179</v>
      </c>
      <c r="F2098" s="8" t="s">
        <v>11159</v>
      </c>
      <c r="G2098" s="8" t="s">
        <v>11180</v>
      </c>
      <c r="H2098" s="8" t="s">
        <v>11181</v>
      </c>
      <c r="I2098" s="8" t="str">
        <f>HYPERLINK("http://www.fragnelli1971.it/","www.fragnelli1971.it")</f>
        <v>www.fragnelli1971.it</v>
      </c>
      <c r="J2098" s="10">
        <v>2755.5419999999999</v>
      </c>
      <c r="K2098" s="10">
        <v>2755.5419999999999</v>
      </c>
      <c r="L2098" s="10">
        <v>2211.92</v>
      </c>
      <c r="M2098" s="10">
        <v>23.512</v>
      </c>
      <c r="N2098" s="10">
        <v>23.512</v>
      </c>
      <c r="O2098" s="10">
        <v>20.565000000000001</v>
      </c>
      <c r="P2098" s="15" t="s">
        <v>11082</v>
      </c>
      <c r="Q2098" s="15" t="s">
        <v>11082</v>
      </c>
      <c r="R2098" s="10">
        <v>15</v>
      </c>
    </row>
    <row r="2099" spans="1:18" ht="17" customHeight="1" x14ac:dyDescent="0.15">
      <c r="A2099" s="11" t="s">
        <v>11182</v>
      </c>
      <c r="B2099" s="1" t="s">
        <v>11183</v>
      </c>
      <c r="C2099" s="11" t="s">
        <v>11184</v>
      </c>
      <c r="D2099" s="11" t="s">
        <v>11184</v>
      </c>
      <c r="E2099" s="11" t="s">
        <v>11185</v>
      </c>
      <c r="F2099" s="11" t="s">
        <v>11079</v>
      </c>
      <c r="G2099" s="11" t="s">
        <v>11122</v>
      </c>
      <c r="H2099" s="11" t="s">
        <v>11116</v>
      </c>
      <c r="I2099" s="11" t="str">
        <f>HYPERLINK("http://confezionicometa.it/","confezionicometa.it")</f>
        <v>confezionicometa.it</v>
      </c>
      <c r="J2099" s="12">
        <v>2872.7240000000002</v>
      </c>
      <c r="K2099" s="12">
        <v>2941.7040000000002</v>
      </c>
      <c r="L2099" s="13">
        <v>2211.2049999999999</v>
      </c>
      <c r="M2099" s="12">
        <v>144.35499999999999</v>
      </c>
      <c r="N2099" s="12">
        <v>138.91800000000001</v>
      </c>
      <c r="O2099" s="12">
        <v>29.210999999999999</v>
      </c>
      <c r="P2099" s="14" t="s">
        <v>11082</v>
      </c>
      <c r="Q2099" s="12">
        <v>23</v>
      </c>
      <c r="R2099" s="12">
        <v>23</v>
      </c>
    </row>
    <row r="2100" spans="1:18" ht="29.5" customHeight="1" x14ac:dyDescent="0.15">
      <c r="A2100" s="8" t="s">
        <v>11186</v>
      </c>
      <c r="B2100" s="9" t="s">
        <v>11187</v>
      </c>
      <c r="C2100" s="8" t="s">
        <v>11188</v>
      </c>
      <c r="D2100" s="8" t="s">
        <v>11188</v>
      </c>
      <c r="E2100" s="8" t="s">
        <v>11189</v>
      </c>
      <c r="F2100" s="8" t="s">
        <v>11093</v>
      </c>
      <c r="G2100" s="8" t="s">
        <v>11190</v>
      </c>
      <c r="H2100" s="8" t="s">
        <v>11136</v>
      </c>
      <c r="I2100" s="8" t="str">
        <f>HYPERLINK("http://www.mcquadroconceria.it/","www.mcquadroconceria.it")</f>
        <v>www.mcquadroconceria.it</v>
      </c>
      <c r="J2100" s="10">
        <v>1225.2550000000001</v>
      </c>
      <c r="K2100" s="10">
        <v>1225.2550000000001</v>
      </c>
      <c r="L2100" s="10">
        <v>2208.7660000000001</v>
      </c>
      <c r="M2100" s="10">
        <v>-230.351</v>
      </c>
      <c r="N2100" s="10">
        <v>-230.351</v>
      </c>
      <c r="O2100" s="10">
        <v>535.20000000000005</v>
      </c>
      <c r="P2100" s="10">
        <v>17</v>
      </c>
      <c r="Q2100" s="10">
        <v>17</v>
      </c>
      <c r="R2100" s="10">
        <v>15</v>
      </c>
    </row>
    <row r="2101" spans="1:18" ht="17" customHeight="1" x14ac:dyDescent="0.15">
      <c r="A2101" s="11" t="s">
        <v>11191</v>
      </c>
      <c r="B2101" s="1" t="s">
        <v>11192</v>
      </c>
      <c r="C2101" s="11" t="s">
        <v>11193</v>
      </c>
      <c r="D2101" s="11" t="s">
        <v>11193</v>
      </c>
      <c r="E2101" s="11" t="s">
        <v>11194</v>
      </c>
      <c r="F2101" s="11" t="s">
        <v>11195</v>
      </c>
      <c r="G2101" s="11" t="s">
        <v>11196</v>
      </c>
      <c r="H2101" s="11" t="s">
        <v>11105</v>
      </c>
      <c r="I2101" s="11" t="str">
        <f>HYPERLINK("http://www.calzificiobraga.it/","www.calzificiobraga.it")</f>
        <v>www.calzificiobraga.it</v>
      </c>
      <c r="J2101" s="12">
        <v>2179.4520000000002</v>
      </c>
      <c r="K2101" s="12">
        <v>2179.4520000000002</v>
      </c>
      <c r="L2101" s="13">
        <v>2205.9059999999999</v>
      </c>
      <c r="M2101" s="12">
        <v>16.483000000000001</v>
      </c>
      <c r="N2101" s="12">
        <v>16.483000000000001</v>
      </c>
      <c r="O2101" s="12">
        <v>7.11</v>
      </c>
      <c r="P2101" s="12">
        <v>12</v>
      </c>
      <c r="Q2101" s="12">
        <v>12</v>
      </c>
      <c r="R2101" s="12">
        <v>13</v>
      </c>
    </row>
    <row r="2102" spans="1:18" ht="17" customHeight="1" x14ac:dyDescent="0.15">
      <c r="A2102" s="8" t="s">
        <v>11197</v>
      </c>
      <c r="B2102" s="9" t="s">
        <v>11198</v>
      </c>
      <c r="C2102" s="8" t="s">
        <v>11199</v>
      </c>
      <c r="D2102" s="8" t="s">
        <v>11199</v>
      </c>
      <c r="E2102" s="8" t="s">
        <v>11200</v>
      </c>
      <c r="F2102" s="8" t="s">
        <v>11146</v>
      </c>
      <c r="G2102" s="8" t="s">
        <v>11201</v>
      </c>
      <c r="H2102" s="8" t="s">
        <v>11105</v>
      </c>
      <c r="I2102" s="8" t="str">
        <f>HYPERLINK("http://falca.it/","falca.it")</f>
        <v>falca.it</v>
      </c>
      <c r="J2102" s="10">
        <v>1583.692</v>
      </c>
      <c r="K2102" s="10">
        <v>1583.692</v>
      </c>
      <c r="L2102" s="10">
        <v>2203.4780000000001</v>
      </c>
      <c r="M2102" s="10">
        <v>-78.286000000000001</v>
      </c>
      <c r="N2102" s="10">
        <v>-78.286000000000001</v>
      </c>
      <c r="O2102" s="10">
        <v>29.602</v>
      </c>
      <c r="P2102" s="10">
        <v>10</v>
      </c>
      <c r="Q2102" s="10">
        <v>10</v>
      </c>
      <c r="R2102" s="10">
        <v>8</v>
      </c>
    </row>
    <row r="2103" spans="1:18" ht="17" customHeight="1" x14ac:dyDescent="0.15">
      <c r="A2103" s="11" t="s">
        <v>11202</v>
      </c>
      <c r="B2103" s="1" t="s">
        <v>11203</v>
      </c>
      <c r="C2103" s="11" t="s">
        <v>11204</v>
      </c>
      <c r="D2103" s="11" t="s">
        <v>11204</v>
      </c>
      <c r="E2103" s="11" t="s">
        <v>11205</v>
      </c>
      <c r="F2103" s="11" t="s">
        <v>11103</v>
      </c>
      <c r="G2103" s="11" t="s">
        <v>11206</v>
      </c>
      <c r="H2103" s="11" t="s">
        <v>11175</v>
      </c>
      <c r="I2103" s="11" t="str">
        <f>HYPERLINK("http://www.effegishoes.it/","www.effegishoes.it")</f>
        <v>www.effegishoes.it</v>
      </c>
      <c r="J2103" s="12">
        <v>1751.6410000000001</v>
      </c>
      <c r="K2103" s="12">
        <v>1751.6410000000001</v>
      </c>
      <c r="L2103" s="13">
        <v>2202.9119999999998</v>
      </c>
      <c r="M2103" s="12">
        <v>1.94</v>
      </c>
      <c r="N2103" s="12">
        <v>1.94</v>
      </c>
      <c r="O2103" s="12">
        <v>2.0670000000000002</v>
      </c>
      <c r="P2103" s="12">
        <v>1</v>
      </c>
      <c r="Q2103" s="12">
        <v>1</v>
      </c>
      <c r="R2103" s="12">
        <v>1</v>
      </c>
    </row>
    <row r="2104" spans="1:18" ht="17" customHeight="1" x14ac:dyDescent="0.15">
      <c r="A2104" s="8" t="s">
        <v>11207</v>
      </c>
      <c r="B2104" s="9" t="s">
        <v>11208</v>
      </c>
      <c r="C2104" s="8" t="s">
        <v>11209</v>
      </c>
      <c r="D2104" s="8" t="s">
        <v>11209</v>
      </c>
      <c r="E2104" s="8" t="s">
        <v>11210</v>
      </c>
      <c r="F2104" s="8" t="s">
        <v>11128</v>
      </c>
      <c r="G2104" s="8" t="s">
        <v>11135</v>
      </c>
      <c r="H2104" s="8" t="s">
        <v>11136</v>
      </c>
      <c r="I2104" s="8" t="str">
        <f>HYPERLINK("http://www.tamasrl.it/","www.tamasrl.it")</f>
        <v>www.tamasrl.it</v>
      </c>
      <c r="J2104" s="10">
        <v>2408.8220000000001</v>
      </c>
      <c r="K2104" s="10">
        <v>2408.8220000000001</v>
      </c>
      <c r="L2104" s="10">
        <v>2201.819</v>
      </c>
      <c r="M2104" s="10">
        <v>181.232</v>
      </c>
      <c r="N2104" s="10">
        <v>181.232</v>
      </c>
      <c r="O2104" s="10">
        <v>103.18899999999999</v>
      </c>
      <c r="P2104" s="15" t="s">
        <v>11082</v>
      </c>
      <c r="Q2104" s="15" t="s">
        <v>11082</v>
      </c>
      <c r="R2104" s="10">
        <v>5</v>
      </c>
    </row>
    <row r="2105" spans="1:18" ht="17" customHeight="1" x14ac:dyDescent="0.15">
      <c r="A2105" s="11" t="s">
        <v>11211</v>
      </c>
      <c r="B2105" s="1" t="s">
        <v>11212</v>
      </c>
      <c r="C2105" s="11" t="s">
        <v>11213</v>
      </c>
      <c r="D2105" s="11" t="s">
        <v>11213</v>
      </c>
      <c r="E2105" s="11" t="s">
        <v>11214</v>
      </c>
      <c r="F2105" s="11" t="s">
        <v>11079</v>
      </c>
      <c r="G2105" s="11" t="s">
        <v>11215</v>
      </c>
      <c r="H2105" s="11" t="s">
        <v>11181</v>
      </c>
      <c r="I2105" s="11" t="str">
        <f>HYPERLINK("http://capanifirenze.it/","capanifirenze.it")</f>
        <v>capanifirenze.it</v>
      </c>
      <c r="J2105" s="12">
        <v>2874.279</v>
      </c>
      <c r="K2105" s="12">
        <v>2874.279</v>
      </c>
      <c r="L2105" s="13">
        <v>2200.4459999999999</v>
      </c>
      <c r="M2105" s="12">
        <v>17.193999999999999</v>
      </c>
      <c r="N2105" s="12">
        <v>17.193999999999999</v>
      </c>
      <c r="O2105" s="12">
        <v>19.914999999999999</v>
      </c>
      <c r="P2105" s="14" t="s">
        <v>11082</v>
      </c>
      <c r="Q2105" s="14" t="s">
        <v>11082</v>
      </c>
      <c r="R2105" s="12">
        <v>12</v>
      </c>
    </row>
    <row r="2106" spans="1:18" ht="17" customHeight="1" x14ac:dyDescent="0.15">
      <c r="A2106" s="8" t="s">
        <v>11216</v>
      </c>
      <c r="B2106" s="9" t="s">
        <v>11217</v>
      </c>
      <c r="C2106" s="8" t="s">
        <v>11218</v>
      </c>
      <c r="D2106" s="8" t="s">
        <v>11218</v>
      </c>
      <c r="E2106" s="8" t="s">
        <v>11219</v>
      </c>
      <c r="F2106" s="8" t="s">
        <v>11153</v>
      </c>
      <c r="G2106" s="8" t="s">
        <v>11220</v>
      </c>
      <c r="H2106" s="8" t="s">
        <v>11105</v>
      </c>
      <c r="I2106" s="8" t="str">
        <f>HYPERLINK("http://www.manifatturabernina.it/","www.manifatturabernina.it")</f>
        <v>www.manifatturabernina.it</v>
      </c>
      <c r="J2106" s="10">
        <v>2359.567</v>
      </c>
      <c r="K2106" s="10">
        <v>2359.567</v>
      </c>
      <c r="L2106" s="10">
        <v>2200.4389999999999</v>
      </c>
      <c r="M2106" s="10">
        <v>9.8450000000000006</v>
      </c>
      <c r="N2106" s="10">
        <v>9.8450000000000006</v>
      </c>
      <c r="O2106" s="10">
        <v>21.481000000000002</v>
      </c>
      <c r="P2106" s="10">
        <v>25</v>
      </c>
      <c r="Q2106" s="10">
        <v>25</v>
      </c>
      <c r="R2106" s="10">
        <v>22</v>
      </c>
    </row>
    <row r="2107" spans="1:18" ht="17" customHeight="1" x14ac:dyDescent="0.15">
      <c r="A2107" s="11" t="s">
        <v>11221</v>
      </c>
      <c r="B2107" s="1" t="s">
        <v>11222</v>
      </c>
      <c r="C2107" s="11" t="s">
        <v>11223</v>
      </c>
      <c r="D2107" s="11" t="s">
        <v>11223</v>
      </c>
      <c r="E2107" s="11" t="s">
        <v>11224</v>
      </c>
      <c r="F2107" s="11" t="s">
        <v>11103</v>
      </c>
      <c r="G2107" s="11" t="s">
        <v>11206</v>
      </c>
      <c r="H2107" s="11" t="s">
        <v>11175</v>
      </c>
      <c r="I2107" s="11" t="str">
        <f>HYPERLINK("http://oanonfashion.com/","oanonfashion.com")</f>
        <v>oanonfashion.com</v>
      </c>
      <c r="J2107" s="12">
        <v>1165.4590000000001</v>
      </c>
      <c r="K2107" s="12">
        <v>1165.4590000000001</v>
      </c>
      <c r="L2107" s="13">
        <v>2200.0309999999999</v>
      </c>
      <c r="M2107" s="12">
        <v>9.5760000000000005</v>
      </c>
      <c r="N2107" s="12">
        <v>9.5760000000000005</v>
      </c>
      <c r="O2107" s="12">
        <v>15.183999999999999</v>
      </c>
      <c r="P2107" s="14" t="s">
        <v>11082</v>
      </c>
      <c r="Q2107" s="14" t="s">
        <v>11082</v>
      </c>
      <c r="R2107" s="12">
        <v>5</v>
      </c>
    </row>
    <row r="2108" spans="1:18" ht="17" customHeight="1" x14ac:dyDescent="0.15">
      <c r="A2108" s="8" t="s">
        <v>11225</v>
      </c>
      <c r="B2108" s="9" t="s">
        <v>11226</v>
      </c>
      <c r="C2108" s="8" t="s">
        <v>11227</v>
      </c>
      <c r="D2108" s="8" t="s">
        <v>11227</v>
      </c>
      <c r="E2108" s="8" t="s">
        <v>11228</v>
      </c>
      <c r="F2108" s="8" t="s">
        <v>11128</v>
      </c>
      <c r="G2108" s="8" t="s">
        <v>11229</v>
      </c>
      <c r="H2108" s="8" t="s">
        <v>11148</v>
      </c>
      <c r="I2108" s="8" t="str">
        <f>HYPERLINK("http://www.maxworks.it/","www.maxworks.it")</f>
        <v>www.maxworks.it</v>
      </c>
      <c r="J2108" s="10">
        <v>2253.98</v>
      </c>
      <c r="K2108" s="10">
        <v>2253.98</v>
      </c>
      <c r="L2108" s="10">
        <v>2198.2080000000001</v>
      </c>
      <c r="M2108" s="10">
        <v>259.54199999999997</v>
      </c>
      <c r="N2108" s="10">
        <v>259.54199999999997</v>
      </c>
      <c r="O2108" s="10">
        <v>90.534000000000006</v>
      </c>
      <c r="P2108" s="10">
        <v>1</v>
      </c>
      <c r="Q2108" s="10">
        <v>1</v>
      </c>
      <c r="R2108" s="10">
        <v>1</v>
      </c>
    </row>
    <row r="2109" spans="1:18" ht="17" customHeight="1" x14ac:dyDescent="0.15">
      <c r="A2109" s="11" t="s">
        <v>11230</v>
      </c>
      <c r="B2109" s="1" t="s">
        <v>11231</v>
      </c>
      <c r="C2109" s="11" t="s">
        <v>11232</v>
      </c>
      <c r="D2109" s="11" t="s">
        <v>11232</v>
      </c>
      <c r="E2109" s="11" t="s">
        <v>11233</v>
      </c>
      <c r="F2109" s="11" t="s">
        <v>11079</v>
      </c>
      <c r="G2109" s="11" t="s">
        <v>11234</v>
      </c>
      <c r="H2109" s="11" t="s">
        <v>11148</v>
      </c>
      <c r="I2109" s="11" t="str">
        <f>HYPERLINK("http://www.xeniadiva.com/","http://www.xeniadiva.com")</f>
        <v>http://www.xeniadiva.com</v>
      </c>
      <c r="J2109" s="12">
        <v>2813.1950000000002</v>
      </c>
      <c r="K2109" s="12">
        <v>2549.8789999999999</v>
      </c>
      <c r="L2109" s="13">
        <v>2192.9690000000001</v>
      </c>
      <c r="M2109" s="12">
        <v>553.27200000000005</v>
      </c>
      <c r="N2109" s="12">
        <v>411.12700000000001</v>
      </c>
      <c r="O2109" s="12">
        <v>347.53300000000002</v>
      </c>
      <c r="P2109" s="12">
        <v>5</v>
      </c>
      <c r="Q2109" s="12">
        <v>5</v>
      </c>
      <c r="R2109" s="12">
        <v>4</v>
      </c>
    </row>
    <row r="2110" spans="1:18" ht="17" customHeight="1" x14ac:dyDescent="0.15">
      <c r="A2110" s="8" t="s">
        <v>11235</v>
      </c>
      <c r="B2110" s="9" t="s">
        <v>11236</v>
      </c>
      <c r="C2110" s="8" t="s">
        <v>11237</v>
      </c>
      <c r="D2110" s="8" t="s">
        <v>11237</v>
      </c>
      <c r="E2110" s="8" t="s">
        <v>11238</v>
      </c>
      <c r="F2110" s="8" t="s">
        <v>11239</v>
      </c>
      <c r="G2110" s="8" t="s">
        <v>11240</v>
      </c>
      <c r="H2110" s="8" t="s">
        <v>11241</v>
      </c>
      <c r="I2110" s="8" t="str">
        <f>HYPERLINK("http://www.gloriacars.com/","www.gloriacars.com")</f>
        <v>www.gloriacars.com</v>
      </c>
      <c r="J2110" s="10">
        <v>1947.5640000000001</v>
      </c>
      <c r="K2110" s="10">
        <v>1947.5640000000001</v>
      </c>
      <c r="L2110" s="10">
        <v>2191.212</v>
      </c>
      <c r="M2110" s="10">
        <v>436.05700000000002</v>
      </c>
      <c r="N2110" s="10">
        <v>436.05700000000002</v>
      </c>
      <c r="O2110" s="10">
        <v>589.86800000000005</v>
      </c>
      <c r="P2110" s="10">
        <v>10</v>
      </c>
      <c r="Q2110" s="10">
        <v>10</v>
      </c>
      <c r="R2110" s="10">
        <v>8</v>
      </c>
    </row>
    <row r="2111" spans="1:18" ht="29.5" customHeight="1" x14ac:dyDescent="0.15">
      <c r="A2111" s="11" t="s">
        <v>11242</v>
      </c>
      <c r="B2111" s="1" t="s">
        <v>11243</v>
      </c>
      <c r="C2111" s="11" t="s">
        <v>11244</v>
      </c>
      <c r="D2111" s="11" t="s">
        <v>11244</v>
      </c>
      <c r="E2111" s="11" t="s">
        <v>11245</v>
      </c>
      <c r="F2111" s="11" t="s">
        <v>11103</v>
      </c>
      <c r="G2111" s="11" t="s">
        <v>11088</v>
      </c>
      <c r="H2111" s="11" t="s">
        <v>11081</v>
      </c>
      <c r="I2111" s="11" t="str">
        <f>HYPERLINK("http://www.cluxter.it/","www.cluxter.it")</f>
        <v>www.cluxter.it</v>
      </c>
      <c r="J2111" s="12">
        <v>2564.9949999999999</v>
      </c>
      <c r="K2111" s="12">
        <v>2564.9949999999999</v>
      </c>
      <c r="L2111" s="13">
        <v>2189.355</v>
      </c>
      <c r="M2111" s="12">
        <v>127.051</v>
      </c>
      <c r="N2111" s="12">
        <v>127.051</v>
      </c>
      <c r="O2111" s="12">
        <v>158.48699999999999</v>
      </c>
      <c r="P2111" s="14" t="s">
        <v>11082</v>
      </c>
      <c r="Q2111" s="14" t="s">
        <v>11082</v>
      </c>
      <c r="R2111" s="12">
        <v>1</v>
      </c>
    </row>
    <row r="2112" spans="1:18" ht="17" customHeight="1" x14ac:dyDescent="0.15">
      <c r="A2112" s="8" t="s">
        <v>11246</v>
      </c>
      <c r="B2112" s="9" t="s">
        <v>11247</v>
      </c>
      <c r="C2112" s="8" t="s">
        <v>11248</v>
      </c>
      <c r="D2112" s="8" t="s">
        <v>11248</v>
      </c>
      <c r="E2112" s="8" t="s">
        <v>11249</v>
      </c>
      <c r="F2112" s="8" t="s">
        <v>11153</v>
      </c>
      <c r="G2112" s="8" t="s">
        <v>11229</v>
      </c>
      <c r="H2112" s="8" t="s">
        <v>11148</v>
      </c>
      <c r="I2112" s="8" t="str">
        <f>HYPERLINK("http://spallinificiobm.it/","spallinificiobm.it")</f>
        <v>spallinificiobm.it</v>
      </c>
      <c r="J2112" s="10">
        <v>2369.643</v>
      </c>
      <c r="K2112" s="10">
        <v>2369.643</v>
      </c>
      <c r="L2112" s="10">
        <v>2186.6019999999999</v>
      </c>
      <c r="M2112" s="10">
        <v>224.82900000000001</v>
      </c>
      <c r="N2112" s="10">
        <v>224.82900000000001</v>
      </c>
      <c r="O2112" s="10">
        <v>182.63800000000001</v>
      </c>
      <c r="P2112" s="15" t="s">
        <v>11082</v>
      </c>
      <c r="Q2112" s="15" t="s">
        <v>11082</v>
      </c>
      <c r="R2112" s="10">
        <v>32</v>
      </c>
    </row>
    <row r="2113" spans="1:18" ht="29.5" customHeight="1" x14ac:dyDescent="0.15">
      <c r="A2113" s="11" t="s">
        <v>11250</v>
      </c>
      <c r="B2113" s="1" t="s">
        <v>11251</v>
      </c>
      <c r="C2113" s="11" t="s">
        <v>11252</v>
      </c>
      <c r="D2113" s="11" t="s">
        <v>11252</v>
      </c>
      <c r="E2113" s="11" t="s">
        <v>11253</v>
      </c>
      <c r="F2113" s="11" t="s">
        <v>11254</v>
      </c>
      <c r="G2113" s="11" t="s">
        <v>11255</v>
      </c>
      <c r="H2113" s="11" t="s">
        <v>11256</v>
      </c>
      <c r="I2113" s="11" t="str">
        <f>HYPERLINK("http://www.pelletteriefabioguidi.com/","www.pelletteriefabioguidi.com")</f>
        <v>www.pelletteriefabioguidi.com</v>
      </c>
      <c r="J2113" s="12">
        <v>2709.1790000000001</v>
      </c>
      <c r="K2113" s="12">
        <v>2709.1790000000001</v>
      </c>
      <c r="L2113" s="13">
        <v>2183.7020000000002</v>
      </c>
      <c r="M2113" s="12">
        <v>33.008000000000003</v>
      </c>
      <c r="N2113" s="12">
        <v>33.008000000000003</v>
      </c>
      <c r="O2113" s="12">
        <v>35.374000000000002</v>
      </c>
      <c r="P2113" s="12">
        <v>19</v>
      </c>
      <c r="Q2113" s="12">
        <v>19</v>
      </c>
      <c r="R2113" s="12">
        <v>16</v>
      </c>
    </row>
    <row r="2114" spans="1:18" ht="17" customHeight="1" x14ac:dyDescent="0.15">
      <c r="A2114" s="8" t="s">
        <v>11257</v>
      </c>
      <c r="B2114" s="9" t="s">
        <v>11258</v>
      </c>
      <c r="C2114" s="8" t="s">
        <v>11259</v>
      </c>
      <c r="D2114" s="8" t="s">
        <v>11259</v>
      </c>
      <c r="E2114" s="8" t="s">
        <v>11260</v>
      </c>
      <c r="F2114" s="8" t="s">
        <v>11261</v>
      </c>
      <c r="G2114" s="8" t="s">
        <v>11262</v>
      </c>
      <c r="H2114" s="8" t="s">
        <v>11263</v>
      </c>
      <c r="I2114" s="8" t="str">
        <f>HYPERLINK("http://www.confezionielena.it/","www.confezionielena.it")</f>
        <v>www.confezionielena.it</v>
      </c>
      <c r="J2114" s="10">
        <v>1640.4739999999999</v>
      </c>
      <c r="K2114" s="10">
        <v>1640.4739999999999</v>
      </c>
      <c r="L2114" s="10">
        <v>2181.8760000000002</v>
      </c>
      <c r="M2114" s="10">
        <v>-86.003</v>
      </c>
      <c r="N2114" s="10">
        <v>-86.003</v>
      </c>
      <c r="O2114" s="10">
        <v>-57.197000000000003</v>
      </c>
      <c r="P2114" s="10">
        <v>8</v>
      </c>
      <c r="Q2114" s="10">
        <v>8</v>
      </c>
      <c r="R2114" s="10">
        <v>8</v>
      </c>
    </row>
    <row r="2115" spans="1:18" ht="17" customHeight="1" x14ac:dyDescent="0.15">
      <c r="A2115" s="11" t="s">
        <v>11264</v>
      </c>
      <c r="B2115" s="1" t="s">
        <v>11265</v>
      </c>
      <c r="C2115" s="11" t="s">
        <v>11266</v>
      </c>
      <c r="D2115" s="11" t="s">
        <v>11266</v>
      </c>
      <c r="E2115" s="11" t="s">
        <v>11267</v>
      </c>
      <c r="F2115" s="11" t="s">
        <v>11268</v>
      </c>
      <c r="G2115" s="11" t="s">
        <v>11269</v>
      </c>
      <c r="H2115" s="11" t="s">
        <v>11270</v>
      </c>
      <c r="I2115" s="11" t="str">
        <f>HYPERLINK("http://www.sandrog.it/","www.sandrog.it")</f>
        <v>www.sandrog.it</v>
      </c>
      <c r="J2115" s="12">
        <v>2065.4459999999999</v>
      </c>
      <c r="K2115" s="12">
        <v>2065.4459999999999</v>
      </c>
      <c r="L2115" s="13">
        <v>2179.2849999999999</v>
      </c>
      <c r="M2115" s="12">
        <v>34.770000000000003</v>
      </c>
      <c r="N2115" s="12">
        <v>34.770000000000003</v>
      </c>
      <c r="O2115" s="12">
        <v>67.69</v>
      </c>
      <c r="P2115" s="12">
        <v>14</v>
      </c>
      <c r="Q2115" s="12">
        <v>14</v>
      </c>
      <c r="R2115" s="12">
        <v>13</v>
      </c>
    </row>
    <row r="2116" spans="1:18" ht="68" customHeight="1" x14ac:dyDescent="0.15">
      <c r="A2116" s="8" t="s">
        <v>11271</v>
      </c>
      <c r="B2116" s="9" t="s">
        <v>11272</v>
      </c>
      <c r="C2116" s="8" t="s">
        <v>11273</v>
      </c>
      <c r="D2116" s="8" t="s">
        <v>11273</v>
      </c>
      <c r="E2116" s="8" t="s">
        <v>11274</v>
      </c>
      <c r="F2116" s="8" t="s">
        <v>11268</v>
      </c>
      <c r="G2116" s="8" t="s">
        <v>11275</v>
      </c>
      <c r="H2116" s="8" t="s">
        <v>11276</v>
      </c>
      <c r="I2116" s="8" t="str">
        <f>HYPERLINK("http://www.calzaturificiogravino.com/","http://www.calzaturificiogravino.com")</f>
        <v>http://www.calzaturificiogravino.com</v>
      </c>
      <c r="J2116" s="10">
        <v>2263.9830000000002</v>
      </c>
      <c r="K2116" s="10">
        <v>2263.9830000000002</v>
      </c>
      <c r="L2116" s="10">
        <v>2175.998</v>
      </c>
      <c r="M2116" s="10">
        <v>13.808999999999999</v>
      </c>
      <c r="N2116" s="10">
        <v>13.808999999999999</v>
      </c>
      <c r="O2116" s="10">
        <v>22.018999999999998</v>
      </c>
      <c r="P2116" s="10">
        <v>0</v>
      </c>
      <c r="Q2116" s="10">
        <v>0</v>
      </c>
      <c r="R2116" s="10">
        <v>2</v>
      </c>
    </row>
    <row r="2117" spans="1:18" ht="17" customHeight="1" x14ac:dyDescent="0.15">
      <c r="A2117" s="11" t="s">
        <v>11277</v>
      </c>
      <c r="B2117" s="1" t="s">
        <v>11278</v>
      </c>
      <c r="C2117" s="11" t="s">
        <v>11279</v>
      </c>
      <c r="D2117" s="11" t="s">
        <v>11279</v>
      </c>
      <c r="E2117" s="11" t="s">
        <v>11280</v>
      </c>
      <c r="F2117" s="11" t="s">
        <v>11281</v>
      </c>
      <c r="G2117" s="11" t="s">
        <v>11282</v>
      </c>
      <c r="H2117" s="11" t="s">
        <v>11276</v>
      </c>
      <c r="I2117" s="11" t="str">
        <f>HYPERLINK("http://www.affinitocamiceria.it/","www.affinitocamiceria.it")</f>
        <v>www.affinitocamiceria.it</v>
      </c>
      <c r="J2117" s="12">
        <v>2352.7429999999999</v>
      </c>
      <c r="K2117" s="12">
        <v>2352.7429999999999</v>
      </c>
      <c r="L2117" s="13">
        <v>2174.6860000000001</v>
      </c>
      <c r="M2117" s="12">
        <v>48.468000000000004</v>
      </c>
      <c r="N2117" s="12">
        <v>48.468000000000004</v>
      </c>
      <c r="O2117" s="12">
        <v>92.728999999999999</v>
      </c>
      <c r="P2117" s="12">
        <v>11</v>
      </c>
      <c r="Q2117" s="12">
        <v>11</v>
      </c>
      <c r="R2117" s="12">
        <v>12</v>
      </c>
    </row>
    <row r="2118" spans="1:18" ht="17" customHeight="1" x14ac:dyDescent="0.15">
      <c r="A2118" s="8" t="s">
        <v>11283</v>
      </c>
      <c r="B2118" s="9" t="s">
        <v>11284</v>
      </c>
      <c r="C2118" s="8" t="s">
        <v>11285</v>
      </c>
      <c r="D2118" s="8" t="s">
        <v>11285</v>
      </c>
      <c r="E2118" s="8" t="s">
        <v>11286</v>
      </c>
      <c r="F2118" s="8" t="s">
        <v>11268</v>
      </c>
      <c r="G2118" s="8" t="s">
        <v>11287</v>
      </c>
      <c r="H2118" s="8" t="s">
        <v>11288</v>
      </c>
      <c r="I2118" s="8" t="str">
        <f>HYPERLINK("http://www.mimanerashop.com/","www.mimanerashop.com")</f>
        <v>www.mimanerashop.com</v>
      </c>
      <c r="J2118" s="10">
        <v>2529.08</v>
      </c>
      <c r="K2118" s="10">
        <v>2529.08</v>
      </c>
      <c r="L2118" s="10">
        <v>2174.5929999999998</v>
      </c>
      <c r="M2118" s="10">
        <v>30.943000000000001</v>
      </c>
      <c r="N2118" s="10">
        <v>30.943000000000001</v>
      </c>
      <c r="O2118" s="10">
        <v>135.804</v>
      </c>
      <c r="P2118" s="10">
        <v>20</v>
      </c>
      <c r="Q2118" s="10">
        <v>20</v>
      </c>
      <c r="R2118" s="10">
        <v>25</v>
      </c>
    </row>
    <row r="2119" spans="1:18" ht="17" customHeight="1" x14ac:dyDescent="0.15">
      <c r="A2119" s="11" t="s">
        <v>11289</v>
      </c>
      <c r="B2119" s="1" t="s">
        <v>11290</v>
      </c>
      <c r="C2119" s="11" t="s">
        <v>11291</v>
      </c>
      <c r="D2119" s="11" t="s">
        <v>11291</v>
      </c>
      <c r="E2119" s="11" t="s">
        <v>11292</v>
      </c>
      <c r="F2119" s="11" t="s">
        <v>11293</v>
      </c>
      <c r="G2119" s="11" t="s">
        <v>11294</v>
      </c>
      <c r="H2119" s="11" t="s">
        <v>11295</v>
      </c>
      <c r="I2119" s="11" t="str">
        <f>HYPERLINK("http://www.c3srl.com/","www.c3srl.com")</f>
        <v>www.c3srl.com</v>
      </c>
      <c r="J2119" s="12">
        <v>2480.5129999999999</v>
      </c>
      <c r="K2119" s="12">
        <v>2480.5129999999999</v>
      </c>
      <c r="L2119" s="13">
        <v>2173.4380000000001</v>
      </c>
      <c r="M2119" s="12">
        <v>7.819</v>
      </c>
      <c r="N2119" s="12">
        <v>7.819</v>
      </c>
      <c r="O2119" s="12">
        <v>62.35</v>
      </c>
      <c r="P2119" s="12">
        <v>11</v>
      </c>
      <c r="Q2119" s="12">
        <v>11</v>
      </c>
      <c r="R2119" s="12">
        <v>10</v>
      </c>
    </row>
    <row r="2120" spans="1:18" ht="17" customHeight="1" x14ac:dyDescent="0.15">
      <c r="A2120" s="8" t="s">
        <v>11296</v>
      </c>
      <c r="B2120" s="9" t="s">
        <v>11297</v>
      </c>
      <c r="C2120" s="8" t="s">
        <v>11298</v>
      </c>
      <c r="D2120" s="8" t="s">
        <v>11298</v>
      </c>
      <c r="E2120" s="8" t="s">
        <v>11299</v>
      </c>
      <c r="F2120" s="8" t="s">
        <v>11300</v>
      </c>
      <c r="G2120" s="8" t="s">
        <v>11301</v>
      </c>
      <c r="H2120" s="8" t="s">
        <v>11276</v>
      </c>
      <c r="I2120" s="8" t="str">
        <f>HYPERLINK("http://www.axelconceria.it/","http://www.axelconceria.it")</f>
        <v>http://www.axelconceria.it</v>
      </c>
      <c r="J2120" s="10">
        <v>1522.6769999999999</v>
      </c>
      <c r="K2120" s="10">
        <v>1522.6769999999999</v>
      </c>
      <c r="L2120" s="10">
        <v>2171.5830000000001</v>
      </c>
      <c r="M2120" s="10">
        <v>44.654000000000003</v>
      </c>
      <c r="N2120" s="10">
        <v>44.654000000000003</v>
      </c>
      <c r="O2120" s="10">
        <v>5.3869999999999996</v>
      </c>
      <c r="P2120" s="10">
        <v>9</v>
      </c>
      <c r="Q2120" s="10">
        <v>9</v>
      </c>
      <c r="R2120" s="10">
        <v>9</v>
      </c>
    </row>
    <row r="2121" spans="1:18" ht="17" customHeight="1" x14ac:dyDescent="0.15">
      <c r="A2121" s="11" t="s">
        <v>11302</v>
      </c>
      <c r="B2121" s="1" t="s">
        <v>11303</v>
      </c>
      <c r="C2121" s="11" t="s">
        <v>11304</v>
      </c>
      <c r="D2121" s="11" t="s">
        <v>11304</v>
      </c>
      <c r="E2121" s="11" t="s">
        <v>11305</v>
      </c>
      <c r="F2121" s="11" t="s">
        <v>11306</v>
      </c>
      <c r="G2121" s="11" t="s">
        <v>11307</v>
      </c>
      <c r="H2121" s="11" t="s">
        <v>11288</v>
      </c>
      <c r="I2121" s="11" t="str">
        <f>HYPERLINK("http://nucciaccessori.com/","nucciaccessori.com")</f>
        <v>nucciaccessori.com</v>
      </c>
      <c r="J2121" s="12">
        <v>2225.0819999999999</v>
      </c>
      <c r="K2121" s="12">
        <v>2225.0819999999999</v>
      </c>
      <c r="L2121" s="13">
        <v>2170.3690000000001</v>
      </c>
      <c r="M2121" s="12">
        <v>531.59199999999998</v>
      </c>
      <c r="N2121" s="12">
        <v>531.59199999999998</v>
      </c>
      <c r="O2121" s="12">
        <v>382.952</v>
      </c>
      <c r="P2121" s="12">
        <v>22</v>
      </c>
      <c r="Q2121" s="12">
        <v>22</v>
      </c>
      <c r="R2121" s="12">
        <v>27</v>
      </c>
    </row>
    <row r="2122" spans="1:18" ht="29.5" customHeight="1" x14ac:dyDescent="0.15">
      <c r="A2122" s="8" t="s">
        <v>11308</v>
      </c>
      <c r="B2122" s="9" t="s">
        <v>11309</v>
      </c>
      <c r="C2122" s="8" t="s">
        <v>11310</v>
      </c>
      <c r="D2122" s="8" t="s">
        <v>11310</v>
      </c>
      <c r="E2122" s="8" t="s">
        <v>11311</v>
      </c>
      <c r="F2122" s="8" t="s">
        <v>11312</v>
      </c>
      <c r="G2122" s="8" t="s">
        <v>11282</v>
      </c>
      <c r="H2122" s="8" t="s">
        <v>11276</v>
      </c>
      <c r="I2122" s="8" t="str">
        <f>HYPERLINK("http://depetrillo.it/","depetrillo.it")</f>
        <v>depetrillo.it</v>
      </c>
      <c r="J2122" s="10">
        <v>2467.3470000000002</v>
      </c>
      <c r="K2122" s="10">
        <v>2467.3470000000002</v>
      </c>
      <c r="L2122" s="10">
        <v>2164.7840000000001</v>
      </c>
      <c r="M2122" s="10">
        <v>86.986999999999995</v>
      </c>
      <c r="N2122" s="10">
        <v>86.986999999999995</v>
      </c>
      <c r="O2122" s="10">
        <v>47.33</v>
      </c>
      <c r="P2122" s="10">
        <v>26</v>
      </c>
      <c r="Q2122" s="10">
        <v>26</v>
      </c>
      <c r="R2122" s="10">
        <v>26</v>
      </c>
    </row>
    <row r="2123" spans="1:18" ht="29.5" customHeight="1" x14ac:dyDescent="0.15">
      <c r="A2123" s="11" t="s">
        <v>11313</v>
      </c>
      <c r="B2123" s="1" t="s">
        <v>11314</v>
      </c>
      <c r="C2123" s="11" t="s">
        <v>11315</v>
      </c>
      <c r="D2123" s="11" t="s">
        <v>11315</v>
      </c>
      <c r="E2123" s="11" t="s">
        <v>11316</v>
      </c>
      <c r="F2123" s="11" t="s">
        <v>11261</v>
      </c>
      <c r="G2123" s="11" t="s">
        <v>11317</v>
      </c>
      <c r="H2123" s="11" t="s">
        <v>11318</v>
      </c>
      <c r="I2123" s="11" t="str">
        <f>HYPERLINK("http://www.sspavese.com/","www.sspavese.com")</f>
        <v>www.sspavese.com</v>
      </c>
      <c r="J2123" s="12">
        <v>2129.4609999999998</v>
      </c>
      <c r="K2123" s="12">
        <v>2129.4609999999998</v>
      </c>
      <c r="L2123" s="13">
        <v>2158.6959999999999</v>
      </c>
      <c r="M2123" s="12">
        <v>21.506</v>
      </c>
      <c r="N2123" s="12">
        <v>21.506</v>
      </c>
      <c r="O2123" s="12">
        <v>16.677</v>
      </c>
      <c r="P2123" s="12">
        <v>9</v>
      </c>
      <c r="Q2123" s="12">
        <v>9</v>
      </c>
      <c r="R2123" s="12">
        <v>9</v>
      </c>
    </row>
    <row r="2124" spans="1:18" ht="17" customHeight="1" x14ac:dyDescent="0.15">
      <c r="A2124" s="8" t="s">
        <v>11319</v>
      </c>
      <c r="B2124" s="9" t="s">
        <v>11320</v>
      </c>
      <c r="C2124" s="8" t="s">
        <v>11321</v>
      </c>
      <c r="D2124" s="8" t="s">
        <v>11321</v>
      </c>
      <c r="E2124" s="8" t="s">
        <v>11322</v>
      </c>
      <c r="F2124" s="8" t="s">
        <v>11254</v>
      </c>
      <c r="G2124" s="8" t="s">
        <v>11323</v>
      </c>
      <c r="H2124" s="8" t="s">
        <v>11324</v>
      </c>
      <c r="I2124" s="8" t="str">
        <f>HYPERLINK("http://www.lepanierbags.com/","www.lepanierbags.com")</f>
        <v>www.lepanierbags.com</v>
      </c>
      <c r="J2124" s="10">
        <v>2889.1210000000001</v>
      </c>
      <c r="K2124" s="10">
        <v>2889.1210000000001</v>
      </c>
      <c r="L2124" s="10">
        <v>2156.5929999999998</v>
      </c>
      <c r="M2124" s="10">
        <v>146.58500000000001</v>
      </c>
      <c r="N2124" s="10">
        <v>146.58500000000001</v>
      </c>
      <c r="O2124" s="10">
        <v>51.271000000000001</v>
      </c>
      <c r="P2124" s="10">
        <v>15</v>
      </c>
      <c r="Q2124" s="10">
        <v>15</v>
      </c>
      <c r="R2124" s="10">
        <v>15</v>
      </c>
    </row>
    <row r="2125" spans="1:18" ht="17" customHeight="1" x14ac:dyDescent="0.15">
      <c r="A2125" s="11" t="s">
        <v>11325</v>
      </c>
      <c r="B2125" s="1" t="s">
        <v>11326</v>
      </c>
      <c r="C2125" s="11" t="s">
        <v>11327</v>
      </c>
      <c r="D2125" s="11" t="s">
        <v>11328</v>
      </c>
      <c r="E2125" s="11" t="s">
        <v>11329</v>
      </c>
      <c r="F2125" s="11" t="s">
        <v>11330</v>
      </c>
      <c r="G2125" s="11" t="s">
        <v>11282</v>
      </c>
      <c r="H2125" s="11" t="s">
        <v>11276</v>
      </c>
      <c r="I2125" s="11" t="str">
        <f>HYPERLINK("http://www.pelletteriefoxgroup.com/","www.pelletteriefoxgroup.com")</f>
        <v>www.pelletteriefoxgroup.com</v>
      </c>
      <c r="J2125" s="12">
        <v>2872.3270000000002</v>
      </c>
      <c r="K2125" s="12">
        <v>2872.3270000000002</v>
      </c>
      <c r="L2125" s="13">
        <v>2155.1329999999998</v>
      </c>
      <c r="M2125" s="12">
        <v>843.24599999999998</v>
      </c>
      <c r="N2125" s="12">
        <v>843.24599999999998</v>
      </c>
      <c r="O2125" s="12">
        <v>529.995</v>
      </c>
      <c r="P2125" s="14" t="s">
        <v>11331</v>
      </c>
      <c r="Q2125" s="14" t="s">
        <v>11331</v>
      </c>
      <c r="R2125" s="12">
        <v>23</v>
      </c>
    </row>
    <row r="2126" spans="1:18" ht="17" customHeight="1" x14ac:dyDescent="0.15">
      <c r="A2126" s="8" t="s">
        <v>11332</v>
      </c>
      <c r="B2126" s="9" t="s">
        <v>11333</v>
      </c>
      <c r="C2126" s="8" t="s">
        <v>11334</v>
      </c>
      <c r="D2126" s="8" t="s">
        <v>11334</v>
      </c>
      <c r="E2126" s="8" t="s">
        <v>11335</v>
      </c>
      <c r="F2126" s="8" t="s">
        <v>11261</v>
      </c>
      <c r="G2126" s="8" t="s">
        <v>11336</v>
      </c>
      <c r="H2126" s="8" t="s">
        <v>11256</v>
      </c>
      <c r="I2126" s="8" t="str">
        <f>HYPERLINK("http://www.greenness.online/","www.greenness.online")</f>
        <v>www.greenness.online</v>
      </c>
      <c r="J2126" s="10">
        <v>2028.202</v>
      </c>
      <c r="K2126" s="10">
        <v>2028.202</v>
      </c>
      <c r="L2126" s="10">
        <v>2154.9209999999998</v>
      </c>
      <c r="M2126" s="10">
        <v>-10.427</v>
      </c>
      <c r="N2126" s="10">
        <v>-10.427</v>
      </c>
      <c r="O2126" s="10">
        <v>39.082999999999998</v>
      </c>
      <c r="P2126" s="10">
        <v>5</v>
      </c>
      <c r="Q2126" s="10">
        <v>5</v>
      </c>
      <c r="R2126" s="10">
        <v>5</v>
      </c>
    </row>
    <row r="2127" spans="1:18" ht="17" customHeight="1" x14ac:dyDescent="0.15">
      <c r="A2127" s="11" t="s">
        <v>11337</v>
      </c>
      <c r="B2127" s="1" t="s">
        <v>11338</v>
      </c>
      <c r="C2127" s="11" t="s">
        <v>11339</v>
      </c>
      <c r="D2127" s="11" t="s">
        <v>11339</v>
      </c>
      <c r="E2127" s="11" t="s">
        <v>11340</v>
      </c>
      <c r="F2127" s="11" t="s">
        <v>11341</v>
      </c>
      <c r="G2127" s="11" t="s">
        <v>11282</v>
      </c>
      <c r="H2127" s="11" t="s">
        <v>11276</v>
      </c>
      <c r="I2127" s="11" t="str">
        <f>HYPERLINK("http://www.nvl.it/","www.nvl.it")</f>
        <v>www.nvl.it</v>
      </c>
      <c r="J2127" s="12">
        <v>2368.8420000000001</v>
      </c>
      <c r="K2127" s="12">
        <v>2368.8420000000001</v>
      </c>
      <c r="L2127" s="13">
        <v>2154.422</v>
      </c>
      <c r="M2127" s="12">
        <v>0.79400000000000004</v>
      </c>
      <c r="N2127" s="12">
        <v>0.79400000000000004</v>
      </c>
      <c r="O2127" s="12">
        <v>0.82599999999999996</v>
      </c>
      <c r="P2127" s="12">
        <v>9</v>
      </c>
      <c r="Q2127" s="12">
        <v>9</v>
      </c>
      <c r="R2127" s="12">
        <v>9</v>
      </c>
    </row>
    <row r="2128" spans="1:18" ht="17" customHeight="1" x14ac:dyDescent="0.15">
      <c r="A2128" s="8" t="s">
        <v>11342</v>
      </c>
      <c r="B2128" s="9" t="s">
        <v>11343</v>
      </c>
      <c r="C2128" s="8" t="s">
        <v>11344</v>
      </c>
      <c r="D2128" s="8" t="s">
        <v>11344</v>
      </c>
      <c r="E2128" s="8" t="s">
        <v>11345</v>
      </c>
      <c r="F2128" s="8" t="s">
        <v>11293</v>
      </c>
      <c r="G2128" s="8" t="s">
        <v>11255</v>
      </c>
      <c r="H2128" s="8" t="s">
        <v>11256</v>
      </c>
      <c r="I2128" s="8" t="str">
        <f>HYPERLINK("http://www.giglioli.net/","www.giglioli.net")</f>
        <v>www.giglioli.net</v>
      </c>
      <c r="J2128" s="10">
        <v>1537.0740000000001</v>
      </c>
      <c r="K2128" s="10">
        <v>1537.0740000000001</v>
      </c>
      <c r="L2128" s="10">
        <v>2153.59</v>
      </c>
      <c r="M2128" s="10">
        <v>-80.155000000000001</v>
      </c>
      <c r="N2128" s="10">
        <v>-80.155000000000001</v>
      </c>
      <c r="O2128" s="10">
        <v>192.18700000000001</v>
      </c>
      <c r="P2128" s="10">
        <v>27</v>
      </c>
      <c r="Q2128" s="10">
        <v>27</v>
      </c>
      <c r="R2128" s="10">
        <v>24</v>
      </c>
    </row>
    <row r="2129" spans="1:18" ht="17" customHeight="1" x14ac:dyDescent="0.15">
      <c r="A2129" s="11" t="s">
        <v>11346</v>
      </c>
      <c r="B2129" s="1" t="s">
        <v>11347</v>
      </c>
      <c r="C2129" s="11" t="s">
        <v>11348</v>
      </c>
      <c r="D2129" s="11" t="s">
        <v>11348</v>
      </c>
      <c r="E2129" s="11" t="s">
        <v>11349</v>
      </c>
      <c r="F2129" s="11" t="s">
        <v>11293</v>
      </c>
      <c r="G2129" s="11" t="s">
        <v>11350</v>
      </c>
      <c r="H2129" s="11" t="s">
        <v>11318</v>
      </c>
      <c r="I2129" s="11" t="str">
        <f>HYPERLINK("http://www.emmeeffetessuti.it/","www.emmeeffetessuti.it")</f>
        <v>www.emmeeffetessuti.it</v>
      </c>
      <c r="J2129" s="12">
        <v>2068.9079999999999</v>
      </c>
      <c r="K2129" s="12">
        <v>1977.934</v>
      </c>
      <c r="L2129" s="13">
        <v>2144.277</v>
      </c>
      <c r="M2129" s="12">
        <v>5.4720000000000004</v>
      </c>
      <c r="N2129" s="12">
        <v>4.7460000000000004</v>
      </c>
      <c r="O2129" s="12">
        <v>3.0510000000000002</v>
      </c>
      <c r="P2129" s="12">
        <v>5</v>
      </c>
      <c r="Q2129" s="12">
        <v>6</v>
      </c>
      <c r="R2129" s="12">
        <v>6</v>
      </c>
    </row>
    <row r="2130" spans="1:18" ht="17" customHeight="1" x14ac:dyDescent="0.15">
      <c r="A2130" s="8" t="s">
        <v>11351</v>
      </c>
      <c r="B2130" s="9" t="s">
        <v>11352</v>
      </c>
      <c r="C2130" s="8" t="s">
        <v>11353</v>
      </c>
      <c r="D2130" s="8" t="s">
        <v>11354</v>
      </c>
      <c r="E2130" s="8" t="s">
        <v>11355</v>
      </c>
      <c r="F2130" s="8" t="s">
        <v>11312</v>
      </c>
      <c r="G2130" s="8" t="s">
        <v>11356</v>
      </c>
      <c r="H2130" s="8" t="s">
        <v>11288</v>
      </c>
      <c r="I2130" s="8" t="str">
        <f>HYPERLINK("http://www.kelisfashion.it/","www.kelisfashion.it")</f>
        <v>www.kelisfashion.it</v>
      </c>
      <c r="J2130" s="10">
        <v>2118.4830000000002</v>
      </c>
      <c r="K2130" s="10">
        <v>2118.4830000000002</v>
      </c>
      <c r="L2130" s="10">
        <v>2144.1999999999998</v>
      </c>
      <c r="M2130" s="10">
        <v>32.51</v>
      </c>
      <c r="N2130" s="10">
        <v>32.51</v>
      </c>
      <c r="O2130" s="10">
        <v>2.6539999999999999</v>
      </c>
      <c r="P2130" s="10">
        <v>5</v>
      </c>
      <c r="Q2130" s="10">
        <v>5</v>
      </c>
      <c r="R2130" s="10">
        <v>5</v>
      </c>
    </row>
    <row r="2131" spans="1:18" ht="17" customHeight="1" x14ac:dyDescent="0.15">
      <c r="A2131" s="11" t="s">
        <v>11357</v>
      </c>
      <c r="B2131" s="1" t="s">
        <v>11358</v>
      </c>
      <c r="C2131" s="11" t="s">
        <v>11359</v>
      </c>
      <c r="D2131" s="11" t="s">
        <v>11359</v>
      </c>
      <c r="E2131" s="11" t="s">
        <v>11360</v>
      </c>
      <c r="F2131" s="11" t="s">
        <v>11361</v>
      </c>
      <c r="G2131" s="11" t="s">
        <v>11356</v>
      </c>
      <c r="H2131" s="11" t="s">
        <v>11288</v>
      </c>
      <c r="I2131" s="11" t="str">
        <f>HYPERLINK("http://crem38.com/","crem38.com")</f>
        <v>crem38.com</v>
      </c>
      <c r="J2131" s="12">
        <v>1110.6300000000001</v>
      </c>
      <c r="K2131" s="12">
        <v>1110.6300000000001</v>
      </c>
      <c r="L2131" s="13">
        <v>2143.0250000000001</v>
      </c>
      <c r="M2131" s="12">
        <v>0.93200000000000005</v>
      </c>
      <c r="N2131" s="12">
        <v>0.93200000000000005</v>
      </c>
      <c r="O2131" s="12">
        <v>22.445</v>
      </c>
      <c r="P2131" s="12">
        <v>3</v>
      </c>
      <c r="Q2131" s="12">
        <v>3</v>
      </c>
      <c r="R2131" s="12">
        <v>4</v>
      </c>
    </row>
    <row r="2132" spans="1:18" ht="29.5" customHeight="1" x14ac:dyDescent="0.15">
      <c r="A2132" s="8" t="s">
        <v>11362</v>
      </c>
      <c r="B2132" s="9" t="s">
        <v>11363</v>
      </c>
      <c r="C2132" s="8" t="s">
        <v>11364</v>
      </c>
      <c r="D2132" s="8" t="s">
        <v>11364</v>
      </c>
      <c r="E2132" s="8" t="s">
        <v>11365</v>
      </c>
      <c r="F2132" s="8" t="s">
        <v>11261</v>
      </c>
      <c r="G2132" s="8" t="s">
        <v>11282</v>
      </c>
      <c r="H2132" s="8" t="s">
        <v>11276</v>
      </c>
      <c r="I2132" s="8" t="str">
        <f>HYPERLINK("http://www.miratexfashiongroup.it/","www.miratexfashiongroup.it")</f>
        <v>www.miratexfashiongroup.it</v>
      </c>
      <c r="J2132" s="10">
        <v>1878.3320000000001</v>
      </c>
      <c r="K2132" s="10">
        <v>1878.3320000000001</v>
      </c>
      <c r="L2132" s="10">
        <v>2142.6759999999999</v>
      </c>
      <c r="M2132" s="10">
        <v>19.826000000000001</v>
      </c>
      <c r="N2132" s="10">
        <v>19.826000000000001</v>
      </c>
      <c r="O2132" s="10">
        <v>82.430999999999997</v>
      </c>
      <c r="P2132" s="15" t="s">
        <v>11331</v>
      </c>
      <c r="Q2132" s="15" t="s">
        <v>11331</v>
      </c>
      <c r="R2132" s="10">
        <v>9</v>
      </c>
    </row>
    <row r="2133" spans="1:18" ht="17" customHeight="1" x14ac:dyDescent="0.15">
      <c r="A2133" s="11" t="s">
        <v>11366</v>
      </c>
      <c r="B2133" s="1" t="s">
        <v>11367</v>
      </c>
      <c r="C2133" s="11" t="s">
        <v>11368</v>
      </c>
      <c r="D2133" s="11" t="s">
        <v>11368</v>
      </c>
      <c r="E2133" s="11" t="s">
        <v>11369</v>
      </c>
      <c r="F2133" s="11" t="s">
        <v>11293</v>
      </c>
      <c r="G2133" s="11" t="s">
        <v>11370</v>
      </c>
      <c r="H2133" s="11" t="s">
        <v>11371</v>
      </c>
      <c r="I2133" s="11" t="str">
        <f>HYPERLINK("http://www.neob-lab.com/","www.neob-lab.com")</f>
        <v>www.neob-lab.com</v>
      </c>
      <c r="J2133" s="12">
        <v>2315.384</v>
      </c>
      <c r="K2133" s="12">
        <v>2315.384</v>
      </c>
      <c r="L2133" s="13">
        <v>2140.0970000000002</v>
      </c>
      <c r="M2133" s="12">
        <v>133.56100000000001</v>
      </c>
      <c r="N2133" s="12">
        <v>133.56100000000001</v>
      </c>
      <c r="O2133" s="12">
        <v>84.584999999999994</v>
      </c>
      <c r="P2133" s="12">
        <v>33</v>
      </c>
      <c r="Q2133" s="12">
        <v>33</v>
      </c>
      <c r="R2133" s="12">
        <v>33</v>
      </c>
    </row>
    <row r="2134" spans="1:18" ht="17" customHeight="1" x14ac:dyDescent="0.15">
      <c r="A2134" s="8" t="s">
        <v>11372</v>
      </c>
      <c r="B2134" s="9" t="s">
        <v>11373</v>
      </c>
      <c r="C2134" s="8" t="s">
        <v>11374</v>
      </c>
      <c r="D2134" s="8" t="s">
        <v>11374</v>
      </c>
      <c r="E2134" s="8" t="s">
        <v>11375</v>
      </c>
      <c r="F2134" s="8" t="s">
        <v>11300</v>
      </c>
      <c r="G2134" s="8" t="s">
        <v>11376</v>
      </c>
      <c r="H2134" s="8" t="s">
        <v>11256</v>
      </c>
      <c r="I2134" s="8" t="str">
        <f>HYPERLINK("http://www.concerianewport.it/","www.concerianewport.it")</f>
        <v>www.concerianewport.it</v>
      </c>
      <c r="J2134" s="10">
        <v>1893.539</v>
      </c>
      <c r="K2134" s="10">
        <v>1893.539</v>
      </c>
      <c r="L2134" s="10">
        <v>2140.1089999999999</v>
      </c>
      <c r="M2134" s="10">
        <v>-34.432000000000002</v>
      </c>
      <c r="N2134" s="10">
        <v>-34.432000000000002</v>
      </c>
      <c r="O2134" s="10">
        <v>4.9059999999999997</v>
      </c>
      <c r="P2134" s="10">
        <v>6</v>
      </c>
      <c r="Q2134" s="10">
        <v>6</v>
      </c>
      <c r="R2134" s="10">
        <v>5</v>
      </c>
    </row>
    <row r="2135" spans="1:18" ht="17" customHeight="1" x14ac:dyDescent="0.15">
      <c r="A2135" s="11" t="s">
        <v>11377</v>
      </c>
      <c r="B2135" s="1" t="s">
        <v>11378</v>
      </c>
      <c r="C2135" s="11" t="s">
        <v>11379</v>
      </c>
      <c r="D2135" s="11" t="s">
        <v>11379</v>
      </c>
      <c r="E2135" s="11" t="s">
        <v>11380</v>
      </c>
      <c r="F2135" s="11" t="s">
        <v>11261</v>
      </c>
      <c r="G2135" s="11" t="s">
        <v>11336</v>
      </c>
      <c r="H2135" s="11" t="s">
        <v>11256</v>
      </c>
      <c r="I2135" s="11" t="str">
        <f>HYPERLINK("http://www.keyshaprontomoda.com/","www.keyshaprontomoda.com")</f>
        <v>www.keyshaprontomoda.com</v>
      </c>
      <c r="J2135" s="12">
        <v>1150.2159999999999</v>
      </c>
      <c r="K2135" s="12">
        <v>1150.2159999999999</v>
      </c>
      <c r="L2135" s="13">
        <v>2137.4760000000001</v>
      </c>
      <c r="M2135" s="12">
        <v>-110.268</v>
      </c>
      <c r="N2135" s="12">
        <v>-110.268</v>
      </c>
      <c r="O2135" s="12">
        <v>43.012999999999998</v>
      </c>
      <c r="P2135" s="12">
        <v>12</v>
      </c>
      <c r="Q2135" s="12">
        <v>12</v>
      </c>
      <c r="R2135" s="12">
        <v>16</v>
      </c>
    </row>
    <row r="2136" spans="1:18" ht="17" customHeight="1" x14ac:dyDescent="0.15">
      <c r="A2136" s="8" t="s">
        <v>11381</v>
      </c>
      <c r="B2136" s="9" t="s">
        <v>11382</v>
      </c>
      <c r="C2136" s="8" t="s">
        <v>11383</v>
      </c>
      <c r="D2136" s="8" t="s">
        <v>11383</v>
      </c>
      <c r="E2136" s="8" t="s">
        <v>11384</v>
      </c>
      <c r="F2136" s="8" t="s">
        <v>11300</v>
      </c>
      <c r="G2136" s="8" t="s">
        <v>11385</v>
      </c>
      <c r="H2136" s="8" t="s">
        <v>11276</v>
      </c>
      <c r="I2136" s="8" t="str">
        <f>HYPERLINK("http://www.begreentannery.com/","www.begreentannery.com")</f>
        <v>www.begreentannery.com</v>
      </c>
      <c r="J2136" s="10">
        <v>2136.1320000000001</v>
      </c>
      <c r="K2136" s="15" t="s">
        <v>11331</v>
      </c>
      <c r="L2136" s="10">
        <v>2136.1320000000001</v>
      </c>
      <c r="M2136" s="10">
        <v>124.67</v>
      </c>
      <c r="N2136" s="15" t="s">
        <v>11331</v>
      </c>
      <c r="O2136" s="10">
        <v>124.67</v>
      </c>
      <c r="P2136" s="10">
        <v>17</v>
      </c>
      <c r="Q2136" s="15" t="s">
        <v>11331</v>
      </c>
      <c r="R2136" s="10">
        <v>17</v>
      </c>
    </row>
    <row r="2137" spans="1:18" ht="17" customHeight="1" x14ac:dyDescent="0.15">
      <c r="A2137" s="11" t="s">
        <v>11386</v>
      </c>
      <c r="B2137" s="1" t="s">
        <v>11387</v>
      </c>
      <c r="C2137" s="11" t="s">
        <v>11388</v>
      </c>
      <c r="D2137" s="11" t="s">
        <v>11388</v>
      </c>
      <c r="E2137" s="11" t="s">
        <v>11389</v>
      </c>
      <c r="F2137" s="11" t="s">
        <v>11281</v>
      </c>
      <c r="G2137" s="11" t="s">
        <v>11390</v>
      </c>
      <c r="H2137" s="11" t="s">
        <v>11288</v>
      </c>
      <c r="I2137" s="11" t="str">
        <f>HYPERLINK("http://www.frayitaly.com/","www.frayitaly.com")</f>
        <v>www.frayitaly.com</v>
      </c>
      <c r="J2137" s="12">
        <v>2359.8330000000001</v>
      </c>
      <c r="K2137" s="12">
        <v>2359.8330000000001</v>
      </c>
      <c r="L2137" s="13">
        <v>2133.777</v>
      </c>
      <c r="M2137" s="12">
        <v>62.976999999999997</v>
      </c>
      <c r="N2137" s="12">
        <v>62.976999999999997</v>
      </c>
      <c r="O2137" s="12">
        <v>61.537999999999997</v>
      </c>
      <c r="P2137" s="12">
        <v>20</v>
      </c>
      <c r="Q2137" s="12">
        <v>20</v>
      </c>
      <c r="R2137" s="12">
        <v>16</v>
      </c>
    </row>
    <row r="2138" spans="1:18" ht="43" customHeight="1" x14ac:dyDescent="0.15">
      <c r="A2138" s="8" t="s">
        <v>11391</v>
      </c>
      <c r="B2138" s="9" t="s">
        <v>11392</v>
      </c>
      <c r="C2138" s="8" t="s">
        <v>11393</v>
      </c>
      <c r="D2138" s="8" t="s">
        <v>11393</v>
      </c>
      <c r="E2138" s="8" t="s">
        <v>11394</v>
      </c>
      <c r="F2138" s="8" t="s">
        <v>11261</v>
      </c>
      <c r="G2138" s="8" t="s">
        <v>11395</v>
      </c>
      <c r="H2138" s="8" t="s">
        <v>11396</v>
      </c>
      <c r="I2138" s="8" t="str">
        <f>HYPERLINK("http://www.blueitaly.org/","www.blueitaly.org")</f>
        <v>www.blueitaly.org</v>
      </c>
      <c r="J2138" s="10">
        <v>1811.35</v>
      </c>
      <c r="K2138" s="10">
        <v>1811.35</v>
      </c>
      <c r="L2138" s="10">
        <v>2132.902</v>
      </c>
      <c r="M2138" s="10">
        <v>6.1379999999999999</v>
      </c>
      <c r="N2138" s="10">
        <v>6.1379999999999999</v>
      </c>
      <c r="O2138" s="10">
        <v>31.146999999999998</v>
      </c>
      <c r="P2138" s="15" t="s">
        <v>11331</v>
      </c>
      <c r="Q2138" s="15" t="s">
        <v>11331</v>
      </c>
      <c r="R2138" s="10">
        <v>25</v>
      </c>
    </row>
    <row r="2139" spans="1:18" ht="17" customHeight="1" x14ac:dyDescent="0.15">
      <c r="A2139" s="11" t="s">
        <v>11397</v>
      </c>
      <c r="B2139" s="1" t="s">
        <v>11398</v>
      </c>
      <c r="C2139" s="11" t="s">
        <v>11399</v>
      </c>
      <c r="D2139" s="11" t="s">
        <v>11399</v>
      </c>
      <c r="E2139" s="11" t="s">
        <v>11400</v>
      </c>
      <c r="F2139" s="11" t="s">
        <v>11261</v>
      </c>
      <c r="G2139" s="11" t="s">
        <v>11401</v>
      </c>
      <c r="H2139" s="11" t="s">
        <v>11318</v>
      </c>
      <c r="I2139" s="11" t="str">
        <f>HYPERLINK("http://eveitalianlabel.com/","eveitalianlabel.com")</f>
        <v>eveitalianlabel.com</v>
      </c>
      <c r="J2139" s="12">
        <v>1907.309</v>
      </c>
      <c r="K2139" s="12">
        <v>1907.309</v>
      </c>
      <c r="L2139" s="13">
        <v>2132.0189999999998</v>
      </c>
      <c r="M2139" s="12">
        <v>5.32</v>
      </c>
      <c r="N2139" s="12">
        <v>5.32</v>
      </c>
      <c r="O2139" s="12">
        <v>59.29</v>
      </c>
      <c r="P2139" s="12">
        <v>8</v>
      </c>
      <c r="Q2139" s="12">
        <v>8</v>
      </c>
      <c r="R2139" s="12">
        <v>9</v>
      </c>
    </row>
    <row r="2140" spans="1:18" ht="17" customHeight="1" x14ac:dyDescent="0.15">
      <c r="A2140" s="8" t="s">
        <v>11402</v>
      </c>
      <c r="B2140" s="9" t="s">
        <v>11403</v>
      </c>
      <c r="C2140" s="8" t="s">
        <v>11404</v>
      </c>
      <c r="D2140" s="8" t="s">
        <v>11404</v>
      </c>
      <c r="E2140" s="8" t="s">
        <v>11405</v>
      </c>
      <c r="F2140" s="8" t="s">
        <v>11268</v>
      </c>
      <c r="G2140" s="8" t="s">
        <v>11406</v>
      </c>
      <c r="H2140" s="8" t="s">
        <v>11263</v>
      </c>
      <c r="I2140" s="8" t="str">
        <f>HYPERLINK("http://www.montesport.it/","www.montesport.it")</f>
        <v>www.montesport.it</v>
      </c>
      <c r="J2140" s="10">
        <v>2148.1570000000002</v>
      </c>
      <c r="K2140" s="10">
        <v>2148.1570000000002</v>
      </c>
      <c r="L2140" s="10">
        <v>2131.7069999999999</v>
      </c>
      <c r="M2140" s="10">
        <v>-13.208</v>
      </c>
      <c r="N2140" s="10">
        <v>-13.208</v>
      </c>
      <c r="O2140" s="10">
        <v>27.89</v>
      </c>
      <c r="P2140" s="10">
        <v>22</v>
      </c>
      <c r="Q2140" s="10">
        <v>22</v>
      </c>
      <c r="R2140" s="10">
        <v>24</v>
      </c>
    </row>
    <row r="2141" spans="1:18" ht="17" customHeight="1" x14ac:dyDescent="0.15">
      <c r="A2141" s="11" t="s">
        <v>11407</v>
      </c>
      <c r="B2141" s="1" t="s">
        <v>11408</v>
      </c>
      <c r="C2141" s="11" t="s">
        <v>11409</v>
      </c>
      <c r="D2141" s="11" t="s">
        <v>11409</v>
      </c>
      <c r="E2141" s="11" t="s">
        <v>11410</v>
      </c>
      <c r="F2141" s="11" t="s">
        <v>11293</v>
      </c>
      <c r="G2141" s="11" t="s">
        <v>11336</v>
      </c>
      <c r="H2141" s="11" t="s">
        <v>11256</v>
      </c>
      <c r="I2141" s="11" t="str">
        <f>HYPERLINK("http://www.rosaementa.it/","www.rosaementa.it")</f>
        <v>www.rosaementa.it</v>
      </c>
      <c r="J2141" s="12">
        <v>1979.838</v>
      </c>
      <c r="K2141" s="12">
        <v>1979.838</v>
      </c>
      <c r="L2141" s="13">
        <v>2128.1190000000001</v>
      </c>
      <c r="M2141" s="12">
        <v>5.718</v>
      </c>
      <c r="N2141" s="12">
        <v>5.718</v>
      </c>
      <c r="O2141" s="12">
        <v>4.2359999999999998</v>
      </c>
      <c r="P2141" s="12">
        <v>7</v>
      </c>
      <c r="Q2141" s="12">
        <v>7</v>
      </c>
      <c r="R2141" s="12">
        <v>8</v>
      </c>
    </row>
    <row r="2142" spans="1:18" ht="17" customHeight="1" x14ac:dyDescent="0.15">
      <c r="A2142" s="8" t="s">
        <v>11411</v>
      </c>
      <c r="B2142" s="9" t="s">
        <v>11412</v>
      </c>
      <c r="C2142" s="8" t="s">
        <v>11413</v>
      </c>
      <c r="D2142" s="8" t="s">
        <v>11413</v>
      </c>
      <c r="E2142" s="8" t="s">
        <v>11414</v>
      </c>
      <c r="F2142" s="8" t="s">
        <v>11300</v>
      </c>
      <c r="G2142" s="8" t="s">
        <v>11415</v>
      </c>
      <c r="H2142" s="8" t="s">
        <v>11263</v>
      </c>
      <c r="I2142" s="8" t="str">
        <f>HYPERLINK("http://www.fipel.it/","www.fipel.it")</f>
        <v>www.fipel.it</v>
      </c>
      <c r="J2142" s="10">
        <v>1657.7619999999999</v>
      </c>
      <c r="K2142" s="10">
        <v>1657.7619999999999</v>
      </c>
      <c r="L2142" s="10">
        <v>2127.444</v>
      </c>
      <c r="M2142" s="10">
        <v>52.393999999999998</v>
      </c>
      <c r="N2142" s="10">
        <v>52.393999999999998</v>
      </c>
      <c r="O2142" s="10">
        <v>155.11199999999999</v>
      </c>
      <c r="P2142" s="10">
        <v>23</v>
      </c>
      <c r="Q2142" s="10">
        <v>23</v>
      </c>
      <c r="R2142" s="10">
        <v>27</v>
      </c>
    </row>
    <row r="2143" spans="1:18" ht="29.5" customHeight="1" x14ac:dyDescent="0.15">
      <c r="A2143" s="11" t="s">
        <v>11416</v>
      </c>
      <c r="B2143" s="1" t="s">
        <v>11417</v>
      </c>
      <c r="C2143" s="11" t="s">
        <v>11418</v>
      </c>
      <c r="D2143" s="11" t="s">
        <v>11418</v>
      </c>
      <c r="E2143" s="11" t="s">
        <v>11419</v>
      </c>
      <c r="F2143" s="11" t="s">
        <v>11254</v>
      </c>
      <c r="G2143" s="11" t="s">
        <v>11420</v>
      </c>
      <c r="H2143" s="11" t="s">
        <v>11396</v>
      </c>
      <c r="I2143" s="11" t="str">
        <f>HYPERLINK("http://asiapelletterie.it/","asiapelletterie.it")</f>
        <v>asiapelletterie.it</v>
      </c>
      <c r="J2143" s="12">
        <v>2241.877</v>
      </c>
      <c r="K2143" s="12">
        <v>2241.877</v>
      </c>
      <c r="L2143" s="13">
        <v>2126.0830000000001</v>
      </c>
      <c r="M2143" s="12">
        <v>35.729999999999997</v>
      </c>
      <c r="N2143" s="12">
        <v>35.729999999999997</v>
      </c>
      <c r="O2143" s="12">
        <v>5.7370000000000001</v>
      </c>
      <c r="P2143" s="12">
        <v>11</v>
      </c>
      <c r="Q2143" s="12">
        <v>11</v>
      </c>
      <c r="R2143" s="12">
        <v>11</v>
      </c>
    </row>
    <row r="2144" spans="1:18" ht="17" customHeight="1" x14ac:dyDescent="0.15">
      <c r="A2144" s="8" t="s">
        <v>11421</v>
      </c>
      <c r="B2144" s="9" t="s">
        <v>11422</v>
      </c>
      <c r="C2144" s="8" t="s">
        <v>11423</v>
      </c>
      <c r="D2144" s="8" t="s">
        <v>11423</v>
      </c>
      <c r="E2144" s="8" t="s">
        <v>11424</v>
      </c>
      <c r="F2144" s="8" t="s">
        <v>11306</v>
      </c>
      <c r="G2144" s="8" t="s">
        <v>11269</v>
      </c>
      <c r="H2144" s="8" t="s">
        <v>11270</v>
      </c>
      <c r="I2144" s="8" t="str">
        <f>HYPERLINK("http://solettificiofaleria.it/","solettificiofaleria.it")</f>
        <v>solettificiofaleria.it</v>
      </c>
      <c r="J2144" s="10">
        <v>1958.6980000000001</v>
      </c>
      <c r="K2144" s="10">
        <v>1958.6980000000001</v>
      </c>
      <c r="L2144" s="10">
        <v>2125.8359999999998</v>
      </c>
      <c r="M2144" s="10">
        <v>-97.385999999999996</v>
      </c>
      <c r="N2144" s="10">
        <v>-97.385999999999996</v>
      </c>
      <c r="O2144" s="10">
        <v>50.503</v>
      </c>
      <c r="P2144" s="10">
        <v>20</v>
      </c>
      <c r="Q2144" s="10">
        <v>20</v>
      </c>
      <c r="R2144" s="10">
        <v>17</v>
      </c>
    </row>
    <row r="2145" spans="1:18" ht="17" customHeight="1" x14ac:dyDescent="0.15">
      <c r="A2145" s="11" t="s">
        <v>11425</v>
      </c>
      <c r="B2145" s="1" t="s">
        <v>11426</v>
      </c>
      <c r="C2145" s="11" t="s">
        <v>11427</v>
      </c>
      <c r="D2145" s="11" t="s">
        <v>11427</v>
      </c>
      <c r="E2145" s="11" t="s">
        <v>11428</v>
      </c>
      <c r="F2145" s="11" t="s">
        <v>11429</v>
      </c>
      <c r="G2145" s="11" t="s">
        <v>11430</v>
      </c>
      <c r="H2145" s="11" t="s">
        <v>11431</v>
      </c>
      <c r="I2145" s="11" t="str">
        <f>HYPERLINK("http://argopel.it/","argopel.it")</f>
        <v>argopel.it</v>
      </c>
      <c r="J2145" s="12">
        <v>2181.9389999999999</v>
      </c>
      <c r="K2145" s="12">
        <v>2181.9389999999999</v>
      </c>
      <c r="L2145" s="13">
        <v>2125.4029999999998</v>
      </c>
      <c r="M2145" s="12">
        <v>277.46499999999997</v>
      </c>
      <c r="N2145" s="12">
        <v>277.46499999999997</v>
      </c>
      <c r="O2145" s="12">
        <v>226.33600000000001</v>
      </c>
      <c r="P2145" s="14" t="s">
        <v>11432</v>
      </c>
      <c r="Q2145" s="14" t="s">
        <v>11432</v>
      </c>
      <c r="R2145" s="12">
        <v>14</v>
      </c>
    </row>
    <row r="2146" spans="1:18" ht="17" customHeight="1" x14ac:dyDescent="0.15">
      <c r="A2146" s="8" t="s">
        <v>11433</v>
      </c>
      <c r="B2146" s="9" t="s">
        <v>11434</v>
      </c>
      <c r="C2146" s="8" t="s">
        <v>11435</v>
      </c>
      <c r="D2146" s="8" t="s">
        <v>11435</v>
      </c>
      <c r="E2146" s="8" t="s">
        <v>11436</v>
      </c>
      <c r="F2146" s="8" t="s">
        <v>11437</v>
      </c>
      <c r="G2146" s="8" t="s">
        <v>11438</v>
      </c>
      <c r="H2146" s="8" t="s">
        <v>11439</v>
      </c>
      <c r="I2146" s="8" t="str">
        <f>HYPERLINK("http://showroom.masnada.it/","showroom.masnada.it")</f>
        <v>showroom.masnada.it</v>
      </c>
      <c r="J2146" s="10">
        <v>2061.7049999999999</v>
      </c>
      <c r="K2146" s="10">
        <v>2061.7049999999999</v>
      </c>
      <c r="L2146" s="10">
        <v>2124.8539999999998</v>
      </c>
      <c r="M2146" s="10">
        <v>35.125999999999998</v>
      </c>
      <c r="N2146" s="10">
        <v>35.125999999999998</v>
      </c>
      <c r="O2146" s="10">
        <v>156.37799999999999</v>
      </c>
      <c r="P2146" s="10">
        <v>7</v>
      </c>
      <c r="Q2146" s="10">
        <v>7</v>
      </c>
      <c r="R2146" s="10">
        <v>6</v>
      </c>
    </row>
    <row r="2147" spans="1:18" ht="17" customHeight="1" x14ac:dyDescent="0.15">
      <c r="A2147" s="11" t="s">
        <v>11440</v>
      </c>
      <c r="B2147" s="1" t="s">
        <v>11441</v>
      </c>
      <c r="C2147" s="11" t="s">
        <v>11442</v>
      </c>
      <c r="D2147" s="11" t="s">
        <v>11442</v>
      </c>
      <c r="E2147" s="11" t="s">
        <v>11443</v>
      </c>
      <c r="F2147" s="11" t="s">
        <v>11444</v>
      </c>
      <c r="G2147" s="11" t="s">
        <v>11445</v>
      </c>
      <c r="H2147" s="11" t="s">
        <v>11446</v>
      </c>
      <c r="I2147" s="11" t="str">
        <f>HYPERLINK("http://www.biemmesport.com/","www.biemmesport.com")</f>
        <v>www.biemmesport.com</v>
      </c>
      <c r="J2147" s="12">
        <v>1801.557</v>
      </c>
      <c r="K2147" s="12">
        <v>1801.557</v>
      </c>
      <c r="L2147" s="13">
        <v>2124.41</v>
      </c>
      <c r="M2147" s="12">
        <v>28.274000000000001</v>
      </c>
      <c r="N2147" s="12">
        <v>28.274000000000001</v>
      </c>
      <c r="O2147" s="12">
        <v>94.55</v>
      </c>
      <c r="P2147" s="12">
        <v>15</v>
      </c>
      <c r="Q2147" s="12">
        <v>15</v>
      </c>
      <c r="R2147" s="12">
        <v>14</v>
      </c>
    </row>
    <row r="2148" spans="1:18" ht="17" customHeight="1" x14ac:dyDescent="0.15">
      <c r="A2148" s="8" t="s">
        <v>11447</v>
      </c>
      <c r="B2148" s="9" t="s">
        <v>11448</v>
      </c>
      <c r="C2148" s="8" t="s">
        <v>11449</v>
      </c>
      <c r="D2148" s="8" t="s">
        <v>11449</v>
      </c>
      <c r="E2148" s="8" t="s">
        <v>11450</v>
      </c>
      <c r="F2148" s="8" t="s">
        <v>11451</v>
      </c>
      <c r="G2148" s="8" t="s">
        <v>11452</v>
      </c>
      <c r="H2148" s="8" t="s">
        <v>11453</v>
      </c>
      <c r="I2148" s="8" t="str">
        <f>HYPERLINK("http://www.fashionmanagement.it/","www.fashionmanagement.it")</f>
        <v>www.fashionmanagement.it</v>
      </c>
      <c r="J2148" s="10">
        <v>2232.752</v>
      </c>
      <c r="K2148" s="10">
        <v>2232.752</v>
      </c>
      <c r="L2148" s="10">
        <v>2123.0680000000002</v>
      </c>
      <c r="M2148" s="10">
        <v>4.6029999999999998</v>
      </c>
      <c r="N2148" s="10">
        <v>4.6029999999999998</v>
      </c>
      <c r="O2148" s="10">
        <v>13.661</v>
      </c>
      <c r="P2148" s="15" t="s">
        <v>11432</v>
      </c>
      <c r="Q2148" s="15" t="s">
        <v>11432</v>
      </c>
      <c r="R2148" s="10">
        <v>24</v>
      </c>
    </row>
    <row r="2149" spans="1:18" ht="29.5" customHeight="1" x14ac:dyDescent="0.15">
      <c r="A2149" s="11" t="s">
        <v>11454</v>
      </c>
      <c r="B2149" s="1" t="s">
        <v>11455</v>
      </c>
      <c r="C2149" s="11" t="s">
        <v>11456</v>
      </c>
      <c r="D2149" s="11" t="s">
        <v>11457</v>
      </c>
      <c r="E2149" s="11" t="s">
        <v>11458</v>
      </c>
      <c r="F2149" s="11" t="s">
        <v>11459</v>
      </c>
      <c r="G2149" s="11" t="s">
        <v>11460</v>
      </c>
      <c r="H2149" s="11" t="s">
        <v>11461</v>
      </c>
      <c r="I2149" s="11" t="str">
        <f>HYPERLINK("http://costumidarte.com/","costumidarte.com")</f>
        <v>costumidarte.com</v>
      </c>
      <c r="J2149" s="12">
        <v>2475.799</v>
      </c>
      <c r="K2149" s="12">
        <v>2475.799</v>
      </c>
      <c r="L2149" s="13">
        <v>2117.1860000000001</v>
      </c>
      <c r="M2149" s="12">
        <v>649.08299999999997</v>
      </c>
      <c r="N2149" s="12">
        <v>649.08299999999997</v>
      </c>
      <c r="O2149" s="12">
        <v>656.66499999999996</v>
      </c>
      <c r="P2149" s="14" t="s">
        <v>11432</v>
      </c>
      <c r="Q2149" s="14" t="s">
        <v>11432</v>
      </c>
      <c r="R2149" s="12">
        <v>24</v>
      </c>
    </row>
    <row r="2150" spans="1:18" ht="17" customHeight="1" x14ac:dyDescent="0.15">
      <c r="A2150" s="8" t="s">
        <v>11462</v>
      </c>
      <c r="B2150" s="9" t="s">
        <v>11463</v>
      </c>
      <c r="C2150" s="8" t="s">
        <v>11464</v>
      </c>
      <c r="D2150" s="8" t="s">
        <v>11464</v>
      </c>
      <c r="E2150" s="8" t="s">
        <v>11465</v>
      </c>
      <c r="F2150" s="8" t="s">
        <v>11466</v>
      </c>
      <c r="G2150" s="8" t="s">
        <v>11460</v>
      </c>
      <c r="H2150" s="8" t="s">
        <v>11461</v>
      </c>
      <c r="I2150" s="8" t="str">
        <f>HYPERLINK("http://www.niaroma.com/","www.niaroma.com")</f>
        <v>www.niaroma.com</v>
      </c>
      <c r="J2150" s="10">
        <v>2454.7280000000001</v>
      </c>
      <c r="K2150" s="10">
        <v>2454.7280000000001</v>
      </c>
      <c r="L2150" s="10">
        <v>2115.9810000000002</v>
      </c>
      <c r="M2150" s="10">
        <v>194.285</v>
      </c>
      <c r="N2150" s="10">
        <v>194.285</v>
      </c>
      <c r="O2150" s="10">
        <v>139.76300000000001</v>
      </c>
      <c r="P2150" s="15" t="s">
        <v>11432</v>
      </c>
      <c r="Q2150" s="15" t="s">
        <v>11432</v>
      </c>
      <c r="R2150" s="10">
        <v>7</v>
      </c>
    </row>
    <row r="2151" spans="1:18" ht="17" customHeight="1" x14ac:dyDescent="0.15">
      <c r="A2151" s="11" t="s">
        <v>11467</v>
      </c>
      <c r="B2151" s="1" t="s">
        <v>11468</v>
      </c>
      <c r="C2151" s="11" t="s">
        <v>11469</v>
      </c>
      <c r="D2151" s="11" t="s">
        <v>11469</v>
      </c>
      <c r="E2151" s="11" t="s">
        <v>11470</v>
      </c>
      <c r="F2151" s="11" t="s">
        <v>11471</v>
      </c>
      <c r="G2151" s="11" t="s">
        <v>11438</v>
      </c>
      <c r="H2151" s="11" t="s">
        <v>11439</v>
      </c>
      <c r="I2151" s="11" t="str">
        <f>HYPERLINK("http://brunorossibags.it/","brunorossibags.it")</f>
        <v>brunorossibags.it</v>
      </c>
      <c r="J2151" s="12">
        <v>2228.7150000000001</v>
      </c>
      <c r="K2151" s="12">
        <v>2228.7150000000001</v>
      </c>
      <c r="L2151" s="13">
        <v>2111.8690000000001</v>
      </c>
      <c r="M2151" s="12">
        <v>87.15</v>
      </c>
      <c r="N2151" s="12">
        <v>87.15</v>
      </c>
      <c r="O2151" s="12">
        <v>75.152000000000001</v>
      </c>
      <c r="P2151" s="12">
        <v>5</v>
      </c>
      <c r="Q2151" s="12">
        <v>5</v>
      </c>
      <c r="R2151" s="12">
        <v>7</v>
      </c>
    </row>
    <row r="2152" spans="1:18" ht="17" customHeight="1" x14ac:dyDescent="0.15">
      <c r="A2152" s="8" t="s">
        <v>11472</v>
      </c>
      <c r="B2152" s="9" t="s">
        <v>11473</v>
      </c>
      <c r="C2152" s="8" t="s">
        <v>11474</v>
      </c>
      <c r="D2152" s="8" t="s">
        <v>11474</v>
      </c>
      <c r="E2152" s="8" t="s">
        <v>11475</v>
      </c>
      <c r="F2152" s="8" t="s">
        <v>11451</v>
      </c>
      <c r="G2152" s="8" t="s">
        <v>11445</v>
      </c>
      <c r="H2152" s="8" t="s">
        <v>11446</v>
      </c>
      <c r="I2152" s="8" t="str">
        <f>HYPERLINK("http://www.spallinificiofmg.it/","www.spallinificiofmg.it")</f>
        <v>www.spallinificiofmg.it</v>
      </c>
      <c r="J2152" s="10">
        <v>1842.0039999999999</v>
      </c>
      <c r="K2152" s="10">
        <v>1842.0039999999999</v>
      </c>
      <c r="L2152" s="10">
        <v>2110.1729999999998</v>
      </c>
      <c r="M2152" s="10">
        <v>47.683999999999997</v>
      </c>
      <c r="N2152" s="10">
        <v>47.683999999999997</v>
      </c>
      <c r="O2152" s="10">
        <v>107.99</v>
      </c>
      <c r="P2152" s="10">
        <v>13</v>
      </c>
      <c r="Q2152" s="10">
        <v>13</v>
      </c>
      <c r="R2152" s="10">
        <v>14</v>
      </c>
    </row>
    <row r="2153" spans="1:18" ht="17" customHeight="1" x14ac:dyDescent="0.15">
      <c r="A2153" s="11" t="s">
        <v>11476</v>
      </c>
      <c r="B2153" s="1" t="s">
        <v>11477</v>
      </c>
      <c r="C2153" s="11" t="s">
        <v>11478</v>
      </c>
      <c r="D2153" s="11" t="s">
        <v>11478</v>
      </c>
      <c r="E2153" s="11" t="s">
        <v>11479</v>
      </c>
      <c r="F2153" s="11" t="s">
        <v>11444</v>
      </c>
      <c r="G2153" s="11" t="s">
        <v>11480</v>
      </c>
      <c r="H2153" s="11" t="s">
        <v>11431</v>
      </c>
      <c r="I2153" s="11" t="str">
        <f>HYPERLINK("http://www.gimoto.com/","www.gimoto.com")</f>
        <v>www.gimoto.com</v>
      </c>
      <c r="J2153" s="12">
        <v>1895.376</v>
      </c>
      <c r="K2153" s="12">
        <v>1895.376</v>
      </c>
      <c r="L2153" s="13">
        <v>2108.7849999999999</v>
      </c>
      <c r="M2153" s="12">
        <v>18.196999999999999</v>
      </c>
      <c r="N2153" s="12">
        <v>18.196999999999999</v>
      </c>
      <c r="O2153" s="12">
        <v>14.363</v>
      </c>
      <c r="P2153" s="12">
        <v>14</v>
      </c>
      <c r="Q2153" s="12">
        <v>14</v>
      </c>
      <c r="R2153" s="12">
        <v>14</v>
      </c>
    </row>
    <row r="2154" spans="1:18" ht="17" customHeight="1" x14ac:dyDescent="0.15">
      <c r="A2154" s="8" t="s">
        <v>11481</v>
      </c>
      <c r="B2154" s="9" t="s">
        <v>11482</v>
      </c>
      <c r="C2154" s="8" t="s">
        <v>11483</v>
      </c>
      <c r="D2154" s="8" t="s">
        <v>11483</v>
      </c>
      <c r="E2154" s="8" t="s">
        <v>11484</v>
      </c>
      <c r="F2154" s="8" t="s">
        <v>11437</v>
      </c>
      <c r="G2154" s="8" t="s">
        <v>11485</v>
      </c>
      <c r="H2154" s="8" t="s">
        <v>11486</v>
      </c>
      <c r="I2154" s="8" t="str">
        <f>HYPERLINK("http://www.studio-designer.it/","www.studio-designer.it")</f>
        <v>www.studio-designer.it</v>
      </c>
      <c r="J2154" s="10">
        <v>3847.9470000000001</v>
      </c>
      <c r="K2154" s="10">
        <v>3847.9470000000001</v>
      </c>
      <c r="L2154" s="10">
        <v>2108.6709999999998</v>
      </c>
      <c r="M2154" s="10">
        <v>80.891999999999996</v>
      </c>
      <c r="N2154" s="10">
        <v>80.891999999999996</v>
      </c>
      <c r="O2154" s="10">
        <v>21.088000000000001</v>
      </c>
      <c r="P2154" s="15" t="s">
        <v>11432</v>
      </c>
      <c r="Q2154" s="15" t="s">
        <v>11432</v>
      </c>
      <c r="R2154" s="10">
        <v>12</v>
      </c>
    </row>
    <row r="2155" spans="1:18" ht="17" customHeight="1" x14ac:dyDescent="0.15">
      <c r="A2155" s="11" t="s">
        <v>11487</v>
      </c>
      <c r="B2155" s="1" t="s">
        <v>11488</v>
      </c>
      <c r="C2155" s="11" t="s">
        <v>11489</v>
      </c>
      <c r="D2155" s="11" t="s">
        <v>11489</v>
      </c>
      <c r="E2155" s="11" t="s">
        <v>11490</v>
      </c>
      <c r="F2155" s="11" t="s">
        <v>11491</v>
      </c>
      <c r="G2155" s="11" t="s">
        <v>11480</v>
      </c>
      <c r="H2155" s="11" t="s">
        <v>11431</v>
      </c>
      <c r="I2155" s="11" t="str">
        <f>HYPERLINK("http://www.tre-emme.it/","www.tre-emme.it")</f>
        <v>www.tre-emme.it</v>
      </c>
      <c r="J2155" s="12">
        <v>2303.6489999999999</v>
      </c>
      <c r="K2155" s="12">
        <v>2303.6489999999999</v>
      </c>
      <c r="L2155" s="13">
        <v>2106.893</v>
      </c>
      <c r="M2155" s="12">
        <v>86.19</v>
      </c>
      <c r="N2155" s="12">
        <v>86.19</v>
      </c>
      <c r="O2155" s="12">
        <v>31.158000000000001</v>
      </c>
      <c r="P2155" s="12">
        <v>26</v>
      </c>
      <c r="Q2155" s="12">
        <v>26</v>
      </c>
      <c r="R2155" s="12">
        <v>38</v>
      </c>
    </row>
    <row r="2156" spans="1:18" ht="17" customHeight="1" x14ac:dyDescent="0.15">
      <c r="A2156" s="8" t="s">
        <v>11492</v>
      </c>
      <c r="B2156" s="9" t="s">
        <v>11493</v>
      </c>
      <c r="C2156" s="8" t="s">
        <v>11494</v>
      </c>
      <c r="D2156" s="8" t="s">
        <v>11494</v>
      </c>
      <c r="E2156" s="8" t="s">
        <v>11495</v>
      </c>
      <c r="F2156" s="8" t="s">
        <v>11459</v>
      </c>
      <c r="G2156" s="8" t="s">
        <v>11480</v>
      </c>
      <c r="H2156" s="8" t="s">
        <v>11431</v>
      </c>
      <c r="I2156" s="8" t="str">
        <f>HYPERLINK("http://www.dellalomilano.com/","www.dellalomilano.com")</f>
        <v>www.dellalomilano.com</v>
      </c>
      <c r="J2156" s="10">
        <v>1861.89</v>
      </c>
      <c r="K2156" s="10">
        <v>1861.89</v>
      </c>
      <c r="L2156" s="10">
        <v>2105.8049999999998</v>
      </c>
      <c r="M2156" s="10">
        <v>225.41800000000001</v>
      </c>
      <c r="N2156" s="10">
        <v>225.41800000000001</v>
      </c>
      <c r="O2156" s="10">
        <v>212.72399999999999</v>
      </c>
      <c r="P2156" s="15" t="s">
        <v>11432</v>
      </c>
      <c r="Q2156" s="15" t="s">
        <v>11432</v>
      </c>
      <c r="R2156" s="10">
        <v>22</v>
      </c>
    </row>
    <row r="2157" spans="1:18" ht="29.5" customHeight="1" x14ac:dyDescent="0.15">
      <c r="A2157" s="11" t="s">
        <v>11496</v>
      </c>
      <c r="B2157" s="1" t="s">
        <v>11497</v>
      </c>
      <c r="C2157" s="11" t="s">
        <v>11498</v>
      </c>
      <c r="D2157" s="11" t="s">
        <v>11498</v>
      </c>
      <c r="E2157" s="11" t="s">
        <v>11499</v>
      </c>
      <c r="F2157" s="11" t="s">
        <v>11500</v>
      </c>
      <c r="G2157" s="11" t="s">
        <v>11445</v>
      </c>
      <c r="H2157" s="11" t="s">
        <v>11446</v>
      </c>
      <c r="I2157" s="11" t="str">
        <f>HYPERLINK("http://www.stuccaturadorina.it/","www.stuccaturadorina.it")</f>
        <v>www.stuccaturadorina.it</v>
      </c>
      <c r="J2157" s="12">
        <v>2433.9430000000002</v>
      </c>
      <c r="K2157" s="12">
        <v>2433.9430000000002</v>
      </c>
      <c r="L2157" s="13">
        <v>2103.7809999999999</v>
      </c>
      <c r="M2157" s="12">
        <v>115.806</v>
      </c>
      <c r="N2157" s="12">
        <v>115.806</v>
      </c>
      <c r="O2157" s="12">
        <v>122.697</v>
      </c>
      <c r="P2157" s="12">
        <v>17</v>
      </c>
      <c r="Q2157" s="12">
        <v>17</v>
      </c>
      <c r="R2157" s="12">
        <v>21</v>
      </c>
    </row>
    <row r="2158" spans="1:18" ht="17" customHeight="1" x14ac:dyDescent="0.15">
      <c r="A2158" s="8" t="s">
        <v>11501</v>
      </c>
      <c r="B2158" s="9" t="s">
        <v>11502</v>
      </c>
      <c r="C2158" s="8" t="s">
        <v>11503</v>
      </c>
      <c r="D2158" s="8" t="s">
        <v>11503</v>
      </c>
      <c r="E2158" s="8" t="s">
        <v>11504</v>
      </c>
      <c r="F2158" s="8" t="s">
        <v>11491</v>
      </c>
      <c r="G2158" s="8" t="s">
        <v>11505</v>
      </c>
      <c r="H2158" s="8" t="s">
        <v>11506</v>
      </c>
      <c r="I2158" s="8" t="str">
        <f>HYPERLINK("http://www.spernanzoni.com/","www.spernanzoni.com")</f>
        <v>www.spernanzoni.com</v>
      </c>
      <c r="J2158" s="10">
        <v>2077.9160000000002</v>
      </c>
      <c r="K2158" s="10">
        <v>2077.9160000000002</v>
      </c>
      <c r="L2158" s="10">
        <v>2101.2559999999999</v>
      </c>
      <c r="M2158" s="10">
        <v>5.7290000000000001</v>
      </c>
      <c r="N2158" s="10">
        <v>5.7290000000000001</v>
      </c>
      <c r="O2158" s="10">
        <v>34.944000000000003</v>
      </c>
      <c r="P2158" s="10">
        <v>20</v>
      </c>
      <c r="Q2158" s="10">
        <v>20</v>
      </c>
      <c r="R2158" s="10">
        <v>20</v>
      </c>
    </row>
    <row r="2159" spans="1:18" ht="17" customHeight="1" x14ac:dyDescent="0.15">
      <c r="A2159" s="11" t="s">
        <v>11507</v>
      </c>
      <c r="B2159" s="1" t="s">
        <v>11508</v>
      </c>
      <c r="C2159" s="11" t="s">
        <v>11509</v>
      </c>
      <c r="D2159" s="11" t="s">
        <v>11509</v>
      </c>
      <c r="E2159" s="11" t="s">
        <v>11510</v>
      </c>
      <c r="F2159" s="11" t="s">
        <v>11437</v>
      </c>
      <c r="G2159" s="11" t="s">
        <v>11460</v>
      </c>
      <c r="H2159" s="11" t="s">
        <v>11461</v>
      </c>
      <c r="I2159" s="11" t="str">
        <f>HYPERLINK("http://www.biancoghiaccio.it/","http://www.biancoghiaccio.it/")</f>
        <v>http://www.biancoghiaccio.it/</v>
      </c>
      <c r="J2159" s="12">
        <v>1467.499</v>
      </c>
      <c r="K2159" s="12">
        <v>1467.499</v>
      </c>
      <c r="L2159" s="13">
        <v>2099.6840000000002</v>
      </c>
      <c r="M2159" s="12">
        <v>-549.32100000000003</v>
      </c>
      <c r="N2159" s="12">
        <v>-549.32100000000003</v>
      </c>
      <c r="O2159" s="12">
        <v>12.137</v>
      </c>
      <c r="P2159" s="14" t="s">
        <v>11432</v>
      </c>
      <c r="Q2159" s="14" t="s">
        <v>11432</v>
      </c>
      <c r="R2159" s="12">
        <v>10</v>
      </c>
    </row>
    <row r="2160" spans="1:18" ht="17" customHeight="1" x14ac:dyDescent="0.15">
      <c r="A2160" s="8" t="s">
        <v>11511</v>
      </c>
      <c r="B2160" s="9" t="s">
        <v>11512</v>
      </c>
      <c r="C2160" s="8" t="s">
        <v>11513</v>
      </c>
      <c r="D2160" s="8" t="s">
        <v>11513</v>
      </c>
      <c r="E2160" s="8" t="s">
        <v>11514</v>
      </c>
      <c r="F2160" s="8" t="s">
        <v>11451</v>
      </c>
      <c r="G2160" s="8" t="s">
        <v>11515</v>
      </c>
      <c r="H2160" s="8" t="s">
        <v>11516</v>
      </c>
      <c r="I2160" s="8" t="str">
        <f>HYPERLINK("http://www.andreamaglie.it/","http://www.andreamaglie.it")</f>
        <v>http://www.andreamaglie.it</v>
      </c>
      <c r="J2160" s="10">
        <v>2098.2660000000001</v>
      </c>
      <c r="K2160" s="15" t="s">
        <v>11432</v>
      </c>
      <c r="L2160" s="10">
        <v>2098.2660000000001</v>
      </c>
      <c r="M2160" s="10">
        <v>200.27799999999999</v>
      </c>
      <c r="N2160" s="15" t="s">
        <v>11432</v>
      </c>
      <c r="O2160" s="10">
        <v>200.27799999999999</v>
      </c>
      <c r="P2160" s="10">
        <v>10</v>
      </c>
      <c r="Q2160" s="15" t="s">
        <v>11432</v>
      </c>
      <c r="R2160" s="10">
        <v>10</v>
      </c>
    </row>
    <row r="2161" spans="1:18" ht="17" customHeight="1" x14ac:dyDescent="0.15">
      <c r="A2161" s="11" t="s">
        <v>11517</v>
      </c>
      <c r="B2161" s="1" t="s">
        <v>11518</v>
      </c>
      <c r="C2161" s="11" t="s">
        <v>11519</v>
      </c>
      <c r="D2161" s="11" t="s">
        <v>11519</v>
      </c>
      <c r="E2161" s="11" t="s">
        <v>11520</v>
      </c>
      <c r="F2161" s="11" t="s">
        <v>11451</v>
      </c>
      <c r="G2161" s="11" t="s">
        <v>11515</v>
      </c>
      <c r="H2161" s="11" t="s">
        <v>11516</v>
      </c>
      <c r="I2161" s="11" t="str">
        <f>HYPERLINK("http://www.sergisrl.com/","www.sergisrl.com")</f>
        <v>www.sergisrl.com</v>
      </c>
      <c r="J2161" s="12">
        <v>3836.114</v>
      </c>
      <c r="K2161" s="12">
        <v>3836.114</v>
      </c>
      <c r="L2161" s="13">
        <v>2095.8310000000001</v>
      </c>
      <c r="M2161" s="12">
        <v>540.52599999999995</v>
      </c>
      <c r="N2161" s="12">
        <v>540.52599999999995</v>
      </c>
      <c r="O2161" s="12">
        <v>191.738</v>
      </c>
      <c r="P2161" s="12">
        <v>64</v>
      </c>
      <c r="Q2161" s="12">
        <v>64</v>
      </c>
      <c r="R2161" s="12">
        <v>51</v>
      </c>
    </row>
    <row r="2162" spans="1:18" ht="17" customHeight="1" x14ac:dyDescent="0.15">
      <c r="A2162" s="8" t="s">
        <v>11521</v>
      </c>
      <c r="B2162" s="9" t="s">
        <v>11522</v>
      </c>
      <c r="C2162" s="8" t="s">
        <v>11523</v>
      </c>
      <c r="D2162" s="8" t="s">
        <v>11523</v>
      </c>
      <c r="E2162" s="8" t="s">
        <v>11524</v>
      </c>
      <c r="F2162" s="8" t="s">
        <v>11437</v>
      </c>
      <c r="G2162" s="8" t="s">
        <v>11525</v>
      </c>
      <c r="H2162" s="8" t="s">
        <v>11446</v>
      </c>
      <c r="I2162" s="8" t="str">
        <f>HYPERLINK("http://www.attesa.it/","www.attesa.it")</f>
        <v>www.attesa.it</v>
      </c>
      <c r="J2162" s="10">
        <v>1734.0329999999999</v>
      </c>
      <c r="K2162" s="10">
        <v>1734.0329999999999</v>
      </c>
      <c r="L2162" s="10">
        <v>2095.7620000000002</v>
      </c>
      <c r="M2162" s="10">
        <v>64.492999999999995</v>
      </c>
      <c r="N2162" s="10">
        <v>64.492999999999995</v>
      </c>
      <c r="O2162" s="10">
        <v>9.1300000000000008</v>
      </c>
      <c r="P2162" s="10">
        <v>7</v>
      </c>
      <c r="Q2162" s="10">
        <v>7</v>
      </c>
      <c r="R2162" s="10">
        <v>9</v>
      </c>
    </row>
    <row r="2163" spans="1:18" ht="17" customHeight="1" x14ac:dyDescent="0.15">
      <c r="A2163" s="11" t="s">
        <v>11526</v>
      </c>
      <c r="B2163" s="1" t="s">
        <v>11527</v>
      </c>
      <c r="C2163" s="11" t="s">
        <v>11528</v>
      </c>
      <c r="D2163" s="11" t="s">
        <v>11528</v>
      </c>
      <c r="E2163" s="11" t="s">
        <v>11529</v>
      </c>
      <c r="F2163" s="11" t="s">
        <v>11530</v>
      </c>
      <c r="G2163" s="11" t="s">
        <v>11531</v>
      </c>
      <c r="H2163" s="11" t="s">
        <v>11532</v>
      </c>
      <c r="I2163" s="11" t="str">
        <f>HYPERLINK("http://pricohs.com/","pricohs.com")</f>
        <v>pricohs.com</v>
      </c>
      <c r="J2163" s="12">
        <v>2324.7049999999999</v>
      </c>
      <c r="K2163" s="12">
        <v>2324.7049999999999</v>
      </c>
      <c r="L2163" s="13">
        <v>2095.4699999999998</v>
      </c>
      <c r="M2163" s="12">
        <v>54.359000000000002</v>
      </c>
      <c r="N2163" s="12">
        <v>54.359000000000002</v>
      </c>
      <c r="O2163" s="12">
        <v>45.255000000000003</v>
      </c>
      <c r="P2163" s="14" t="s">
        <v>11432</v>
      </c>
      <c r="Q2163" s="14" t="s">
        <v>11432</v>
      </c>
      <c r="R2163" s="12">
        <v>17</v>
      </c>
    </row>
    <row r="2164" spans="1:18" ht="17" customHeight="1" x14ac:dyDescent="0.15">
      <c r="A2164" s="8" t="s">
        <v>11533</v>
      </c>
      <c r="B2164" s="9" t="s">
        <v>11534</v>
      </c>
      <c r="C2164" s="8" t="s">
        <v>11535</v>
      </c>
      <c r="D2164" s="8" t="s">
        <v>11535</v>
      </c>
      <c r="E2164" s="8" t="s">
        <v>11536</v>
      </c>
      <c r="F2164" s="8" t="s">
        <v>11444</v>
      </c>
      <c r="G2164" s="8" t="s">
        <v>11452</v>
      </c>
      <c r="H2164" s="8" t="s">
        <v>11453</v>
      </c>
      <c r="I2164" s="8" t="str">
        <f>HYPERLINK("http://justaboutaminute.com/","justaboutaminute.com")</f>
        <v>justaboutaminute.com</v>
      </c>
      <c r="J2164" s="10">
        <v>2344.279</v>
      </c>
      <c r="K2164" s="10">
        <v>2344.279</v>
      </c>
      <c r="L2164" s="10">
        <v>2092.442</v>
      </c>
      <c r="M2164" s="10">
        <v>102.994</v>
      </c>
      <c r="N2164" s="10">
        <v>102.994</v>
      </c>
      <c r="O2164" s="10">
        <v>67.072000000000003</v>
      </c>
      <c r="P2164" s="10">
        <v>4</v>
      </c>
      <c r="Q2164" s="10">
        <v>4</v>
      </c>
      <c r="R2164" s="10">
        <v>3</v>
      </c>
    </row>
    <row r="2165" spans="1:18" ht="17" customHeight="1" x14ac:dyDescent="0.15">
      <c r="A2165" s="11" t="s">
        <v>11537</v>
      </c>
      <c r="B2165" s="1" t="s">
        <v>11538</v>
      </c>
      <c r="C2165" s="11" t="s">
        <v>11539</v>
      </c>
      <c r="D2165" s="11" t="s">
        <v>11539</v>
      </c>
      <c r="E2165" s="11" t="s">
        <v>11540</v>
      </c>
      <c r="F2165" s="11" t="s">
        <v>11437</v>
      </c>
      <c r="G2165" s="11" t="s">
        <v>11445</v>
      </c>
      <c r="H2165" s="11" t="s">
        <v>11446</v>
      </c>
      <c r="I2165" s="11" t="str">
        <f>HYPERLINK("http://www.vicariocinque.it/","www.vicariocinque.it")</f>
        <v>www.vicariocinque.it</v>
      </c>
      <c r="J2165" s="12">
        <v>2358.819</v>
      </c>
      <c r="K2165" s="12">
        <v>2358.819</v>
      </c>
      <c r="L2165" s="13">
        <v>2090.183</v>
      </c>
      <c r="M2165" s="12">
        <v>353.47500000000002</v>
      </c>
      <c r="N2165" s="12">
        <v>353.47500000000002</v>
      </c>
      <c r="O2165" s="12">
        <v>46.197000000000003</v>
      </c>
      <c r="P2165" s="12">
        <v>4</v>
      </c>
      <c r="Q2165" s="12">
        <v>4</v>
      </c>
      <c r="R2165" s="12">
        <v>3</v>
      </c>
    </row>
    <row r="2166" spans="1:18" ht="17" customHeight="1" x14ac:dyDescent="0.15">
      <c r="A2166" s="8" t="s">
        <v>11541</v>
      </c>
      <c r="B2166" s="9" t="s">
        <v>11542</v>
      </c>
      <c r="C2166" s="8" t="s">
        <v>11543</v>
      </c>
      <c r="D2166" s="8" t="s">
        <v>11543</v>
      </c>
      <c r="E2166" s="8" t="s">
        <v>11544</v>
      </c>
      <c r="F2166" s="8" t="s">
        <v>11500</v>
      </c>
      <c r="G2166" s="8" t="s">
        <v>11445</v>
      </c>
      <c r="H2166" s="8" t="s">
        <v>11446</v>
      </c>
      <c r="I2166" s="8" t="str">
        <f>HYPERLINK("http://www.green-point.it/","www.green-point.it")</f>
        <v>www.green-point.it</v>
      </c>
      <c r="J2166" s="10">
        <v>1765.1010000000001</v>
      </c>
      <c r="K2166" s="10">
        <v>1765.1010000000001</v>
      </c>
      <c r="L2166" s="10">
        <v>2088.7530000000002</v>
      </c>
      <c r="M2166" s="10">
        <v>-171.369</v>
      </c>
      <c r="N2166" s="10">
        <v>-171.369</v>
      </c>
      <c r="O2166" s="10">
        <v>-55.017000000000003</v>
      </c>
      <c r="P2166" s="10">
        <v>13</v>
      </c>
      <c r="Q2166" s="10">
        <v>13</v>
      </c>
      <c r="R2166" s="10">
        <v>14</v>
      </c>
    </row>
    <row r="2167" spans="1:18" ht="17" customHeight="1" x14ac:dyDescent="0.15">
      <c r="A2167" s="11" t="s">
        <v>11545</v>
      </c>
      <c r="B2167" s="1" t="s">
        <v>11546</v>
      </c>
      <c r="C2167" s="11" t="s">
        <v>11547</v>
      </c>
      <c r="D2167" s="11" t="s">
        <v>11547</v>
      </c>
      <c r="E2167" s="11" t="s">
        <v>11548</v>
      </c>
      <c r="F2167" s="11" t="s">
        <v>11459</v>
      </c>
      <c r="G2167" s="11" t="s">
        <v>11549</v>
      </c>
      <c r="H2167" s="11" t="s">
        <v>11453</v>
      </c>
      <c r="I2167" s="11" t="str">
        <f>HYPERLINK("http://www.galaxisrl.it/","www.galaxisrl.it")</f>
        <v>www.galaxisrl.it</v>
      </c>
      <c r="J2167" s="12">
        <v>2421.3090000000002</v>
      </c>
      <c r="K2167" s="12">
        <v>2421.3090000000002</v>
      </c>
      <c r="L2167" s="13">
        <v>2088.299</v>
      </c>
      <c r="M2167" s="12">
        <v>3.9910000000000001</v>
      </c>
      <c r="N2167" s="12">
        <v>3.9910000000000001</v>
      </c>
      <c r="O2167" s="12">
        <v>9.4450000000000003</v>
      </c>
      <c r="P2167" s="14" t="s">
        <v>11432</v>
      </c>
      <c r="Q2167" s="14" t="s">
        <v>11432</v>
      </c>
      <c r="R2167" s="12">
        <v>9</v>
      </c>
    </row>
    <row r="2168" spans="1:18" ht="17" customHeight="1" x14ac:dyDescent="0.15">
      <c r="A2168" s="8" t="s">
        <v>11550</v>
      </c>
      <c r="B2168" s="9" t="s">
        <v>11551</v>
      </c>
      <c r="C2168" s="8" t="s">
        <v>11552</v>
      </c>
      <c r="D2168" s="8" t="s">
        <v>11552</v>
      </c>
      <c r="E2168" s="8" t="s">
        <v>11553</v>
      </c>
      <c r="F2168" s="8" t="s">
        <v>11451</v>
      </c>
      <c r="G2168" s="8" t="s">
        <v>11554</v>
      </c>
      <c r="H2168" s="8" t="s">
        <v>11439</v>
      </c>
      <c r="I2168" s="8" t="str">
        <f>HYPERLINK("http://aymei.microstore.app/#/shopmain","aymei.microstore.app/#/shopmain")</f>
        <v>aymei.microstore.app/#/shopmain</v>
      </c>
      <c r="J2168" s="10">
        <v>1402.4760000000001</v>
      </c>
      <c r="K2168" s="10">
        <v>1402.4760000000001</v>
      </c>
      <c r="L2168" s="10">
        <v>2086.2399999999998</v>
      </c>
      <c r="M2168" s="10">
        <v>27.114999999999998</v>
      </c>
      <c r="N2168" s="10">
        <v>27.114999999999998</v>
      </c>
      <c r="O2168" s="10">
        <v>12.295999999999999</v>
      </c>
      <c r="P2168" s="10">
        <v>6</v>
      </c>
      <c r="Q2168" s="10">
        <v>6</v>
      </c>
      <c r="R2168" s="10">
        <v>5</v>
      </c>
    </row>
    <row r="2169" spans="1:18" ht="17" customHeight="1" x14ac:dyDescent="0.15">
      <c r="A2169" s="11" t="s">
        <v>11555</v>
      </c>
      <c r="B2169" s="1" t="s">
        <v>11556</v>
      </c>
      <c r="C2169" s="11" t="s">
        <v>11557</v>
      </c>
      <c r="D2169" s="11" t="s">
        <v>11557</v>
      </c>
      <c r="E2169" s="11" t="s">
        <v>11558</v>
      </c>
      <c r="F2169" s="11" t="s">
        <v>11491</v>
      </c>
      <c r="G2169" s="11" t="s">
        <v>11559</v>
      </c>
      <c r="H2169" s="11" t="s">
        <v>11453</v>
      </c>
      <c r="I2169" s="11" t="str">
        <f>HYPERLINK("http://www.bimacshoes.com/","www.bimacshoes.com")</f>
        <v>www.bimacshoes.com</v>
      </c>
      <c r="J2169" s="12">
        <v>3228.732</v>
      </c>
      <c r="K2169" s="12">
        <v>3228.732</v>
      </c>
      <c r="L2169" s="13">
        <v>2085.92</v>
      </c>
      <c r="M2169" s="12">
        <v>306.58800000000002</v>
      </c>
      <c r="N2169" s="12">
        <v>306.58800000000002</v>
      </c>
      <c r="O2169" s="12">
        <v>181.24600000000001</v>
      </c>
      <c r="P2169" s="12">
        <v>6</v>
      </c>
      <c r="Q2169" s="12">
        <v>6</v>
      </c>
      <c r="R2169" s="12">
        <v>7</v>
      </c>
    </row>
    <row r="2170" spans="1:18" ht="17" customHeight="1" x14ac:dyDescent="0.15">
      <c r="A2170" s="8" t="s">
        <v>11560</v>
      </c>
      <c r="B2170" s="9" t="s">
        <v>11561</v>
      </c>
      <c r="C2170" s="8" t="s">
        <v>11562</v>
      </c>
      <c r="D2170" s="8" t="s">
        <v>11562</v>
      </c>
      <c r="E2170" s="8" t="s">
        <v>11563</v>
      </c>
      <c r="F2170" s="8" t="s">
        <v>11564</v>
      </c>
      <c r="G2170" s="8" t="s">
        <v>11480</v>
      </c>
      <c r="H2170" s="8" t="s">
        <v>11431</v>
      </c>
      <c r="I2170" s="8" t="str">
        <f>HYPERLINK("http://www.garda.it/","www.garda.it")</f>
        <v>www.garda.it</v>
      </c>
      <c r="J2170" s="10">
        <v>306.34199999999998</v>
      </c>
      <c r="K2170" s="10">
        <v>1573.8779999999999</v>
      </c>
      <c r="L2170" s="10">
        <v>2084.0189999999998</v>
      </c>
      <c r="M2170" s="10">
        <v>-389.70499999999998</v>
      </c>
      <c r="N2170" s="10">
        <v>-623.51499999999999</v>
      </c>
      <c r="O2170" s="10">
        <v>3.6779999999999999</v>
      </c>
      <c r="P2170" s="10">
        <v>2</v>
      </c>
      <c r="Q2170" s="10">
        <v>9</v>
      </c>
      <c r="R2170" s="10">
        <v>11</v>
      </c>
    </row>
    <row r="2171" spans="1:18" ht="17" customHeight="1" x14ac:dyDescent="0.15">
      <c r="A2171" s="11" t="s">
        <v>11565</v>
      </c>
      <c r="B2171" s="1" t="s">
        <v>11566</v>
      </c>
      <c r="C2171" s="11" t="s">
        <v>11567</v>
      </c>
      <c r="D2171" s="11" t="s">
        <v>11567</v>
      </c>
      <c r="E2171" s="11" t="s">
        <v>11568</v>
      </c>
      <c r="F2171" s="11" t="s">
        <v>11491</v>
      </c>
      <c r="G2171" s="11" t="s">
        <v>11569</v>
      </c>
      <c r="H2171" s="11" t="s">
        <v>11446</v>
      </c>
      <c r="I2171" s="11" t="str">
        <f>HYPERLINK("http://www.nemea.it/","www.nemea.it")</f>
        <v>www.nemea.it</v>
      </c>
      <c r="J2171" s="12">
        <v>1194.539</v>
      </c>
      <c r="K2171" s="12">
        <v>1194.539</v>
      </c>
      <c r="L2171" s="13">
        <v>2083.3629999999998</v>
      </c>
      <c r="M2171" s="12">
        <v>1.6240000000000001</v>
      </c>
      <c r="N2171" s="12">
        <v>1.6240000000000001</v>
      </c>
      <c r="O2171" s="12">
        <v>102.05</v>
      </c>
      <c r="P2171" s="12">
        <v>0</v>
      </c>
      <c r="Q2171" s="12">
        <v>0</v>
      </c>
      <c r="R2171" s="12">
        <v>1</v>
      </c>
    </row>
    <row r="2172" spans="1:18" ht="17" customHeight="1" x14ac:dyDescent="0.15">
      <c r="A2172" s="8" t="s">
        <v>11570</v>
      </c>
      <c r="B2172" s="9" t="s">
        <v>11571</v>
      </c>
      <c r="C2172" s="8" t="s">
        <v>11572</v>
      </c>
      <c r="D2172" s="8" t="s">
        <v>11572</v>
      </c>
      <c r="E2172" s="8" t="s">
        <v>11573</v>
      </c>
      <c r="F2172" s="8" t="s">
        <v>11429</v>
      </c>
      <c r="G2172" s="8" t="s">
        <v>11438</v>
      </c>
      <c r="H2172" s="8" t="s">
        <v>11439</v>
      </c>
      <c r="I2172" s="8" t="str">
        <f>HYPERLINK("http://www.pratesi.info/","http://www.pratesi.info")</f>
        <v>http://www.pratesi.info</v>
      </c>
      <c r="J2172" s="10">
        <v>2173.35</v>
      </c>
      <c r="K2172" s="10">
        <v>2173.35</v>
      </c>
      <c r="L2172" s="10">
        <v>2082.6129999999998</v>
      </c>
      <c r="M2172" s="10">
        <v>128.33099999999999</v>
      </c>
      <c r="N2172" s="10">
        <v>128.33099999999999</v>
      </c>
      <c r="O2172" s="10">
        <v>137.91499999999999</v>
      </c>
      <c r="P2172" s="15" t="s">
        <v>11432</v>
      </c>
      <c r="Q2172" s="15" t="s">
        <v>11432</v>
      </c>
      <c r="R2172" s="10">
        <v>15</v>
      </c>
    </row>
    <row r="2173" spans="1:18" ht="17" customHeight="1" x14ac:dyDescent="0.15">
      <c r="A2173" s="11" t="s">
        <v>11574</v>
      </c>
      <c r="B2173" s="1" t="s">
        <v>11575</v>
      </c>
      <c r="C2173" s="11" t="s">
        <v>11576</v>
      </c>
      <c r="D2173" s="11" t="s">
        <v>11576</v>
      </c>
      <c r="E2173" s="11" t="s">
        <v>11577</v>
      </c>
      <c r="F2173" s="11" t="s">
        <v>11471</v>
      </c>
      <c r="G2173" s="11" t="s">
        <v>11578</v>
      </c>
      <c r="H2173" s="11" t="s">
        <v>11446</v>
      </c>
      <c r="I2173" s="11" t="str">
        <f>HYPERLINK("http://www.filippi1965.it/","www.filippi1965.it")</f>
        <v>www.filippi1965.it</v>
      </c>
      <c r="J2173" s="12">
        <v>1853.652</v>
      </c>
      <c r="K2173" s="12">
        <v>1853.652</v>
      </c>
      <c r="L2173" s="13">
        <v>2079.163</v>
      </c>
      <c r="M2173" s="12">
        <v>9.0310000000000006</v>
      </c>
      <c r="N2173" s="12">
        <v>9.0310000000000006</v>
      </c>
      <c r="O2173" s="12">
        <v>10.788</v>
      </c>
      <c r="P2173" s="14" t="s">
        <v>11432</v>
      </c>
      <c r="Q2173" s="14" t="s">
        <v>11432</v>
      </c>
      <c r="R2173" s="12">
        <v>11</v>
      </c>
    </row>
    <row r="2174" spans="1:18" ht="17" customHeight="1" x14ac:dyDescent="0.15">
      <c r="A2174" s="8" t="s">
        <v>11579</v>
      </c>
      <c r="B2174" s="9" t="s">
        <v>11580</v>
      </c>
      <c r="C2174" s="8" t="s">
        <v>11581</v>
      </c>
      <c r="D2174" s="8" t="s">
        <v>11581</v>
      </c>
      <c r="E2174" s="8" t="s">
        <v>11582</v>
      </c>
      <c r="F2174" s="8" t="s">
        <v>11471</v>
      </c>
      <c r="G2174" s="8" t="s">
        <v>11583</v>
      </c>
      <c r="H2174" s="8" t="s">
        <v>11532</v>
      </c>
      <c r="I2174" s="8" t="str">
        <f>HYPERLINK("http://gianninotaroshop.com/","gianninotaroshop.com")</f>
        <v>gianninotaroshop.com</v>
      </c>
      <c r="J2174" s="10">
        <v>2156.3989999999999</v>
      </c>
      <c r="K2174" s="10">
        <v>2156.3989999999999</v>
      </c>
      <c r="L2174" s="10">
        <v>2075.2269999999999</v>
      </c>
      <c r="M2174" s="10">
        <v>82.338999999999999</v>
      </c>
      <c r="N2174" s="10">
        <v>82.338999999999999</v>
      </c>
      <c r="O2174" s="10">
        <v>36.972000000000001</v>
      </c>
      <c r="P2174" s="15" t="s">
        <v>11432</v>
      </c>
      <c r="Q2174" s="15" t="s">
        <v>11432</v>
      </c>
      <c r="R2174" s="10">
        <v>18</v>
      </c>
    </row>
    <row r="2175" spans="1:18" ht="17" customHeight="1" x14ac:dyDescent="0.15">
      <c r="A2175" s="11" t="s">
        <v>11584</v>
      </c>
      <c r="B2175" s="1" t="s">
        <v>11585</v>
      </c>
      <c r="C2175" s="11" t="s">
        <v>11586</v>
      </c>
      <c r="D2175" s="11" t="s">
        <v>11586</v>
      </c>
      <c r="E2175" s="11" t="s">
        <v>11587</v>
      </c>
      <c r="F2175" s="11" t="s">
        <v>11437</v>
      </c>
      <c r="G2175" s="11" t="s">
        <v>11588</v>
      </c>
      <c r="H2175" s="11" t="s">
        <v>11516</v>
      </c>
      <c r="I2175" s="11" t="str">
        <f>HYPERLINK("http://www.pregiocouture.it/","www.pregiocouture.it")</f>
        <v>www.pregiocouture.it</v>
      </c>
      <c r="J2175" s="12">
        <v>2354.1579999999999</v>
      </c>
      <c r="K2175" s="12">
        <v>2354.1579999999999</v>
      </c>
      <c r="L2175" s="13">
        <v>2075.1120000000001</v>
      </c>
      <c r="M2175" s="12">
        <v>59.22</v>
      </c>
      <c r="N2175" s="12">
        <v>59.22</v>
      </c>
      <c r="O2175" s="12">
        <v>250.33500000000001</v>
      </c>
      <c r="P2175" s="12">
        <v>13</v>
      </c>
      <c r="Q2175" s="12">
        <v>13</v>
      </c>
      <c r="R2175" s="12">
        <v>10</v>
      </c>
    </row>
    <row r="2176" spans="1:18" ht="17" customHeight="1" x14ac:dyDescent="0.15">
      <c r="A2176" s="8" t="s">
        <v>11589</v>
      </c>
      <c r="B2176" s="9" t="s">
        <v>11590</v>
      </c>
      <c r="C2176" s="8" t="s">
        <v>11591</v>
      </c>
      <c r="D2176" s="8" t="s">
        <v>11591</v>
      </c>
      <c r="E2176" s="8" t="s">
        <v>11592</v>
      </c>
      <c r="F2176" s="8" t="s">
        <v>11471</v>
      </c>
      <c r="G2176" s="8" t="s">
        <v>11583</v>
      </c>
      <c r="H2176" s="8" t="s">
        <v>11532</v>
      </c>
      <c r="I2176" s="8" t="str">
        <f>HYPERLINK("http://www.dejavufactory.com/","www.dejavufactory.com")</f>
        <v>www.dejavufactory.com</v>
      </c>
      <c r="J2176" s="10">
        <v>2313.6930000000002</v>
      </c>
      <c r="K2176" s="10">
        <v>2313.6930000000002</v>
      </c>
      <c r="L2176" s="10">
        <v>2074.7559999999999</v>
      </c>
      <c r="M2176" s="10">
        <v>23.882999999999999</v>
      </c>
      <c r="N2176" s="10">
        <v>23.882999999999999</v>
      </c>
      <c r="O2176" s="10">
        <v>192.37799999999999</v>
      </c>
      <c r="P2176" s="15" t="s">
        <v>11432</v>
      </c>
      <c r="Q2176" s="15" t="s">
        <v>11432</v>
      </c>
      <c r="R2176" s="10">
        <v>49</v>
      </c>
    </row>
    <row r="2177" spans="1:18" ht="17" customHeight="1" x14ac:dyDescent="0.15">
      <c r="A2177" s="11" t="s">
        <v>11593</v>
      </c>
      <c r="B2177" s="1" t="s">
        <v>11594</v>
      </c>
      <c r="C2177" s="11" t="s">
        <v>11595</v>
      </c>
      <c r="D2177" s="11" t="s">
        <v>11595</v>
      </c>
      <c r="E2177" s="11" t="s">
        <v>11596</v>
      </c>
      <c r="F2177" s="11" t="s">
        <v>11597</v>
      </c>
      <c r="G2177" s="11" t="s">
        <v>11598</v>
      </c>
      <c r="H2177" s="11" t="s">
        <v>11599</v>
      </c>
      <c r="I2177" s="11" t="str">
        <f>HYPERLINK("http://elle-emme.it/","elle-emme.it")</f>
        <v>elle-emme.it</v>
      </c>
      <c r="J2177" s="12">
        <v>2197.4</v>
      </c>
      <c r="K2177" s="12">
        <v>2197.4</v>
      </c>
      <c r="L2177" s="13">
        <v>2073.5079999999998</v>
      </c>
      <c r="M2177" s="12">
        <v>15.146000000000001</v>
      </c>
      <c r="N2177" s="12">
        <v>15.146000000000001</v>
      </c>
      <c r="O2177" s="12">
        <v>22.664000000000001</v>
      </c>
      <c r="P2177" s="14" t="s">
        <v>11600</v>
      </c>
      <c r="Q2177" s="14" t="s">
        <v>11600</v>
      </c>
      <c r="R2177" s="12">
        <v>11</v>
      </c>
    </row>
    <row r="2178" spans="1:18" ht="17" customHeight="1" x14ac:dyDescent="0.15">
      <c r="A2178" s="8" t="s">
        <v>11601</v>
      </c>
      <c r="B2178" s="9" t="s">
        <v>11602</v>
      </c>
      <c r="C2178" s="8" t="s">
        <v>11603</v>
      </c>
      <c r="D2178" s="8" t="s">
        <v>11603</v>
      </c>
      <c r="E2178" s="8" t="s">
        <v>11604</v>
      </c>
      <c r="F2178" s="8" t="s">
        <v>11605</v>
      </c>
      <c r="G2178" s="8" t="s">
        <v>11606</v>
      </c>
      <c r="H2178" s="8" t="s">
        <v>11607</v>
      </c>
      <c r="I2178" s="8" t="str">
        <f>HYPERLINK("http://www.baronet.it/","www.baronet.it")</f>
        <v>www.baronet.it</v>
      </c>
      <c r="J2178" s="10">
        <v>1334.624</v>
      </c>
      <c r="K2178" s="10">
        <v>1334.624</v>
      </c>
      <c r="L2178" s="10">
        <v>2069.09</v>
      </c>
      <c r="M2178" s="10">
        <v>19.664000000000001</v>
      </c>
      <c r="N2178" s="10">
        <v>19.664000000000001</v>
      </c>
      <c r="O2178" s="10">
        <v>2.2850000000000001</v>
      </c>
      <c r="P2178" s="10">
        <v>7</v>
      </c>
      <c r="Q2178" s="10">
        <v>7</v>
      </c>
      <c r="R2178" s="10">
        <v>10</v>
      </c>
    </row>
    <row r="2179" spans="1:18" ht="17" customHeight="1" x14ac:dyDescent="0.15">
      <c r="A2179" s="11" t="s">
        <v>11608</v>
      </c>
      <c r="B2179" s="1" t="s">
        <v>11609</v>
      </c>
      <c r="C2179" s="11" t="s">
        <v>11610</v>
      </c>
      <c r="D2179" s="11" t="s">
        <v>11610</v>
      </c>
      <c r="E2179" s="11" t="s">
        <v>11611</v>
      </c>
      <c r="F2179" s="11" t="s">
        <v>11605</v>
      </c>
      <c r="G2179" s="11" t="s">
        <v>11612</v>
      </c>
      <c r="H2179" s="11" t="s">
        <v>11599</v>
      </c>
      <c r="I2179" s="11" t="str">
        <f>HYPERLINK("http://www.zacsrl.eu/","www.zacsrl.eu")</f>
        <v>www.zacsrl.eu</v>
      </c>
      <c r="J2179" s="12">
        <v>9473.4519999999993</v>
      </c>
      <c r="K2179" s="12">
        <v>9473.4519999999993</v>
      </c>
      <c r="L2179" s="13">
        <v>2064.6170000000002</v>
      </c>
      <c r="M2179" s="12">
        <v>819.41300000000001</v>
      </c>
      <c r="N2179" s="12">
        <v>819.41300000000001</v>
      </c>
      <c r="O2179" s="12">
        <v>253.44300000000001</v>
      </c>
      <c r="P2179" s="12">
        <v>42</v>
      </c>
      <c r="Q2179" s="12">
        <v>42</v>
      </c>
      <c r="R2179" s="12">
        <v>20</v>
      </c>
    </row>
    <row r="2180" spans="1:18" ht="17" customHeight="1" x14ac:dyDescent="0.15">
      <c r="A2180" s="8" t="s">
        <v>11613</v>
      </c>
      <c r="B2180" s="9" t="s">
        <v>11614</v>
      </c>
      <c r="C2180" s="8" t="s">
        <v>11615</v>
      </c>
      <c r="D2180" s="8" t="s">
        <v>11615</v>
      </c>
      <c r="E2180" s="8" t="s">
        <v>11616</v>
      </c>
      <c r="F2180" s="8" t="s">
        <v>11605</v>
      </c>
      <c r="G2180" s="8" t="s">
        <v>11617</v>
      </c>
      <c r="H2180" s="8" t="s">
        <v>11618</v>
      </c>
      <c r="I2180" s="8" t="str">
        <f>HYPERLINK("http://venetacinture.it/","venetacinture.it")</f>
        <v>venetacinture.it</v>
      </c>
      <c r="J2180" s="10">
        <v>1803.569</v>
      </c>
      <c r="K2180" s="10">
        <v>1803.569</v>
      </c>
      <c r="L2180" s="10">
        <v>2064.172</v>
      </c>
      <c r="M2180" s="10">
        <v>13.673</v>
      </c>
      <c r="N2180" s="10">
        <v>13.673</v>
      </c>
      <c r="O2180" s="10">
        <v>17.718</v>
      </c>
      <c r="P2180" s="10">
        <v>18</v>
      </c>
      <c r="Q2180" s="10">
        <v>18</v>
      </c>
      <c r="R2180" s="10">
        <v>20</v>
      </c>
    </row>
    <row r="2181" spans="1:18" ht="17" customHeight="1" x14ac:dyDescent="0.15">
      <c r="A2181" s="11" t="s">
        <v>11619</v>
      </c>
      <c r="B2181" s="1" t="s">
        <v>11620</v>
      </c>
      <c r="C2181" s="11" t="s">
        <v>11621</v>
      </c>
      <c r="D2181" s="11" t="s">
        <v>11621</v>
      </c>
      <c r="E2181" s="11" t="s">
        <v>11622</v>
      </c>
      <c r="F2181" s="11" t="s">
        <v>11623</v>
      </c>
      <c r="G2181" s="11" t="s">
        <v>11624</v>
      </c>
      <c r="H2181" s="11" t="s">
        <v>11599</v>
      </c>
      <c r="I2181" s="11" t="str">
        <f>HYPERLINK("http://www.suolificiofashion.it/","www.suolificiofashion.it")</f>
        <v>www.suolificiofashion.it</v>
      </c>
      <c r="J2181" s="12">
        <v>2154.0590000000002</v>
      </c>
      <c r="K2181" s="12">
        <v>2154.0590000000002</v>
      </c>
      <c r="L2181" s="13">
        <v>2063.5909999999999</v>
      </c>
      <c r="M2181" s="12">
        <v>8.4559999999999995</v>
      </c>
      <c r="N2181" s="12">
        <v>8.4559999999999995</v>
      </c>
      <c r="O2181" s="12">
        <v>-75.409000000000006</v>
      </c>
      <c r="P2181" s="12">
        <v>20</v>
      </c>
      <c r="Q2181" s="12">
        <v>20</v>
      </c>
      <c r="R2181" s="12">
        <v>16</v>
      </c>
    </row>
    <row r="2182" spans="1:18" ht="17" customHeight="1" x14ac:dyDescent="0.15">
      <c r="A2182" s="8" t="s">
        <v>11625</v>
      </c>
      <c r="B2182" s="9" t="s">
        <v>11626</v>
      </c>
      <c r="C2182" s="8" t="s">
        <v>11627</v>
      </c>
      <c r="D2182" s="8" t="s">
        <v>11627</v>
      </c>
      <c r="E2182" s="8" t="s">
        <v>11628</v>
      </c>
      <c r="F2182" s="8" t="s">
        <v>11629</v>
      </c>
      <c r="G2182" s="8" t="s">
        <v>11630</v>
      </c>
      <c r="H2182" s="8" t="s">
        <v>11631</v>
      </c>
      <c r="I2182" s="8" t="str">
        <f>HYPERLINK("http://www.meceuropadue.com/","www.meceuropadue.com")</f>
        <v>www.meceuropadue.com</v>
      </c>
      <c r="J2182" s="10">
        <v>27373.973999999998</v>
      </c>
      <c r="K2182" s="10">
        <v>27373.973999999998</v>
      </c>
      <c r="L2182" s="10">
        <v>2062.5630000000001</v>
      </c>
      <c r="M2182" s="10">
        <v>444.65499999999997</v>
      </c>
      <c r="N2182" s="10">
        <v>444.65499999999997</v>
      </c>
      <c r="O2182" s="10">
        <v>25.863</v>
      </c>
      <c r="P2182" s="10">
        <v>34</v>
      </c>
      <c r="Q2182" s="10">
        <v>34</v>
      </c>
      <c r="R2182" s="10">
        <v>4</v>
      </c>
    </row>
    <row r="2183" spans="1:18" ht="17" customHeight="1" x14ac:dyDescent="0.15">
      <c r="A2183" s="11" t="s">
        <v>11632</v>
      </c>
      <c r="B2183" s="1" t="s">
        <v>11633</v>
      </c>
      <c r="C2183" s="11" t="s">
        <v>11634</v>
      </c>
      <c r="D2183" s="11" t="s">
        <v>11634</v>
      </c>
      <c r="E2183" s="11" t="s">
        <v>11635</v>
      </c>
      <c r="F2183" s="11" t="s">
        <v>11636</v>
      </c>
      <c r="G2183" s="11" t="s">
        <v>11637</v>
      </c>
      <c r="H2183" s="11" t="s">
        <v>11638</v>
      </c>
      <c r="I2183" s="11" t="str">
        <f>HYPERLINK("http://shop.pelletteriaflora.it/","shop.pelletteriaflora.it")</f>
        <v>shop.pelletteriaflora.it</v>
      </c>
      <c r="J2183" s="12">
        <v>2264.4940000000001</v>
      </c>
      <c r="K2183" s="12">
        <v>2264.4940000000001</v>
      </c>
      <c r="L2183" s="13">
        <v>2060.674</v>
      </c>
      <c r="M2183" s="12">
        <v>12.848000000000001</v>
      </c>
      <c r="N2183" s="12">
        <v>12.848000000000001</v>
      </c>
      <c r="O2183" s="12">
        <v>16.459</v>
      </c>
      <c r="P2183" s="12">
        <v>27</v>
      </c>
      <c r="Q2183" s="12">
        <v>27</v>
      </c>
      <c r="R2183" s="12">
        <v>24</v>
      </c>
    </row>
    <row r="2184" spans="1:18" ht="17" customHeight="1" x14ac:dyDescent="0.15">
      <c r="A2184" s="8" t="s">
        <v>11639</v>
      </c>
      <c r="B2184" s="9" t="s">
        <v>11640</v>
      </c>
      <c r="C2184" s="8" t="s">
        <v>11641</v>
      </c>
      <c r="D2184" s="8" t="s">
        <v>11641</v>
      </c>
      <c r="E2184" s="8" t="s">
        <v>11642</v>
      </c>
      <c r="F2184" s="8" t="s">
        <v>11643</v>
      </c>
      <c r="G2184" s="8" t="s">
        <v>11644</v>
      </c>
      <c r="H2184" s="8" t="s">
        <v>11631</v>
      </c>
      <c r="I2184" s="8" t="str">
        <f>HYPERLINK("http://www.blukey.it/","www.blukey.it")</f>
        <v>www.blukey.it</v>
      </c>
      <c r="J2184" s="10">
        <v>2466.0329999999999</v>
      </c>
      <c r="K2184" s="10">
        <v>2466.0329999999999</v>
      </c>
      <c r="L2184" s="10">
        <v>2059.252</v>
      </c>
      <c r="M2184" s="10">
        <v>28.806000000000001</v>
      </c>
      <c r="N2184" s="10">
        <v>28.806000000000001</v>
      </c>
      <c r="O2184" s="10">
        <v>4.3940000000000001</v>
      </c>
      <c r="P2184" s="10">
        <v>6</v>
      </c>
      <c r="Q2184" s="10">
        <v>6</v>
      </c>
      <c r="R2184" s="10">
        <v>8</v>
      </c>
    </row>
    <row r="2185" spans="1:18" ht="17" customHeight="1" x14ac:dyDescent="0.15">
      <c r="A2185" s="11" t="s">
        <v>11645</v>
      </c>
      <c r="B2185" s="1" t="s">
        <v>11646</v>
      </c>
      <c r="C2185" s="11" t="s">
        <v>11647</v>
      </c>
      <c r="D2185" s="11" t="s">
        <v>11647</v>
      </c>
      <c r="E2185" s="11" t="s">
        <v>11648</v>
      </c>
      <c r="F2185" s="11" t="s">
        <v>11649</v>
      </c>
      <c r="G2185" s="11" t="s">
        <v>11637</v>
      </c>
      <c r="H2185" s="11" t="s">
        <v>11638</v>
      </c>
      <c r="I2185" s="11" t="str">
        <f>HYPERLINK("http://www.ales.it/","www.ales.it")</f>
        <v>www.ales.it</v>
      </c>
      <c r="J2185" s="12">
        <v>1874.789</v>
      </c>
      <c r="K2185" s="12">
        <v>1874.789</v>
      </c>
      <c r="L2185" s="13">
        <v>2058.7930000000001</v>
      </c>
      <c r="M2185" s="12">
        <v>11.411</v>
      </c>
      <c r="N2185" s="12">
        <v>11.411</v>
      </c>
      <c r="O2185" s="12">
        <v>78.563000000000002</v>
      </c>
      <c r="P2185" s="12">
        <v>34</v>
      </c>
      <c r="Q2185" s="12">
        <v>34</v>
      </c>
      <c r="R2185" s="12">
        <v>35</v>
      </c>
    </row>
    <row r="2186" spans="1:18" ht="17" customHeight="1" x14ac:dyDescent="0.15">
      <c r="A2186" s="8" t="s">
        <v>11650</v>
      </c>
      <c r="B2186" s="9" t="s">
        <v>11651</v>
      </c>
      <c r="C2186" s="8" t="s">
        <v>11652</v>
      </c>
      <c r="D2186" s="8" t="s">
        <v>11652</v>
      </c>
      <c r="E2186" s="8" t="s">
        <v>11653</v>
      </c>
      <c r="F2186" s="8" t="s">
        <v>11654</v>
      </c>
      <c r="G2186" s="8" t="s">
        <v>11655</v>
      </c>
      <c r="H2186" s="8" t="s">
        <v>11618</v>
      </c>
      <c r="I2186" s="8" t="str">
        <f>HYPERLINK("http://www.opacoitalia.it/","www.opacoitalia.it")</f>
        <v>www.opacoitalia.it</v>
      </c>
      <c r="J2186" s="10">
        <v>2222.88</v>
      </c>
      <c r="K2186" s="10">
        <v>2222.88</v>
      </c>
      <c r="L2186" s="10">
        <v>2058.5920000000001</v>
      </c>
      <c r="M2186" s="10">
        <v>25.991</v>
      </c>
      <c r="N2186" s="10">
        <v>25.991</v>
      </c>
      <c r="O2186" s="10">
        <v>2.6520000000000001</v>
      </c>
      <c r="P2186" s="15" t="s">
        <v>11600</v>
      </c>
      <c r="Q2186" s="15" t="s">
        <v>11600</v>
      </c>
      <c r="R2186" s="10">
        <v>16</v>
      </c>
    </row>
    <row r="2187" spans="1:18" ht="17" customHeight="1" x14ac:dyDescent="0.15">
      <c r="A2187" s="11" t="s">
        <v>11656</v>
      </c>
      <c r="B2187" s="1" t="s">
        <v>11657</v>
      </c>
      <c r="C2187" s="11" t="s">
        <v>11658</v>
      </c>
      <c r="D2187" s="11" t="s">
        <v>11658</v>
      </c>
      <c r="E2187" s="11" t="s">
        <v>11659</v>
      </c>
      <c r="F2187" s="11" t="s">
        <v>11660</v>
      </c>
      <c r="G2187" s="11" t="s">
        <v>11661</v>
      </c>
      <c r="H2187" s="11" t="s">
        <v>11662</v>
      </c>
      <c r="I2187" s="11" t="str">
        <f>HYPERLINK("http://www.free-woman.it/","www.free-woman.it")</f>
        <v>www.free-woman.it</v>
      </c>
      <c r="J2187" s="12">
        <v>1955.03</v>
      </c>
      <c r="K2187" s="12">
        <v>1955.03</v>
      </c>
      <c r="L2187" s="13">
        <v>2058.0279999999998</v>
      </c>
      <c r="M2187" s="12">
        <v>59.344999999999999</v>
      </c>
      <c r="N2187" s="12">
        <v>59.344999999999999</v>
      </c>
      <c r="O2187" s="12">
        <v>49.024999999999999</v>
      </c>
      <c r="P2187" s="12">
        <v>9</v>
      </c>
      <c r="Q2187" s="12">
        <v>9</v>
      </c>
      <c r="R2187" s="12">
        <v>9</v>
      </c>
    </row>
    <row r="2188" spans="1:18" ht="17" customHeight="1" x14ac:dyDescent="0.15">
      <c r="A2188" s="8" t="s">
        <v>11663</v>
      </c>
      <c r="B2188" s="9" t="s">
        <v>11664</v>
      </c>
      <c r="C2188" s="8" t="s">
        <v>11665</v>
      </c>
      <c r="D2188" s="8" t="s">
        <v>11665</v>
      </c>
      <c r="E2188" s="8" t="s">
        <v>11666</v>
      </c>
      <c r="F2188" s="8" t="s">
        <v>11667</v>
      </c>
      <c r="G2188" s="8" t="s">
        <v>11668</v>
      </c>
      <c r="H2188" s="8" t="s">
        <v>11669</v>
      </c>
      <c r="I2188" s="8" t="str">
        <f>HYPERLINK("http://www.ladysarl.it/","www.ladysarl.it")</f>
        <v>www.ladysarl.it</v>
      </c>
      <c r="J2188" s="10">
        <v>1913.816</v>
      </c>
      <c r="K2188" s="10">
        <v>1913.816</v>
      </c>
      <c r="L2188" s="10">
        <v>2057.4850000000001</v>
      </c>
      <c r="M2188" s="10">
        <v>7.37</v>
      </c>
      <c r="N2188" s="10">
        <v>7.37</v>
      </c>
      <c r="O2188" s="10">
        <v>8.6379999999999999</v>
      </c>
      <c r="P2188" s="15" t="s">
        <v>11600</v>
      </c>
      <c r="Q2188" s="15" t="s">
        <v>11600</v>
      </c>
      <c r="R2188" s="10">
        <v>36</v>
      </c>
    </row>
    <row r="2189" spans="1:18" ht="55.75" customHeight="1" x14ac:dyDescent="0.15">
      <c r="A2189" s="11" t="s">
        <v>11670</v>
      </c>
      <c r="B2189" s="1" t="s">
        <v>11671</v>
      </c>
      <c r="C2189" s="11" t="s">
        <v>11672</v>
      </c>
      <c r="D2189" s="11" t="s">
        <v>11672</v>
      </c>
      <c r="E2189" s="11" t="s">
        <v>11673</v>
      </c>
      <c r="F2189" s="11" t="s">
        <v>11674</v>
      </c>
      <c r="G2189" s="11" t="s">
        <v>11624</v>
      </c>
      <c r="H2189" s="11" t="s">
        <v>11599</v>
      </c>
      <c r="I2189" s="11" t="str">
        <f>HYPERLINK("http://www.rifincuoiogroup.com/","www.rifincuoiogroup.com")</f>
        <v>www.rifincuoiogroup.com</v>
      </c>
      <c r="J2189" s="12">
        <v>1808.92</v>
      </c>
      <c r="K2189" s="12">
        <v>1808.92</v>
      </c>
      <c r="L2189" s="13">
        <v>2055.21</v>
      </c>
      <c r="M2189" s="12">
        <v>171.15100000000001</v>
      </c>
      <c r="N2189" s="12">
        <v>171.15100000000001</v>
      </c>
      <c r="O2189" s="12">
        <v>191.733</v>
      </c>
      <c r="P2189" s="12">
        <v>13</v>
      </c>
      <c r="Q2189" s="12">
        <v>13</v>
      </c>
      <c r="R2189" s="12">
        <v>13</v>
      </c>
    </row>
    <row r="2190" spans="1:18" ht="17" customHeight="1" x14ac:dyDescent="0.15">
      <c r="A2190" s="8" t="s">
        <v>11675</v>
      </c>
      <c r="B2190" s="9" t="s">
        <v>11676</v>
      </c>
      <c r="C2190" s="8" t="s">
        <v>11677</v>
      </c>
      <c r="D2190" s="8" t="s">
        <v>11677</v>
      </c>
      <c r="E2190" s="8" t="s">
        <v>11678</v>
      </c>
      <c r="F2190" s="8" t="s">
        <v>11629</v>
      </c>
      <c r="G2190" s="8" t="s">
        <v>11679</v>
      </c>
      <c r="H2190" s="8" t="s">
        <v>11662</v>
      </c>
      <c r="I2190" s="8" t="str">
        <f>HYPERLINK("http://www.velasportitalia.it/","www.velasportitalia.it")</f>
        <v>www.velasportitalia.it</v>
      </c>
      <c r="J2190" s="10">
        <v>1528.386</v>
      </c>
      <c r="K2190" s="10">
        <v>1528.386</v>
      </c>
      <c r="L2190" s="10">
        <v>2054.6729999999998</v>
      </c>
      <c r="M2190" s="10">
        <v>7.0469999999999997</v>
      </c>
      <c r="N2190" s="10">
        <v>7.0469999999999997</v>
      </c>
      <c r="O2190" s="10">
        <v>15.856</v>
      </c>
      <c r="P2190" s="10">
        <v>15</v>
      </c>
      <c r="Q2190" s="10">
        <v>15</v>
      </c>
      <c r="R2190" s="10">
        <v>12</v>
      </c>
    </row>
    <row r="2191" spans="1:18" ht="17" customHeight="1" x14ac:dyDescent="0.15">
      <c r="A2191" s="11" t="s">
        <v>11680</v>
      </c>
      <c r="B2191" s="1" t="s">
        <v>11681</v>
      </c>
      <c r="C2191" s="11" t="s">
        <v>11682</v>
      </c>
      <c r="D2191" s="11" t="s">
        <v>11682</v>
      </c>
      <c r="E2191" s="11" t="s">
        <v>11683</v>
      </c>
      <c r="F2191" s="11" t="s">
        <v>11597</v>
      </c>
      <c r="G2191" s="11" t="s">
        <v>11684</v>
      </c>
      <c r="H2191" s="11" t="s">
        <v>11599</v>
      </c>
      <c r="I2191" s="11" t="str">
        <f>HYPERLINK("http://b2b.lolita-italy.com/","b2b.lolita-italy.com")</f>
        <v>b2b.lolita-italy.com</v>
      </c>
      <c r="J2191" s="12">
        <v>2417.5569999999998</v>
      </c>
      <c r="K2191" s="12">
        <v>2417.5569999999998</v>
      </c>
      <c r="L2191" s="13">
        <v>2053.7669999999998</v>
      </c>
      <c r="M2191" s="12">
        <v>-39.854999999999997</v>
      </c>
      <c r="N2191" s="12">
        <v>-39.854999999999997</v>
      </c>
      <c r="O2191" s="12">
        <v>8.327</v>
      </c>
      <c r="P2191" s="14" t="s">
        <v>11600</v>
      </c>
      <c r="Q2191" s="14" t="s">
        <v>11600</v>
      </c>
      <c r="R2191" s="12">
        <v>7</v>
      </c>
    </row>
    <row r="2192" spans="1:18" ht="17" customHeight="1" x14ac:dyDescent="0.15">
      <c r="A2192" s="8" t="s">
        <v>11685</v>
      </c>
      <c r="B2192" s="9" t="s">
        <v>11686</v>
      </c>
      <c r="C2192" s="8" t="s">
        <v>11687</v>
      </c>
      <c r="D2192" s="8" t="s">
        <v>11687</v>
      </c>
      <c r="E2192" s="8" t="s">
        <v>11688</v>
      </c>
      <c r="F2192" s="8" t="s">
        <v>11643</v>
      </c>
      <c r="G2192" s="8" t="s">
        <v>11655</v>
      </c>
      <c r="H2192" s="8" t="s">
        <v>11618</v>
      </c>
      <c r="I2192" s="8" t="str">
        <f>HYPERLINK("http://www.co-go.it/","www.co-go.it")</f>
        <v>www.co-go.it</v>
      </c>
      <c r="J2192" s="10">
        <v>2229.1469999999999</v>
      </c>
      <c r="K2192" s="10">
        <v>2229.1469999999999</v>
      </c>
      <c r="L2192" s="10">
        <v>2052.5929999999998</v>
      </c>
      <c r="M2192" s="10">
        <v>101.041</v>
      </c>
      <c r="N2192" s="10">
        <v>101.041</v>
      </c>
      <c r="O2192" s="10">
        <v>98.938999999999993</v>
      </c>
      <c r="P2192" s="10">
        <v>1</v>
      </c>
      <c r="Q2192" s="10">
        <v>1</v>
      </c>
      <c r="R2192" s="10">
        <v>2</v>
      </c>
    </row>
    <row r="2193" spans="1:18" ht="17" customHeight="1" x14ac:dyDescent="0.15">
      <c r="A2193" s="11" t="s">
        <v>11689</v>
      </c>
      <c r="B2193" s="1" t="s">
        <v>11690</v>
      </c>
      <c r="C2193" s="11" t="s">
        <v>11691</v>
      </c>
      <c r="D2193" s="11" t="s">
        <v>11691</v>
      </c>
      <c r="E2193" s="11" t="s">
        <v>11692</v>
      </c>
      <c r="F2193" s="11" t="s">
        <v>11623</v>
      </c>
      <c r="G2193" s="11" t="s">
        <v>11624</v>
      </c>
      <c r="H2193" s="11" t="s">
        <v>11599</v>
      </c>
      <c r="I2193" s="11" t="str">
        <f>HYPERLINK("http://www.stilsuola.it/","www.stilsuola.it")</f>
        <v>www.stilsuola.it</v>
      </c>
      <c r="J2193" s="12">
        <v>2168.652</v>
      </c>
      <c r="K2193" s="12">
        <v>2168.652</v>
      </c>
      <c r="L2193" s="13">
        <v>2051.835</v>
      </c>
      <c r="M2193" s="12">
        <v>26.719000000000001</v>
      </c>
      <c r="N2193" s="12">
        <v>26.719000000000001</v>
      </c>
      <c r="O2193" s="12">
        <v>2.7450000000000001</v>
      </c>
      <c r="P2193" s="12">
        <v>12</v>
      </c>
      <c r="Q2193" s="12">
        <v>12</v>
      </c>
      <c r="R2193" s="12">
        <v>12</v>
      </c>
    </row>
    <row r="2194" spans="1:18" ht="29.5" customHeight="1" x14ac:dyDescent="0.15">
      <c r="A2194" s="8" t="s">
        <v>11693</v>
      </c>
      <c r="B2194" s="9" t="s">
        <v>11694</v>
      </c>
      <c r="C2194" s="8" t="s">
        <v>11695</v>
      </c>
      <c r="D2194" s="8" t="s">
        <v>11695</v>
      </c>
      <c r="E2194" s="8" t="s">
        <v>11696</v>
      </c>
      <c r="F2194" s="8" t="s">
        <v>11636</v>
      </c>
      <c r="G2194" s="8" t="s">
        <v>11697</v>
      </c>
      <c r="H2194" s="8" t="s">
        <v>11698</v>
      </c>
      <c r="I2194" s="8" t="str">
        <f>HYPERLINK("http://www.antonioarnesano.it/","www.antonioarnesano.it")</f>
        <v>www.antonioarnesano.it</v>
      </c>
      <c r="J2194" s="10">
        <v>2551.7379999999998</v>
      </c>
      <c r="K2194" s="10">
        <v>2551.7379999999998</v>
      </c>
      <c r="L2194" s="10">
        <v>2050.7750000000001</v>
      </c>
      <c r="M2194" s="10">
        <v>54.771000000000001</v>
      </c>
      <c r="N2194" s="10">
        <v>54.771000000000001</v>
      </c>
      <c r="O2194" s="10">
        <v>39.47</v>
      </c>
      <c r="P2194" s="10">
        <v>3</v>
      </c>
      <c r="Q2194" s="10">
        <v>3</v>
      </c>
      <c r="R2194" s="10">
        <v>3</v>
      </c>
    </row>
    <row r="2195" spans="1:18" ht="43" customHeight="1" x14ac:dyDescent="0.15">
      <c r="A2195" s="11" t="s">
        <v>11699</v>
      </c>
      <c r="B2195" s="1" t="s">
        <v>11700</v>
      </c>
      <c r="C2195" s="11" t="s">
        <v>11701</v>
      </c>
      <c r="D2195" s="11" t="s">
        <v>11701</v>
      </c>
      <c r="E2195" s="11" t="s">
        <v>11702</v>
      </c>
      <c r="F2195" s="11" t="s">
        <v>11643</v>
      </c>
      <c r="G2195" s="11" t="s">
        <v>11612</v>
      </c>
      <c r="H2195" s="11" t="s">
        <v>11599</v>
      </c>
      <c r="I2195" s="11" t="str">
        <f>HYPERLINK("http://shaftjeans.it/","shaftjeans.it")</f>
        <v>shaftjeans.it</v>
      </c>
      <c r="J2195" s="12">
        <v>2095.9180000000001</v>
      </c>
      <c r="K2195" s="12">
        <v>2095.9180000000001</v>
      </c>
      <c r="L2195" s="13">
        <v>2050.5309999999999</v>
      </c>
      <c r="M2195" s="12">
        <v>53.359000000000002</v>
      </c>
      <c r="N2195" s="12">
        <v>53.359000000000002</v>
      </c>
      <c r="O2195" s="12">
        <v>146.96</v>
      </c>
      <c r="P2195" s="14" t="s">
        <v>11600</v>
      </c>
      <c r="Q2195" s="14" t="s">
        <v>11600</v>
      </c>
      <c r="R2195" s="12">
        <v>10</v>
      </c>
    </row>
    <row r="2196" spans="1:18" ht="17" customHeight="1" x14ac:dyDescent="0.15">
      <c r="A2196" s="8" t="s">
        <v>11703</v>
      </c>
      <c r="B2196" s="9" t="s">
        <v>11704</v>
      </c>
      <c r="C2196" s="8" t="s">
        <v>11705</v>
      </c>
      <c r="D2196" s="8" t="s">
        <v>11705</v>
      </c>
      <c r="E2196" s="8" t="s">
        <v>11706</v>
      </c>
      <c r="F2196" s="8" t="s">
        <v>11605</v>
      </c>
      <c r="G2196" s="8" t="s">
        <v>11644</v>
      </c>
      <c r="H2196" s="8" t="s">
        <v>11631</v>
      </c>
      <c r="I2196" s="8" t="str">
        <f>HYPERLINK("http://www.clori.net/","www.clori.net")</f>
        <v>www.clori.net</v>
      </c>
      <c r="J2196" s="10">
        <v>2265.0210000000002</v>
      </c>
      <c r="K2196" s="10">
        <v>2265.0210000000002</v>
      </c>
      <c r="L2196" s="10">
        <v>2048.788</v>
      </c>
      <c r="M2196" s="10">
        <v>106.175</v>
      </c>
      <c r="N2196" s="10">
        <v>106.175</v>
      </c>
      <c r="O2196" s="10">
        <v>47.015000000000001</v>
      </c>
      <c r="P2196" s="10">
        <v>17</v>
      </c>
      <c r="Q2196" s="10">
        <v>17</v>
      </c>
      <c r="R2196" s="10">
        <v>15</v>
      </c>
    </row>
    <row r="2197" spans="1:18" ht="29.5" customHeight="1" x14ac:dyDescent="0.15">
      <c r="A2197" s="11" t="s">
        <v>11707</v>
      </c>
      <c r="B2197" s="1" t="s">
        <v>11708</v>
      </c>
      <c r="C2197" s="11" t="s">
        <v>11709</v>
      </c>
      <c r="D2197" s="11" t="s">
        <v>11709</v>
      </c>
      <c r="E2197" s="11" t="s">
        <v>11710</v>
      </c>
      <c r="F2197" s="11" t="s">
        <v>11711</v>
      </c>
      <c r="G2197" s="11" t="s">
        <v>11712</v>
      </c>
      <c r="H2197" s="11" t="s">
        <v>11599</v>
      </c>
      <c r="I2197" s="11" t="str">
        <f>HYPERLINK("http://www.nellosanti.it/","www.nellosanti.it")</f>
        <v>www.nellosanti.it</v>
      </c>
      <c r="J2197" s="12">
        <v>1904.65</v>
      </c>
      <c r="K2197" s="12">
        <v>1904.65</v>
      </c>
      <c r="L2197" s="13">
        <v>2048.6439999999998</v>
      </c>
      <c r="M2197" s="12">
        <v>1.506</v>
      </c>
      <c r="N2197" s="12">
        <v>1.506</v>
      </c>
      <c r="O2197" s="12">
        <v>24.321000000000002</v>
      </c>
      <c r="P2197" s="12">
        <v>7</v>
      </c>
      <c r="Q2197" s="12">
        <v>7</v>
      </c>
      <c r="R2197" s="12">
        <v>11</v>
      </c>
    </row>
    <row r="2198" spans="1:18" ht="17" customHeight="1" x14ac:dyDescent="0.15">
      <c r="A2198" s="8" t="s">
        <v>11713</v>
      </c>
      <c r="B2198" s="9" t="s">
        <v>11714</v>
      </c>
      <c r="C2198" s="8" t="s">
        <v>11715</v>
      </c>
      <c r="D2198" s="8" t="s">
        <v>11715</v>
      </c>
      <c r="E2198" s="8" t="s">
        <v>11716</v>
      </c>
      <c r="F2198" s="8" t="s">
        <v>11629</v>
      </c>
      <c r="G2198" s="8" t="s">
        <v>11717</v>
      </c>
      <c r="H2198" s="8" t="s">
        <v>11638</v>
      </c>
      <c r="I2198" s="8" t="str">
        <f>HYPERLINK("http://www.florens.it/","www.florens.it")</f>
        <v>www.florens.it</v>
      </c>
      <c r="J2198" s="10">
        <v>1856.425</v>
      </c>
      <c r="K2198" s="10">
        <v>1856.425</v>
      </c>
      <c r="L2198" s="10">
        <v>2046.8869999999999</v>
      </c>
      <c r="M2198" s="10">
        <v>30.789000000000001</v>
      </c>
      <c r="N2198" s="10">
        <v>30.789000000000001</v>
      </c>
      <c r="O2198" s="10">
        <v>32.768000000000001</v>
      </c>
      <c r="P2198" s="15" t="s">
        <v>11600</v>
      </c>
      <c r="Q2198" s="15" t="s">
        <v>11600</v>
      </c>
      <c r="R2198" s="10">
        <v>18</v>
      </c>
    </row>
    <row r="2199" spans="1:18" ht="29.5" customHeight="1" x14ac:dyDescent="0.15">
      <c r="A2199" s="11" t="s">
        <v>11718</v>
      </c>
      <c r="B2199" s="1" t="s">
        <v>11719</v>
      </c>
      <c r="C2199" s="11" t="s">
        <v>11720</v>
      </c>
      <c r="D2199" s="11" t="s">
        <v>11720</v>
      </c>
      <c r="E2199" s="11" t="s">
        <v>11721</v>
      </c>
      <c r="F2199" s="11" t="s">
        <v>11597</v>
      </c>
      <c r="G2199" s="11" t="s">
        <v>11637</v>
      </c>
      <c r="H2199" s="11" t="s">
        <v>11638</v>
      </c>
      <c r="I2199" s="11" t="str">
        <f>HYPERLINK("http://www.maglificiopamira.it/","www.maglificiopamira.it")</f>
        <v>www.maglificiopamira.it</v>
      </c>
      <c r="J2199" s="12">
        <v>1790.461</v>
      </c>
      <c r="K2199" s="12">
        <v>1790.461</v>
      </c>
      <c r="L2199" s="13">
        <v>2037.826</v>
      </c>
      <c r="M2199" s="12">
        <v>87.406999999999996</v>
      </c>
      <c r="N2199" s="12">
        <v>87.406999999999996</v>
      </c>
      <c r="O2199" s="12">
        <v>134.91300000000001</v>
      </c>
      <c r="P2199" s="12">
        <v>19</v>
      </c>
      <c r="Q2199" s="12">
        <v>19</v>
      </c>
      <c r="R2199" s="12">
        <v>18</v>
      </c>
    </row>
    <row r="2200" spans="1:18" ht="17" customHeight="1" x14ac:dyDescent="0.15">
      <c r="A2200" s="8" t="s">
        <v>11722</v>
      </c>
      <c r="B2200" s="9" t="s">
        <v>11723</v>
      </c>
      <c r="C2200" s="8" t="s">
        <v>11724</v>
      </c>
      <c r="D2200" s="8" t="s">
        <v>11724</v>
      </c>
      <c r="E2200" s="8" t="s">
        <v>11725</v>
      </c>
      <c r="F2200" s="8" t="s">
        <v>11643</v>
      </c>
      <c r="G2200" s="8" t="s">
        <v>11726</v>
      </c>
      <c r="H2200" s="8" t="s">
        <v>11638</v>
      </c>
      <c r="I2200" s="8" t="str">
        <f>HYPERLINK("http://seafarer.com/","seafarer.com")</f>
        <v>seafarer.com</v>
      </c>
      <c r="J2200" s="10">
        <v>3049.8969999999999</v>
      </c>
      <c r="K2200" s="10">
        <v>3049.8969999999999</v>
      </c>
      <c r="L2200" s="10">
        <v>2037.3340000000001</v>
      </c>
      <c r="M2200" s="10">
        <v>-593.68399999999997</v>
      </c>
      <c r="N2200" s="10">
        <v>-593.68399999999997</v>
      </c>
      <c r="O2200" s="10">
        <v>-603.67999999999995</v>
      </c>
      <c r="P2200" s="15" t="s">
        <v>11600</v>
      </c>
      <c r="Q2200" s="15" t="s">
        <v>11600</v>
      </c>
      <c r="R2200" s="10">
        <v>4</v>
      </c>
    </row>
    <row r="2201" spans="1:18" ht="17" customHeight="1" x14ac:dyDescent="0.15">
      <c r="A2201" s="11" t="s">
        <v>11727</v>
      </c>
      <c r="B2201" s="1" t="s">
        <v>11728</v>
      </c>
      <c r="C2201" s="11" t="s">
        <v>11729</v>
      </c>
      <c r="D2201" s="11" t="s">
        <v>11729</v>
      </c>
      <c r="E2201" s="11" t="s">
        <v>11730</v>
      </c>
      <c r="F2201" s="11" t="s">
        <v>11629</v>
      </c>
      <c r="G2201" s="11" t="s">
        <v>11679</v>
      </c>
      <c r="H2201" s="11" t="s">
        <v>11662</v>
      </c>
      <c r="I2201" s="11" t="str">
        <f>HYPERLINK("http://shoescia.byoutique.com/","shoescia.byoutique.com")</f>
        <v>shoescia.byoutique.com</v>
      </c>
      <c r="J2201" s="12">
        <v>2037.299</v>
      </c>
      <c r="K2201" s="14" t="s">
        <v>11600</v>
      </c>
      <c r="L2201" s="13">
        <v>2037.299</v>
      </c>
      <c r="M2201" s="12">
        <v>34.786000000000001</v>
      </c>
      <c r="N2201" s="14" t="s">
        <v>11600</v>
      </c>
      <c r="O2201" s="12">
        <v>34.786000000000001</v>
      </c>
      <c r="P2201" s="12">
        <v>15</v>
      </c>
      <c r="Q2201" s="14" t="s">
        <v>11600</v>
      </c>
      <c r="R2201" s="12">
        <v>15</v>
      </c>
    </row>
    <row r="2202" spans="1:18" ht="17" customHeight="1" x14ac:dyDescent="0.15">
      <c r="A2202" s="8" t="s">
        <v>11731</v>
      </c>
      <c r="B2202" s="9" t="s">
        <v>11732</v>
      </c>
      <c r="C2202" s="8" t="s">
        <v>11733</v>
      </c>
      <c r="D2202" s="8" t="s">
        <v>11733</v>
      </c>
      <c r="E2202" s="8" t="s">
        <v>11734</v>
      </c>
      <c r="F2202" s="8" t="s">
        <v>11660</v>
      </c>
      <c r="G2202" s="8" t="s">
        <v>11684</v>
      </c>
      <c r="H2202" s="8" t="s">
        <v>11599</v>
      </c>
      <c r="I2202" s="8" t="str">
        <f>HYPERLINK("http://www.jrwmfashion.com/","www.jrwmfashion.com")</f>
        <v>www.jrwmfashion.com</v>
      </c>
      <c r="J2202" s="10">
        <v>2752.9969999999998</v>
      </c>
      <c r="K2202" s="10">
        <v>2752.9969999999998</v>
      </c>
      <c r="L2202" s="10">
        <v>2036.6559999999999</v>
      </c>
      <c r="M2202" s="10">
        <v>69.962000000000003</v>
      </c>
      <c r="N2202" s="10">
        <v>69.962000000000003</v>
      </c>
      <c r="O2202" s="10">
        <v>32.802999999999997</v>
      </c>
      <c r="P2202" s="10">
        <v>7</v>
      </c>
      <c r="Q2202" s="10">
        <v>7</v>
      </c>
      <c r="R2202" s="10">
        <v>9</v>
      </c>
    </row>
    <row r="2203" spans="1:18" ht="29.5" customHeight="1" x14ac:dyDescent="0.15">
      <c r="A2203" s="11" t="s">
        <v>11735</v>
      </c>
      <c r="B2203" s="1" t="s">
        <v>11736</v>
      </c>
      <c r="C2203" s="11" t="s">
        <v>11737</v>
      </c>
      <c r="D2203" s="11" t="s">
        <v>11737</v>
      </c>
      <c r="E2203" s="11" t="s">
        <v>11738</v>
      </c>
      <c r="F2203" s="11" t="s">
        <v>11629</v>
      </c>
      <c r="G2203" s="11" t="s">
        <v>11739</v>
      </c>
      <c r="H2203" s="11" t="s">
        <v>11631</v>
      </c>
      <c r="I2203" s="11" t="str">
        <f>HYPERLINK("http://www.favarofloriano.com/","www.favarofloriano.com")</f>
        <v>www.favarofloriano.com</v>
      </c>
      <c r="J2203" s="12">
        <v>3612.538</v>
      </c>
      <c r="K2203" s="12">
        <v>3246.5410000000002</v>
      </c>
      <c r="L2203" s="13">
        <v>2036.471</v>
      </c>
      <c r="M2203" s="12">
        <v>386.363</v>
      </c>
      <c r="N2203" s="12">
        <v>399.29899999999998</v>
      </c>
      <c r="O2203" s="12">
        <v>38.494</v>
      </c>
      <c r="P2203" s="12">
        <v>29</v>
      </c>
      <c r="Q2203" s="12">
        <v>31</v>
      </c>
      <c r="R2203" s="12">
        <v>21</v>
      </c>
    </row>
    <row r="2204" spans="1:18" ht="17" customHeight="1" x14ac:dyDescent="0.15">
      <c r="A2204" s="8" t="s">
        <v>11740</v>
      </c>
      <c r="B2204" s="9" t="s">
        <v>11741</v>
      </c>
      <c r="C2204" s="8" t="s">
        <v>11742</v>
      </c>
      <c r="D2204" s="8" t="s">
        <v>11742</v>
      </c>
      <c r="E2204" s="8" t="s">
        <v>11743</v>
      </c>
      <c r="F2204" s="8" t="s">
        <v>11629</v>
      </c>
      <c r="G2204" s="8" t="s">
        <v>11744</v>
      </c>
      <c r="H2204" s="8" t="s">
        <v>11607</v>
      </c>
      <c r="I2204" s="8" t="str">
        <f>HYPERLINK("http://www.testoni-shop.com/","www.testoni-shop.com")</f>
        <v>www.testoni-shop.com</v>
      </c>
      <c r="J2204" s="10">
        <v>2035</v>
      </c>
      <c r="K2204" s="15" t="s">
        <v>11600</v>
      </c>
      <c r="L2204" s="10">
        <v>2035</v>
      </c>
      <c r="M2204" s="10">
        <v>-3297</v>
      </c>
      <c r="N2204" s="15" t="s">
        <v>11600</v>
      </c>
      <c r="O2204" s="10">
        <v>-3297</v>
      </c>
      <c r="P2204" s="10">
        <v>70</v>
      </c>
      <c r="Q2204" s="15" t="s">
        <v>11600</v>
      </c>
      <c r="R2204" s="10">
        <v>70</v>
      </c>
    </row>
    <row r="2205" spans="1:18" ht="17" customHeight="1" x14ac:dyDescent="0.15">
      <c r="A2205" s="11" t="s">
        <v>11745</v>
      </c>
      <c r="B2205" s="1" t="s">
        <v>11746</v>
      </c>
      <c r="C2205" s="11" t="s">
        <v>11747</v>
      </c>
      <c r="D2205" s="11" t="s">
        <v>11747</v>
      </c>
      <c r="E2205" s="11" t="s">
        <v>11748</v>
      </c>
      <c r="F2205" s="11" t="s">
        <v>11660</v>
      </c>
      <c r="G2205" s="11" t="s">
        <v>11749</v>
      </c>
      <c r="H2205" s="11" t="s">
        <v>11698</v>
      </c>
      <c r="I2205" s="11" t="str">
        <f>HYPERLINK("http://www.italianmodadesign.it/","www.italianmodadesign.it")</f>
        <v>www.italianmodadesign.it</v>
      </c>
      <c r="J2205" s="12">
        <v>2027.499</v>
      </c>
      <c r="K2205" s="12">
        <v>2027.499</v>
      </c>
      <c r="L2205" s="13">
        <v>2034.9580000000001</v>
      </c>
      <c r="M2205" s="12">
        <v>7.4340000000000002</v>
      </c>
      <c r="N2205" s="12">
        <v>7.4340000000000002</v>
      </c>
      <c r="O2205" s="12">
        <v>38.704999999999998</v>
      </c>
      <c r="P2205" s="14" t="s">
        <v>11600</v>
      </c>
      <c r="Q2205" s="14" t="s">
        <v>11600</v>
      </c>
      <c r="R2205" s="12">
        <v>16</v>
      </c>
    </row>
    <row r="2206" spans="1:18" ht="17" customHeight="1" x14ac:dyDescent="0.15">
      <c r="A2206" s="8" t="s">
        <v>11750</v>
      </c>
      <c r="B2206" s="9" t="s">
        <v>11751</v>
      </c>
      <c r="C2206" s="8" t="s">
        <v>11752</v>
      </c>
      <c r="D2206" s="8" t="s">
        <v>11752</v>
      </c>
      <c r="E2206" s="8" t="s">
        <v>11753</v>
      </c>
      <c r="F2206" s="8" t="s">
        <v>11667</v>
      </c>
      <c r="G2206" s="8" t="s">
        <v>11754</v>
      </c>
      <c r="H2206" s="8" t="s">
        <v>11638</v>
      </c>
      <c r="I2206" s="8" t="str">
        <f>HYPERLINK("http://www.deniafashion.com/","www.deniafashion.com")</f>
        <v>www.deniafashion.com</v>
      </c>
      <c r="J2206" s="10">
        <v>1877.8910000000001</v>
      </c>
      <c r="K2206" s="10">
        <v>1877.8910000000001</v>
      </c>
      <c r="L2206" s="10">
        <v>2032.9469999999999</v>
      </c>
      <c r="M2206" s="10">
        <v>18.318000000000001</v>
      </c>
      <c r="N2206" s="10">
        <v>18.318000000000001</v>
      </c>
      <c r="O2206" s="10">
        <v>32.823</v>
      </c>
      <c r="P2206" s="15" t="s">
        <v>11600</v>
      </c>
      <c r="Q2206" s="15" t="s">
        <v>11600</v>
      </c>
      <c r="R2206" s="10">
        <v>13</v>
      </c>
    </row>
    <row r="2207" spans="1:18" ht="17" customHeight="1" x14ac:dyDescent="0.15">
      <c r="A2207" s="11" t="s">
        <v>11755</v>
      </c>
      <c r="B2207" s="1" t="s">
        <v>11756</v>
      </c>
      <c r="C2207" s="11" t="s">
        <v>11757</v>
      </c>
      <c r="D2207" s="11" t="s">
        <v>11758</v>
      </c>
      <c r="E2207" s="11" t="s">
        <v>11759</v>
      </c>
      <c r="F2207" s="11" t="s">
        <v>11760</v>
      </c>
      <c r="G2207" s="11" t="s">
        <v>11630</v>
      </c>
      <c r="H2207" s="11" t="s">
        <v>11631</v>
      </c>
      <c r="I2207" s="11" t="str">
        <f>HYPERLINK("http://www.calzificiocld.com/","www.calzificiocld.com")</f>
        <v>www.calzificiocld.com</v>
      </c>
      <c r="J2207" s="12">
        <v>1990.413</v>
      </c>
      <c r="K2207" s="12">
        <v>1990.413</v>
      </c>
      <c r="L2207" s="13">
        <v>2028.7139999999999</v>
      </c>
      <c r="M2207" s="12">
        <v>48.286000000000001</v>
      </c>
      <c r="N2207" s="12">
        <v>48.286000000000001</v>
      </c>
      <c r="O2207" s="12">
        <v>46.704999999999998</v>
      </c>
      <c r="P2207" s="12">
        <v>12</v>
      </c>
      <c r="Q2207" s="12">
        <v>12</v>
      </c>
      <c r="R2207" s="12">
        <v>13</v>
      </c>
    </row>
    <row r="2208" spans="1:18" ht="17" customHeight="1" x14ac:dyDescent="0.15">
      <c r="A2208" s="8" t="s">
        <v>11761</v>
      </c>
      <c r="B2208" s="9" t="s">
        <v>11762</v>
      </c>
      <c r="C2208" s="8" t="s">
        <v>11763</v>
      </c>
      <c r="D2208" s="8" t="s">
        <v>11763</v>
      </c>
      <c r="E2208" s="8" t="s">
        <v>11764</v>
      </c>
      <c r="F2208" s="8" t="s">
        <v>11623</v>
      </c>
      <c r="G2208" s="8" t="s">
        <v>11765</v>
      </c>
      <c r="H2208" s="8" t="s">
        <v>11607</v>
      </c>
      <c r="I2208" s="8" t="str">
        <f>HYPERLINK("http://www.estemporaneamadeinitaly.com/","www.estemporaneamadeinitaly.com")</f>
        <v>www.estemporaneamadeinitaly.com</v>
      </c>
      <c r="J2208" s="10">
        <v>2027.1210000000001</v>
      </c>
      <c r="K2208" s="15" t="s">
        <v>11600</v>
      </c>
      <c r="L2208" s="10">
        <v>2027.1210000000001</v>
      </c>
      <c r="M2208" s="10">
        <v>3.5059999999999998</v>
      </c>
      <c r="N2208" s="15" t="s">
        <v>11600</v>
      </c>
      <c r="O2208" s="10">
        <v>3.5059999999999998</v>
      </c>
      <c r="P2208" s="10">
        <v>11</v>
      </c>
      <c r="Q2208" s="15" t="s">
        <v>11600</v>
      </c>
      <c r="R2208" s="10">
        <v>11</v>
      </c>
    </row>
    <row r="2209" spans="1:18" ht="17" customHeight="1" x14ac:dyDescent="0.15">
      <c r="A2209" s="11" t="s">
        <v>11766</v>
      </c>
      <c r="B2209" s="1" t="s">
        <v>11767</v>
      </c>
      <c r="C2209" s="11" t="s">
        <v>11768</v>
      </c>
      <c r="D2209" s="11" t="s">
        <v>11769</v>
      </c>
      <c r="E2209" s="11" t="s">
        <v>11770</v>
      </c>
      <c r="F2209" s="11" t="s">
        <v>11771</v>
      </c>
      <c r="G2209" s="11" t="s">
        <v>11772</v>
      </c>
      <c r="H2209" s="11" t="s">
        <v>11773</v>
      </c>
      <c r="I2209" s="11" t="str">
        <f>HYPERLINK("http://www.bottonificiolozio.it/","www.bottonificiolozio.it")</f>
        <v>www.bottonificiolozio.it</v>
      </c>
      <c r="J2209" s="12">
        <v>1500.79</v>
      </c>
      <c r="K2209" s="12">
        <v>1500.79</v>
      </c>
      <c r="L2209" s="13">
        <v>2025.902</v>
      </c>
      <c r="M2209" s="12">
        <v>4.0460000000000003</v>
      </c>
      <c r="N2209" s="12">
        <v>4.0460000000000003</v>
      </c>
      <c r="O2209" s="12">
        <v>3.125</v>
      </c>
      <c r="P2209" s="12">
        <v>2</v>
      </c>
      <c r="Q2209" s="12">
        <v>2</v>
      </c>
      <c r="R2209" s="12">
        <v>2</v>
      </c>
    </row>
    <row r="2210" spans="1:18" ht="29.5" customHeight="1" x14ac:dyDescent="0.15">
      <c r="A2210" s="8" t="s">
        <v>11774</v>
      </c>
      <c r="B2210" s="9" t="s">
        <v>11775</v>
      </c>
      <c r="C2210" s="8" t="s">
        <v>11776</v>
      </c>
      <c r="D2210" s="8" t="s">
        <v>11776</v>
      </c>
      <c r="E2210" s="8" t="s">
        <v>11777</v>
      </c>
      <c r="F2210" s="8" t="s">
        <v>11778</v>
      </c>
      <c r="G2210" s="8" t="s">
        <v>11779</v>
      </c>
      <c r="H2210" s="8" t="s">
        <v>11773</v>
      </c>
      <c r="I2210" s="8" t="str">
        <f>HYPERLINK("http://www.calzificiogenny.it/","www.calzificiogenny.it")</f>
        <v>www.calzificiogenny.it</v>
      </c>
      <c r="J2210" s="10">
        <v>2565.0349999999999</v>
      </c>
      <c r="K2210" s="10">
        <v>2565.0349999999999</v>
      </c>
      <c r="L2210" s="10">
        <v>2024.723</v>
      </c>
      <c r="M2210" s="10">
        <v>187.83199999999999</v>
      </c>
      <c r="N2210" s="10">
        <v>187.83199999999999</v>
      </c>
      <c r="O2210" s="10">
        <v>-152.423</v>
      </c>
      <c r="P2210" s="10">
        <v>7</v>
      </c>
      <c r="Q2210" s="10">
        <v>7</v>
      </c>
      <c r="R2210" s="10">
        <v>8</v>
      </c>
    </row>
    <row r="2211" spans="1:18" ht="17" customHeight="1" x14ac:dyDescent="0.15">
      <c r="A2211" s="11" t="s">
        <v>11780</v>
      </c>
      <c r="B2211" s="1" t="s">
        <v>11781</v>
      </c>
      <c r="C2211" s="11" t="s">
        <v>11782</v>
      </c>
      <c r="D2211" s="11" t="s">
        <v>11782</v>
      </c>
      <c r="E2211" s="11" t="s">
        <v>11783</v>
      </c>
      <c r="F2211" s="11" t="s">
        <v>11784</v>
      </c>
      <c r="G2211" s="11" t="s">
        <v>11785</v>
      </c>
      <c r="H2211" s="11" t="s">
        <v>11786</v>
      </c>
      <c r="I2211" s="11" t="str">
        <f>HYPERLINK("http://www.amalfibyrangoni.it/","www.amalfibyrangoni.it")</f>
        <v>www.amalfibyrangoni.it</v>
      </c>
      <c r="J2211" s="12">
        <v>1811.798</v>
      </c>
      <c r="K2211" s="12">
        <v>1811.798</v>
      </c>
      <c r="L2211" s="13">
        <v>2024.501</v>
      </c>
      <c r="M2211" s="12">
        <v>-496.279</v>
      </c>
      <c r="N2211" s="12">
        <v>-496.279</v>
      </c>
      <c r="O2211" s="12">
        <v>-406.68200000000002</v>
      </c>
      <c r="P2211" s="12">
        <v>16</v>
      </c>
      <c r="Q2211" s="12">
        <v>16</v>
      </c>
      <c r="R2211" s="12">
        <v>15</v>
      </c>
    </row>
    <row r="2212" spans="1:18" ht="29.5" customHeight="1" x14ac:dyDescent="0.15">
      <c r="A2212" s="8" t="s">
        <v>11787</v>
      </c>
      <c r="B2212" s="9" t="s">
        <v>11788</v>
      </c>
      <c r="C2212" s="8" t="s">
        <v>11789</v>
      </c>
      <c r="D2212" s="8" t="s">
        <v>11789</v>
      </c>
      <c r="E2212" s="8" t="s">
        <v>11790</v>
      </c>
      <c r="F2212" s="8" t="s">
        <v>11791</v>
      </c>
      <c r="G2212" s="8" t="s">
        <v>11792</v>
      </c>
      <c r="H2212" s="8" t="s">
        <v>11793</v>
      </c>
      <c r="I2212" s="8" t="str">
        <f>HYPERLINK("http://www.solettificioromas.it/","www.solettificioromas.it")</f>
        <v>www.solettificioromas.it</v>
      </c>
      <c r="J2212" s="10">
        <v>2367.998</v>
      </c>
      <c r="K2212" s="10">
        <v>2367.998</v>
      </c>
      <c r="L2212" s="10">
        <v>2015.8920000000001</v>
      </c>
      <c r="M2212" s="10">
        <v>294.31200000000001</v>
      </c>
      <c r="N2212" s="10">
        <v>294.31200000000001</v>
      </c>
      <c r="O2212" s="10">
        <v>215.09700000000001</v>
      </c>
      <c r="P2212" s="10">
        <v>13</v>
      </c>
      <c r="Q2212" s="10">
        <v>13</v>
      </c>
      <c r="R2212" s="10">
        <v>10</v>
      </c>
    </row>
    <row r="2213" spans="1:18" ht="17" customHeight="1" x14ac:dyDescent="0.15">
      <c r="A2213" s="11" t="s">
        <v>11794</v>
      </c>
      <c r="B2213" s="1" t="s">
        <v>11795</v>
      </c>
      <c r="C2213" s="11" t="s">
        <v>11796</v>
      </c>
      <c r="D2213" s="11" t="s">
        <v>11796</v>
      </c>
      <c r="E2213" s="11" t="s">
        <v>11797</v>
      </c>
      <c r="F2213" s="11" t="s">
        <v>11798</v>
      </c>
      <c r="G2213" s="11" t="s">
        <v>11799</v>
      </c>
      <c r="H2213" s="11" t="s">
        <v>11800</v>
      </c>
      <c r="I2213" s="11" t="str">
        <f>HYPERLINK("http://www.quarta.it/","www.quarta.it/")</f>
        <v>www.quarta.it/</v>
      </c>
      <c r="J2213" s="12">
        <v>2426.9360000000001</v>
      </c>
      <c r="K2213" s="12">
        <v>2426.9360000000001</v>
      </c>
      <c r="L2213" s="13">
        <v>2015.653</v>
      </c>
      <c r="M2213" s="12">
        <v>11.111000000000001</v>
      </c>
      <c r="N2213" s="12">
        <v>11.111000000000001</v>
      </c>
      <c r="O2213" s="12">
        <v>67.799000000000007</v>
      </c>
      <c r="P2213" s="12">
        <v>7</v>
      </c>
      <c r="Q2213" s="12">
        <v>7</v>
      </c>
      <c r="R2213" s="12">
        <v>5</v>
      </c>
    </row>
    <row r="2214" spans="1:18" ht="43" customHeight="1" x14ac:dyDescent="0.15">
      <c r="A2214" s="8" t="s">
        <v>11801</v>
      </c>
      <c r="B2214" s="9" t="s">
        <v>11802</v>
      </c>
      <c r="C2214" s="8" t="s">
        <v>11803</v>
      </c>
      <c r="D2214" s="8" t="s">
        <v>11803</v>
      </c>
      <c r="E2214" s="8" t="s">
        <v>11804</v>
      </c>
      <c r="F2214" s="8" t="s">
        <v>11798</v>
      </c>
      <c r="G2214" s="8" t="s">
        <v>11805</v>
      </c>
      <c r="H2214" s="8" t="s">
        <v>11806</v>
      </c>
      <c r="I2214" s="8" t="str">
        <f>HYPERLINK("http://shop.exigo.it/","shop.exigo.it")</f>
        <v>shop.exigo.it</v>
      </c>
      <c r="J2214" s="10">
        <v>2185.4169999999999</v>
      </c>
      <c r="K2214" s="10">
        <v>2185.4169999999999</v>
      </c>
      <c r="L2214" s="10">
        <v>2013.3869999999999</v>
      </c>
      <c r="M2214" s="10">
        <v>29.073</v>
      </c>
      <c r="N2214" s="10">
        <v>29.073</v>
      </c>
      <c r="O2214" s="10">
        <v>1.194</v>
      </c>
      <c r="P2214" s="10">
        <v>4</v>
      </c>
      <c r="Q2214" s="10">
        <v>4</v>
      </c>
      <c r="R2214" s="10">
        <v>3</v>
      </c>
    </row>
    <row r="2215" spans="1:18" ht="17" customHeight="1" x14ac:dyDescent="0.15">
      <c r="A2215" s="11" t="s">
        <v>11807</v>
      </c>
      <c r="B2215" s="1" t="s">
        <v>11808</v>
      </c>
      <c r="C2215" s="11" t="s">
        <v>11809</v>
      </c>
      <c r="D2215" s="11" t="s">
        <v>11809</v>
      </c>
      <c r="E2215" s="11" t="s">
        <v>11810</v>
      </c>
      <c r="F2215" s="11" t="s">
        <v>11784</v>
      </c>
      <c r="G2215" s="11" t="s">
        <v>11805</v>
      </c>
      <c r="H2215" s="11" t="s">
        <v>11806</v>
      </c>
      <c r="I2215" s="11" t="str">
        <f>HYPERLINK("http://oxitalyshoes.com/","oxitalyshoes.com")</f>
        <v>oxitalyshoes.com</v>
      </c>
      <c r="J2215" s="12">
        <v>1505.614</v>
      </c>
      <c r="K2215" s="12">
        <v>1505.614</v>
      </c>
      <c r="L2215" s="13">
        <v>2012.8209999999999</v>
      </c>
      <c r="M2215" s="12">
        <v>-626.00699999999995</v>
      </c>
      <c r="N2215" s="12">
        <v>-626.00699999999995</v>
      </c>
      <c r="O2215" s="12">
        <v>80.19</v>
      </c>
      <c r="P2215" s="14" t="s">
        <v>11811</v>
      </c>
      <c r="Q2215" s="14" t="s">
        <v>11811</v>
      </c>
      <c r="R2215" s="12">
        <v>4</v>
      </c>
    </row>
    <row r="2216" spans="1:18" ht="17" customHeight="1" x14ac:dyDescent="0.15">
      <c r="A2216" s="8" t="s">
        <v>11812</v>
      </c>
      <c r="B2216" s="9" t="s">
        <v>11813</v>
      </c>
      <c r="C2216" s="8" t="s">
        <v>11814</v>
      </c>
      <c r="D2216" s="8" t="s">
        <v>11814</v>
      </c>
      <c r="E2216" s="8" t="s">
        <v>11815</v>
      </c>
      <c r="F2216" s="8" t="s">
        <v>11784</v>
      </c>
      <c r="G2216" s="8" t="s">
        <v>11816</v>
      </c>
      <c r="H2216" s="8" t="s">
        <v>11800</v>
      </c>
      <c r="I2216" s="8" t="str">
        <f>HYPERLINK("http://www.facit.it/","www.facit.it")</f>
        <v>www.facit.it</v>
      </c>
      <c r="J2216" s="10">
        <v>3290.8510000000001</v>
      </c>
      <c r="K2216" s="10">
        <v>3290.8510000000001</v>
      </c>
      <c r="L2216" s="10">
        <v>2011.5319999999999</v>
      </c>
      <c r="M2216" s="10">
        <v>143.92699999999999</v>
      </c>
      <c r="N2216" s="10">
        <v>143.92699999999999</v>
      </c>
      <c r="O2216" s="10">
        <v>158.92500000000001</v>
      </c>
      <c r="P2216" s="10">
        <v>23</v>
      </c>
      <c r="Q2216" s="10">
        <v>23</v>
      </c>
      <c r="R2216" s="10">
        <v>26</v>
      </c>
    </row>
    <row r="2217" spans="1:18" ht="17" customHeight="1" x14ac:dyDescent="0.15">
      <c r="A2217" s="11" t="s">
        <v>11817</v>
      </c>
      <c r="B2217" s="1" t="s">
        <v>11818</v>
      </c>
      <c r="C2217" s="11" t="s">
        <v>11819</v>
      </c>
      <c r="D2217" s="11" t="s">
        <v>11819</v>
      </c>
      <c r="E2217" s="11" t="s">
        <v>11820</v>
      </c>
      <c r="F2217" s="11" t="s">
        <v>11784</v>
      </c>
      <c r="G2217" s="11" t="s">
        <v>11792</v>
      </c>
      <c r="H2217" s="11" t="s">
        <v>11793</v>
      </c>
      <c r="I2217" s="11" t="str">
        <f>HYPERLINK("http://www.thaissrl.com/","www.thaissrl.com")</f>
        <v>www.thaissrl.com</v>
      </c>
      <c r="J2217" s="12">
        <v>2363.4690000000001</v>
      </c>
      <c r="K2217" s="12">
        <v>2363.4690000000001</v>
      </c>
      <c r="L2217" s="13">
        <v>2010.433</v>
      </c>
      <c r="M2217" s="12">
        <v>55.363</v>
      </c>
      <c r="N2217" s="12">
        <v>55.363</v>
      </c>
      <c r="O2217" s="12">
        <v>3.46</v>
      </c>
      <c r="P2217" s="12">
        <v>18</v>
      </c>
      <c r="Q2217" s="12">
        <v>18</v>
      </c>
      <c r="R2217" s="12">
        <v>20</v>
      </c>
    </row>
    <row r="2218" spans="1:18" ht="55.75" customHeight="1" x14ac:dyDescent="0.15">
      <c r="A2218" s="8" t="s">
        <v>11821</v>
      </c>
      <c r="B2218" s="9" t="s">
        <v>11822</v>
      </c>
      <c r="C2218" s="8" t="s">
        <v>11823</v>
      </c>
      <c r="D2218" s="8" t="s">
        <v>11823</v>
      </c>
      <c r="E2218" s="8" t="s">
        <v>11824</v>
      </c>
      <c r="F2218" s="8" t="s">
        <v>11784</v>
      </c>
      <c r="G2218" s="8" t="s">
        <v>11805</v>
      </c>
      <c r="H2218" s="8" t="s">
        <v>11806</v>
      </c>
      <c r="I2218" s="8" t="str">
        <f>HYPERLINK("http://www.history541.com/","www.history541.com")</f>
        <v>www.history541.com</v>
      </c>
      <c r="J2218" s="10">
        <v>2632.498</v>
      </c>
      <c r="K2218" s="10">
        <v>2632.498</v>
      </c>
      <c r="L2218" s="10">
        <v>2009.058</v>
      </c>
      <c r="M2218" s="10">
        <v>48.95</v>
      </c>
      <c r="N2218" s="10">
        <v>48.95</v>
      </c>
      <c r="O2218" s="10">
        <v>46.634999999999998</v>
      </c>
      <c r="P2218" s="15" t="s">
        <v>11811</v>
      </c>
      <c r="Q2218" s="15" t="s">
        <v>11811</v>
      </c>
      <c r="R2218" s="10">
        <v>22</v>
      </c>
    </row>
    <row r="2219" spans="1:18" ht="17" customHeight="1" x14ac:dyDescent="0.15">
      <c r="A2219" s="11" t="s">
        <v>11825</v>
      </c>
      <c r="B2219" s="1" t="s">
        <v>11826</v>
      </c>
      <c r="C2219" s="11" t="s">
        <v>11827</v>
      </c>
      <c r="D2219" s="11" t="s">
        <v>11827</v>
      </c>
      <c r="E2219" s="11" t="s">
        <v>11828</v>
      </c>
      <c r="F2219" s="11" t="s">
        <v>11829</v>
      </c>
      <c r="G2219" s="11" t="s">
        <v>11830</v>
      </c>
      <c r="H2219" s="11" t="s">
        <v>11831</v>
      </c>
      <c r="I2219" s="11" t="str">
        <f>HYPERLINK("http://www.artimisio.it/","www.artimisio.it")</f>
        <v>www.artimisio.it</v>
      </c>
      <c r="J2219" s="12">
        <v>2062.5309999999999</v>
      </c>
      <c r="K2219" s="12">
        <v>2062.5309999999999</v>
      </c>
      <c r="L2219" s="13">
        <v>2006.867</v>
      </c>
      <c r="M2219" s="12">
        <v>428.61200000000002</v>
      </c>
      <c r="N2219" s="12">
        <v>428.61200000000002</v>
      </c>
      <c r="O2219" s="12">
        <v>268.99599999999998</v>
      </c>
      <c r="P2219" s="14" t="s">
        <v>11811</v>
      </c>
      <c r="Q2219" s="14" t="s">
        <v>11811</v>
      </c>
      <c r="R2219" s="12">
        <v>19</v>
      </c>
    </row>
    <row r="2220" spans="1:18" ht="17" customHeight="1" x14ac:dyDescent="0.15">
      <c r="A2220" s="8" t="s">
        <v>11832</v>
      </c>
      <c r="B2220" s="9" t="s">
        <v>11833</v>
      </c>
      <c r="C2220" s="8" t="s">
        <v>11834</v>
      </c>
      <c r="D2220" s="8" t="s">
        <v>11834</v>
      </c>
      <c r="E2220" s="8" t="s">
        <v>11835</v>
      </c>
      <c r="F2220" s="8" t="s">
        <v>11771</v>
      </c>
      <c r="G2220" s="8" t="s">
        <v>11836</v>
      </c>
      <c r="H2220" s="8" t="s">
        <v>11773</v>
      </c>
      <c r="I2220" s="8" t="str">
        <f>HYPERLINK("http://www.elmasrlabbigliamento.it/","www.elmasrlabbigliamento.it")</f>
        <v>www.elmasrlabbigliamento.it</v>
      </c>
      <c r="J2220" s="10">
        <v>2089.998</v>
      </c>
      <c r="K2220" s="10">
        <v>2089.998</v>
      </c>
      <c r="L2220" s="10">
        <v>2006.4549999999999</v>
      </c>
      <c r="M2220" s="10">
        <v>4.0049999999999999</v>
      </c>
      <c r="N2220" s="10">
        <v>4.0049999999999999</v>
      </c>
      <c r="O2220" s="10">
        <v>5.0830000000000002</v>
      </c>
      <c r="P2220" s="15" t="s">
        <v>11811</v>
      </c>
      <c r="Q2220" s="15" t="s">
        <v>11811</v>
      </c>
      <c r="R2220" s="10">
        <v>10</v>
      </c>
    </row>
    <row r="2221" spans="1:18" ht="17" customHeight="1" x14ac:dyDescent="0.15">
      <c r="A2221" s="11" t="s">
        <v>11837</v>
      </c>
      <c r="B2221" s="1" t="s">
        <v>11838</v>
      </c>
      <c r="C2221" s="11" t="s">
        <v>11839</v>
      </c>
      <c r="D2221" s="11" t="s">
        <v>11839</v>
      </c>
      <c r="E2221" s="11" t="s">
        <v>11840</v>
      </c>
      <c r="F2221" s="11" t="s">
        <v>11841</v>
      </c>
      <c r="G2221" s="11" t="s">
        <v>11842</v>
      </c>
      <c r="H2221" s="11" t="s">
        <v>11843</v>
      </c>
      <c r="I2221" s="11" t="str">
        <f>HYPERLINK("http://www.pastelli.com/","www.pastelli.com")</f>
        <v>www.pastelli.com</v>
      </c>
      <c r="J2221" s="12">
        <v>2006.1</v>
      </c>
      <c r="K2221" s="14" t="s">
        <v>11811</v>
      </c>
      <c r="L2221" s="13">
        <v>2006.1</v>
      </c>
      <c r="M2221" s="12">
        <v>-11.055999999999999</v>
      </c>
      <c r="N2221" s="14" t="s">
        <v>11811</v>
      </c>
      <c r="O2221" s="12">
        <v>-11.055999999999999</v>
      </c>
      <c r="P2221" s="12">
        <v>15</v>
      </c>
      <c r="Q2221" s="14" t="s">
        <v>11811</v>
      </c>
      <c r="R2221" s="12">
        <v>15</v>
      </c>
    </row>
    <row r="2222" spans="1:18" ht="17" customHeight="1" x14ac:dyDescent="0.15">
      <c r="A2222" s="8" t="s">
        <v>11844</v>
      </c>
      <c r="B2222" s="9" t="s">
        <v>11845</v>
      </c>
      <c r="C2222" s="8" t="s">
        <v>11846</v>
      </c>
      <c r="D2222" s="8" t="s">
        <v>11846</v>
      </c>
      <c r="E2222" s="8" t="s">
        <v>11847</v>
      </c>
      <c r="F2222" s="8" t="s">
        <v>11784</v>
      </c>
      <c r="G2222" s="8" t="s">
        <v>11805</v>
      </c>
      <c r="H2222" s="8" t="s">
        <v>11806</v>
      </c>
      <c r="I2222" s="8" t="str">
        <f>HYPERLINK("http://jubileshoes.com/","jubileshoes.com")</f>
        <v>jubileshoes.com</v>
      </c>
      <c r="J2222" s="10">
        <v>2257.7840000000001</v>
      </c>
      <c r="K2222" s="10">
        <v>2257.7840000000001</v>
      </c>
      <c r="L2222" s="10">
        <v>2005.5889999999999</v>
      </c>
      <c r="M2222" s="10">
        <v>6.2889999999999997</v>
      </c>
      <c r="N2222" s="10">
        <v>6.2889999999999997</v>
      </c>
      <c r="O2222" s="10">
        <v>4.8490000000000002</v>
      </c>
      <c r="P2222" s="15" t="s">
        <v>11811</v>
      </c>
      <c r="Q2222" s="15" t="s">
        <v>11811</v>
      </c>
      <c r="R2222" s="10">
        <v>7</v>
      </c>
    </row>
    <row r="2223" spans="1:18" ht="29.5" customHeight="1" x14ac:dyDescent="0.15">
      <c r="A2223" s="11" t="s">
        <v>11848</v>
      </c>
      <c r="B2223" s="1" t="s">
        <v>11849</v>
      </c>
      <c r="C2223" s="11" t="s">
        <v>11850</v>
      </c>
      <c r="D2223" s="11" t="s">
        <v>11850</v>
      </c>
      <c r="E2223" s="11" t="s">
        <v>11851</v>
      </c>
      <c r="F2223" s="11" t="s">
        <v>11784</v>
      </c>
      <c r="G2223" s="11" t="s">
        <v>11792</v>
      </c>
      <c r="H2223" s="11" t="s">
        <v>11793</v>
      </c>
      <c r="I2223" s="11" t="str">
        <f>HYPERLINK("http://www.marinofabiani.it/","www.marinofabiani.it")</f>
        <v>www.marinofabiani.it</v>
      </c>
      <c r="J2223" s="12">
        <v>2324.654</v>
      </c>
      <c r="K2223" s="12">
        <v>2324.654</v>
      </c>
      <c r="L2223" s="13">
        <v>2004.192</v>
      </c>
      <c r="M2223" s="12">
        <v>4.3520000000000003</v>
      </c>
      <c r="N2223" s="12">
        <v>4.3520000000000003</v>
      </c>
      <c r="O2223" s="12">
        <v>11.454000000000001</v>
      </c>
      <c r="P2223" s="12">
        <v>18</v>
      </c>
      <c r="Q2223" s="12">
        <v>18</v>
      </c>
      <c r="R2223" s="12">
        <v>18</v>
      </c>
    </row>
    <row r="2224" spans="1:18" ht="17" customHeight="1" x14ac:dyDescent="0.15">
      <c r="A2224" s="8" t="s">
        <v>11852</v>
      </c>
      <c r="B2224" s="9" t="s">
        <v>11853</v>
      </c>
      <c r="C2224" s="8" t="s">
        <v>11854</v>
      </c>
      <c r="D2224" s="8" t="s">
        <v>11854</v>
      </c>
      <c r="E2224" s="8" t="s">
        <v>11855</v>
      </c>
      <c r="F2224" s="8" t="s">
        <v>11771</v>
      </c>
      <c r="G2224" s="8" t="s">
        <v>11772</v>
      </c>
      <c r="H2224" s="8" t="s">
        <v>11773</v>
      </c>
      <c r="I2224" s="8" t="str">
        <f>HYPERLINK("http://www.rubamorimilano.it/","www.rubamorimilano.it")</f>
        <v>www.rubamorimilano.it</v>
      </c>
      <c r="J2224" s="10">
        <v>2137.9450000000002</v>
      </c>
      <c r="K2224" s="10">
        <v>2137.9450000000002</v>
      </c>
      <c r="L2224" s="10">
        <v>2003.482</v>
      </c>
      <c r="M2224" s="10">
        <v>21.289000000000001</v>
      </c>
      <c r="N2224" s="10">
        <v>21.289000000000001</v>
      </c>
      <c r="O2224" s="10">
        <v>31.919</v>
      </c>
      <c r="P2224" s="10">
        <v>8</v>
      </c>
      <c r="Q2224" s="10">
        <v>8</v>
      </c>
      <c r="R2224" s="10">
        <v>13</v>
      </c>
    </row>
    <row r="2225" spans="1:18" ht="29.5" customHeight="1" x14ac:dyDescent="0.15">
      <c r="A2225" s="11" t="s">
        <v>11856</v>
      </c>
      <c r="B2225" s="1" t="s">
        <v>11857</v>
      </c>
      <c r="C2225" s="11" t="s">
        <v>11858</v>
      </c>
      <c r="D2225" s="11" t="s">
        <v>11858</v>
      </c>
      <c r="E2225" s="11" t="s">
        <v>11859</v>
      </c>
      <c r="F2225" s="11" t="s">
        <v>11860</v>
      </c>
      <c r="G2225" s="11" t="s">
        <v>11861</v>
      </c>
      <c r="H2225" s="11" t="s">
        <v>11862</v>
      </c>
      <c r="I2225" s="11" t="str">
        <f>HYPERLINK("http://www.scribano1966.it/","www.scribano1966.it")</f>
        <v>www.scribano1966.it</v>
      </c>
      <c r="J2225" s="12">
        <v>2574.2080000000001</v>
      </c>
      <c r="K2225" s="12">
        <v>2574.2080000000001</v>
      </c>
      <c r="L2225" s="13">
        <v>2002.384</v>
      </c>
      <c r="M2225" s="12">
        <v>535.18899999999996</v>
      </c>
      <c r="N2225" s="12">
        <v>535.18899999999996</v>
      </c>
      <c r="O2225" s="12">
        <v>391.209</v>
      </c>
      <c r="P2225" s="12">
        <v>37</v>
      </c>
      <c r="Q2225" s="12">
        <v>37</v>
      </c>
      <c r="R2225" s="12">
        <v>33</v>
      </c>
    </row>
    <row r="2226" spans="1:18" ht="17" customHeight="1" x14ac:dyDescent="0.15">
      <c r="A2226" s="8" t="s">
        <v>11863</v>
      </c>
      <c r="B2226" s="9" t="s">
        <v>11864</v>
      </c>
      <c r="C2226" s="8" t="s">
        <v>11865</v>
      </c>
      <c r="D2226" s="8" t="s">
        <v>11865</v>
      </c>
      <c r="E2226" s="8" t="s">
        <v>11866</v>
      </c>
      <c r="F2226" s="8" t="s">
        <v>11798</v>
      </c>
      <c r="G2226" s="8" t="s">
        <v>11867</v>
      </c>
      <c r="H2226" s="8" t="s">
        <v>11800</v>
      </c>
      <c r="I2226" s="8" t="str">
        <f>HYPERLINK("http://www.jato.it/","www.jato.it")</f>
        <v>www.jato.it</v>
      </c>
      <c r="J2226" s="10">
        <v>8441.4189999999999</v>
      </c>
      <c r="K2226" s="10">
        <v>8441.4189999999999</v>
      </c>
      <c r="L2226" s="10">
        <v>2001.087</v>
      </c>
      <c r="M2226" s="10">
        <v>-83.930999999999997</v>
      </c>
      <c r="N2226" s="10">
        <v>-83.930999999999997</v>
      </c>
      <c r="O2226" s="10">
        <v>-1355.366</v>
      </c>
      <c r="P2226" s="15" t="s">
        <v>11811</v>
      </c>
      <c r="Q2226" s="15" t="s">
        <v>11811</v>
      </c>
      <c r="R2226" s="10">
        <v>36</v>
      </c>
    </row>
    <row r="2227" spans="1:18" ht="17" customHeight="1" x14ac:dyDescent="0.15">
      <c r="A2227" s="11" t="s">
        <v>11868</v>
      </c>
      <c r="B2227" s="1" t="s">
        <v>11869</v>
      </c>
      <c r="C2227" s="11" t="s">
        <v>11870</v>
      </c>
      <c r="D2227" s="11" t="s">
        <v>11871</v>
      </c>
      <c r="E2227" s="11" t="s">
        <v>11872</v>
      </c>
      <c r="F2227" s="11" t="s">
        <v>11841</v>
      </c>
      <c r="G2227" s="11" t="s">
        <v>11772</v>
      </c>
      <c r="H2227" s="11" t="s">
        <v>11773</v>
      </c>
      <c r="I2227" s="11" t="str">
        <f>HYPERLINK("http://www.ghita.it/","www.ghita.it")</f>
        <v>www.ghita.it</v>
      </c>
      <c r="J2227" s="12">
        <v>2402.1149999999998</v>
      </c>
      <c r="K2227" s="12">
        <v>2402.1149999999998</v>
      </c>
      <c r="L2227" s="13">
        <v>2000.84</v>
      </c>
      <c r="M2227" s="12">
        <v>424.108</v>
      </c>
      <c r="N2227" s="12">
        <v>424.108</v>
      </c>
      <c r="O2227" s="12">
        <v>163.08000000000001</v>
      </c>
      <c r="P2227" s="12">
        <v>11</v>
      </c>
      <c r="Q2227" s="12">
        <v>11</v>
      </c>
      <c r="R2227" s="12">
        <v>11</v>
      </c>
    </row>
    <row r="2228" spans="1:18" ht="17" customHeight="1" x14ac:dyDescent="0.15">
      <c r="A2228" s="8" t="s">
        <v>11873</v>
      </c>
      <c r="B2228" s="9" t="s">
        <v>11874</v>
      </c>
      <c r="C2228" s="8" t="s">
        <v>11875</v>
      </c>
      <c r="D2228" s="8" t="s">
        <v>11875</v>
      </c>
      <c r="E2228" s="8" t="s">
        <v>11876</v>
      </c>
      <c r="F2228" s="8" t="s">
        <v>11841</v>
      </c>
      <c r="G2228" s="8" t="s">
        <v>11877</v>
      </c>
      <c r="H2228" s="8" t="s">
        <v>11878</v>
      </c>
      <c r="I2228" s="8" t="str">
        <f>HYPERLINK("http://www.geafashion.com/","www.geafashion.com")</f>
        <v>www.geafashion.com</v>
      </c>
      <c r="J2228" s="10">
        <v>1749.5170000000001</v>
      </c>
      <c r="K2228" s="10">
        <v>1749.5170000000001</v>
      </c>
      <c r="L2228" s="10">
        <v>1999.8019999999999</v>
      </c>
      <c r="M2228" s="10">
        <v>12.191000000000001</v>
      </c>
      <c r="N2228" s="10">
        <v>12.191000000000001</v>
      </c>
      <c r="O2228" s="10">
        <v>3.1970000000000001</v>
      </c>
      <c r="P2228" s="15" t="s">
        <v>11811</v>
      </c>
      <c r="Q2228" s="15" t="s">
        <v>11811</v>
      </c>
      <c r="R2228" s="10">
        <v>37</v>
      </c>
    </row>
    <row r="2229" spans="1:18" ht="29.5" customHeight="1" x14ac:dyDescent="0.15">
      <c r="A2229" s="11" t="s">
        <v>11879</v>
      </c>
      <c r="B2229" s="1" t="s">
        <v>11880</v>
      </c>
      <c r="C2229" s="11" t="s">
        <v>11881</v>
      </c>
      <c r="D2229" s="11" t="s">
        <v>11881</v>
      </c>
      <c r="E2229" s="11" t="s">
        <v>11882</v>
      </c>
      <c r="F2229" s="11" t="s">
        <v>11883</v>
      </c>
      <c r="G2229" s="11" t="s">
        <v>11884</v>
      </c>
      <c r="H2229" s="11" t="s">
        <v>11786</v>
      </c>
      <c r="I2229" s="11" t="str">
        <f>HYPERLINK("http://emme-elle-srl-02170480517.quantofattura.com/","emme-elle-srl-02170480517.quantofattura.com")</f>
        <v>emme-elle-srl-02170480517.quantofattura.com</v>
      </c>
      <c r="J2229" s="12">
        <v>1371.837</v>
      </c>
      <c r="K2229" s="12">
        <v>1371.837</v>
      </c>
      <c r="L2229" s="13">
        <v>1996.6310000000001</v>
      </c>
      <c r="M2229" s="12">
        <v>-113.96899999999999</v>
      </c>
      <c r="N2229" s="12">
        <v>-113.96899999999999</v>
      </c>
      <c r="O2229" s="12">
        <v>8.0039999999999996</v>
      </c>
      <c r="P2229" s="12">
        <v>26</v>
      </c>
      <c r="Q2229" s="12">
        <v>26</v>
      </c>
      <c r="R2229" s="12">
        <v>32</v>
      </c>
    </row>
    <row r="2230" spans="1:18" ht="29.5" customHeight="1" x14ac:dyDescent="0.15">
      <c r="A2230" s="8" t="s">
        <v>11885</v>
      </c>
      <c r="B2230" s="9" t="s">
        <v>11886</v>
      </c>
      <c r="C2230" s="8" t="s">
        <v>11887</v>
      </c>
      <c r="D2230" s="8" t="s">
        <v>11887</v>
      </c>
      <c r="E2230" s="8" t="s">
        <v>11888</v>
      </c>
      <c r="F2230" s="8" t="s">
        <v>11784</v>
      </c>
      <c r="G2230" s="8" t="s">
        <v>11889</v>
      </c>
      <c r="H2230" s="8" t="s">
        <v>11806</v>
      </c>
      <c r="I2230" s="8" t="str">
        <f>HYPERLINK("http://fedeni.it/","fedeni.it")</f>
        <v>fedeni.it</v>
      </c>
      <c r="J2230" s="10">
        <v>2413.6089999999999</v>
      </c>
      <c r="K2230" s="10">
        <v>2413.6089999999999</v>
      </c>
      <c r="L2230" s="10">
        <v>1994.5730000000001</v>
      </c>
      <c r="M2230" s="10">
        <v>152.52699999999999</v>
      </c>
      <c r="N2230" s="10">
        <v>152.52699999999999</v>
      </c>
      <c r="O2230" s="10">
        <v>128.48099999999999</v>
      </c>
      <c r="P2230" s="10">
        <v>15</v>
      </c>
      <c r="Q2230" s="10">
        <v>15</v>
      </c>
      <c r="R2230" s="10">
        <v>14</v>
      </c>
    </row>
    <row r="2231" spans="1:18" ht="17" customHeight="1" x14ac:dyDescent="0.15">
      <c r="A2231" s="11" t="s">
        <v>11890</v>
      </c>
      <c r="B2231" s="1" t="s">
        <v>11891</v>
      </c>
      <c r="C2231" s="11" t="s">
        <v>11892</v>
      </c>
      <c r="D2231" s="11" t="s">
        <v>11892</v>
      </c>
      <c r="E2231" s="11" t="s">
        <v>11893</v>
      </c>
      <c r="F2231" s="11" t="s">
        <v>11841</v>
      </c>
      <c r="G2231" s="11" t="s">
        <v>11894</v>
      </c>
      <c r="H2231" s="11" t="s">
        <v>11895</v>
      </c>
      <c r="I2231" s="11" t="str">
        <f>HYPERLINK("http://www.manifatturealessia.com/","www.manifatturealessia.com")</f>
        <v>www.manifatturealessia.com</v>
      </c>
      <c r="J2231" s="12">
        <v>1644.192</v>
      </c>
      <c r="K2231" s="12">
        <v>1644.192</v>
      </c>
      <c r="L2231" s="13">
        <v>1994.4739999999999</v>
      </c>
      <c r="M2231" s="12">
        <v>43.286999999999999</v>
      </c>
      <c r="N2231" s="12">
        <v>43.286999999999999</v>
      </c>
      <c r="O2231" s="12">
        <v>43.045999999999999</v>
      </c>
      <c r="P2231" s="12">
        <v>9</v>
      </c>
      <c r="Q2231" s="12">
        <v>9</v>
      </c>
      <c r="R2231" s="12">
        <v>7</v>
      </c>
    </row>
    <row r="2232" spans="1:18" ht="17" customHeight="1" x14ac:dyDescent="0.15">
      <c r="A2232" s="8" t="s">
        <v>11896</v>
      </c>
      <c r="B2232" s="9" t="s">
        <v>11897</v>
      </c>
      <c r="C2232" s="8" t="s">
        <v>11898</v>
      </c>
      <c r="D2232" s="8" t="s">
        <v>11898</v>
      </c>
      <c r="E2232" s="8" t="s">
        <v>11899</v>
      </c>
      <c r="F2232" s="8" t="s">
        <v>11900</v>
      </c>
      <c r="G2232" s="8" t="s">
        <v>11772</v>
      </c>
      <c r="H2232" s="8" t="s">
        <v>11773</v>
      </c>
      <c r="I2232" s="8" t="str">
        <f>HYPERLINK("http://www.albisettiindustries.it/","www.albisettiindustries.it")</f>
        <v>www.albisettiindustries.it</v>
      </c>
      <c r="J2232" s="10">
        <v>1957.2850000000001</v>
      </c>
      <c r="K2232" s="10">
        <v>1957.2850000000001</v>
      </c>
      <c r="L2232" s="10">
        <v>1994.2239999999999</v>
      </c>
      <c r="M2232" s="10">
        <v>-221.215</v>
      </c>
      <c r="N2232" s="10">
        <v>-221.215</v>
      </c>
      <c r="O2232" s="10">
        <v>32.816000000000003</v>
      </c>
      <c r="P2232" s="10">
        <v>21</v>
      </c>
      <c r="Q2232" s="10">
        <v>21</v>
      </c>
      <c r="R2232" s="10">
        <v>11</v>
      </c>
    </row>
    <row r="2233" spans="1:18" ht="17" customHeight="1" x14ac:dyDescent="0.15">
      <c r="A2233" s="11" t="s">
        <v>11901</v>
      </c>
      <c r="B2233" s="1" t="s">
        <v>11902</v>
      </c>
      <c r="C2233" s="11" t="s">
        <v>11903</v>
      </c>
      <c r="D2233" s="11" t="s">
        <v>11903</v>
      </c>
      <c r="E2233" s="11" t="s">
        <v>11904</v>
      </c>
      <c r="F2233" s="11" t="s">
        <v>11784</v>
      </c>
      <c r="G2233" s="11" t="s">
        <v>11792</v>
      </c>
      <c r="H2233" s="11" t="s">
        <v>11793</v>
      </c>
      <c r="I2233" s="11" t="str">
        <f>HYPERLINK("http://www.areaforte.it/","www.areaforte.it")</f>
        <v>www.areaforte.it</v>
      </c>
      <c r="J2233" s="12">
        <v>2610.9360000000001</v>
      </c>
      <c r="K2233" s="12">
        <v>2610.9360000000001</v>
      </c>
      <c r="L2233" s="13">
        <v>1992.729</v>
      </c>
      <c r="M2233" s="12">
        <v>161.649</v>
      </c>
      <c r="N2233" s="12">
        <v>161.649</v>
      </c>
      <c r="O2233" s="12">
        <v>112.62</v>
      </c>
      <c r="P2233" s="12">
        <v>16</v>
      </c>
      <c r="Q2233" s="12">
        <v>16</v>
      </c>
      <c r="R2233" s="12">
        <v>13</v>
      </c>
    </row>
    <row r="2234" spans="1:18" ht="17" customHeight="1" x14ac:dyDescent="0.15">
      <c r="A2234" s="8" t="s">
        <v>11905</v>
      </c>
      <c r="B2234" s="9" t="s">
        <v>11906</v>
      </c>
      <c r="C2234" s="8" t="s">
        <v>11907</v>
      </c>
      <c r="D2234" s="8" t="s">
        <v>11907</v>
      </c>
      <c r="E2234" s="8" t="s">
        <v>11908</v>
      </c>
      <c r="F2234" s="8" t="s">
        <v>11909</v>
      </c>
      <c r="G2234" s="8" t="s">
        <v>11910</v>
      </c>
      <c r="H2234" s="8" t="s">
        <v>11786</v>
      </c>
      <c r="I2234" s="8" t="str">
        <f>HYPERLINK("http://www.manifatturetoscana.com/","www.manifatturetoscana.com")</f>
        <v>www.manifatturetoscana.com</v>
      </c>
      <c r="J2234" s="10">
        <v>1785.557</v>
      </c>
      <c r="K2234" s="10">
        <v>1785.557</v>
      </c>
      <c r="L2234" s="10">
        <v>1992.0029999999999</v>
      </c>
      <c r="M2234" s="10">
        <v>75.811000000000007</v>
      </c>
      <c r="N2234" s="10">
        <v>75.811000000000007</v>
      </c>
      <c r="O2234" s="10">
        <v>197.34200000000001</v>
      </c>
      <c r="P2234" s="10">
        <v>16</v>
      </c>
      <c r="Q2234" s="10">
        <v>16</v>
      </c>
      <c r="R2234" s="10">
        <v>14</v>
      </c>
    </row>
    <row r="2235" spans="1:18" ht="17" customHeight="1" x14ac:dyDescent="0.15">
      <c r="A2235" s="11" t="s">
        <v>11911</v>
      </c>
      <c r="B2235" s="1" t="s">
        <v>11912</v>
      </c>
      <c r="C2235" s="11" t="s">
        <v>11913</v>
      </c>
      <c r="D2235" s="11" t="s">
        <v>11913</v>
      </c>
      <c r="E2235" s="11" t="s">
        <v>11914</v>
      </c>
      <c r="F2235" s="11" t="s">
        <v>11784</v>
      </c>
      <c r="G2235" s="11" t="s">
        <v>11915</v>
      </c>
      <c r="H2235" s="11" t="s">
        <v>11843</v>
      </c>
      <c r="I2235" s="11" t="str">
        <f>HYPERLINK("http://www.s-teamsrl.it/","www.s-teamsrl.it")</f>
        <v>www.s-teamsrl.it</v>
      </c>
      <c r="J2235" s="12">
        <v>2215.5749999999998</v>
      </c>
      <c r="K2235" s="12">
        <v>2215.5749999999998</v>
      </c>
      <c r="L2235" s="13">
        <v>1991.085</v>
      </c>
      <c r="M2235" s="12">
        <v>149.03899999999999</v>
      </c>
      <c r="N2235" s="12">
        <v>149.03899999999999</v>
      </c>
      <c r="O2235" s="12">
        <v>126.65</v>
      </c>
      <c r="P2235" s="12">
        <v>22</v>
      </c>
      <c r="Q2235" s="12">
        <v>22</v>
      </c>
      <c r="R2235" s="12">
        <v>17</v>
      </c>
    </row>
    <row r="2236" spans="1:18" ht="17" customHeight="1" x14ac:dyDescent="0.15">
      <c r="A2236" s="8" t="s">
        <v>11916</v>
      </c>
      <c r="B2236" s="9" t="s">
        <v>11917</v>
      </c>
      <c r="C2236" s="8" t="s">
        <v>11918</v>
      </c>
      <c r="D2236" s="8" t="s">
        <v>11918</v>
      </c>
      <c r="E2236" s="8" t="s">
        <v>11919</v>
      </c>
      <c r="F2236" s="8" t="s">
        <v>11798</v>
      </c>
      <c r="G2236" s="8" t="s">
        <v>11799</v>
      </c>
      <c r="H2236" s="8" t="s">
        <v>11800</v>
      </c>
      <c r="I2236" s="8" t="str">
        <f>HYPERLINK("http://www.milvap.it/","www.milvap.it")</f>
        <v>www.milvap.it</v>
      </c>
      <c r="J2236" s="10">
        <v>2026.8340000000001</v>
      </c>
      <c r="K2236" s="10">
        <v>2026.8340000000001</v>
      </c>
      <c r="L2236" s="10">
        <v>1990.8789999999999</v>
      </c>
      <c r="M2236" s="10">
        <v>15.019</v>
      </c>
      <c r="N2236" s="10">
        <v>15.019</v>
      </c>
      <c r="O2236" s="10">
        <v>5.9509999999999996</v>
      </c>
      <c r="P2236" s="10">
        <v>8</v>
      </c>
      <c r="Q2236" s="10">
        <v>8</v>
      </c>
      <c r="R2236" s="10">
        <v>5</v>
      </c>
    </row>
    <row r="2237" spans="1:18" ht="17" customHeight="1" x14ac:dyDescent="0.15">
      <c r="A2237" s="11" t="s">
        <v>11920</v>
      </c>
      <c r="B2237" s="1" t="s">
        <v>11921</v>
      </c>
      <c r="C2237" s="11" t="s">
        <v>11922</v>
      </c>
      <c r="D2237" s="11" t="s">
        <v>11922</v>
      </c>
      <c r="E2237" s="11" t="s">
        <v>11923</v>
      </c>
      <c r="F2237" s="11" t="s">
        <v>11900</v>
      </c>
      <c r="G2237" s="11" t="s">
        <v>11772</v>
      </c>
      <c r="H2237" s="11" t="s">
        <v>11773</v>
      </c>
      <c r="I2237" s="11" t="str">
        <f>HYPERLINK("http://www.maristellamare.it/","www.maristellamare.it")</f>
        <v>www.maristellamare.it</v>
      </c>
      <c r="J2237" s="12">
        <v>2185.52</v>
      </c>
      <c r="K2237" s="12">
        <v>2331.2739999999999</v>
      </c>
      <c r="L2237" s="13">
        <v>1990.2429999999999</v>
      </c>
      <c r="M2237" s="12">
        <v>108.321</v>
      </c>
      <c r="N2237" s="12">
        <v>58.655999999999999</v>
      </c>
      <c r="O2237" s="12">
        <v>81.97</v>
      </c>
      <c r="P2237" s="12">
        <v>10</v>
      </c>
      <c r="Q2237" s="12">
        <v>10</v>
      </c>
      <c r="R2237" s="12">
        <v>13</v>
      </c>
    </row>
    <row r="2238" spans="1:18" ht="17" customHeight="1" x14ac:dyDescent="0.15">
      <c r="A2238" s="8" t="s">
        <v>11924</v>
      </c>
      <c r="B2238" s="9" t="s">
        <v>11925</v>
      </c>
      <c r="C2238" s="8" t="s">
        <v>11926</v>
      </c>
      <c r="D2238" s="8" t="s">
        <v>11926</v>
      </c>
      <c r="E2238" s="8" t="s">
        <v>11927</v>
      </c>
      <c r="F2238" s="8" t="s">
        <v>11841</v>
      </c>
      <c r="G2238" s="8" t="s">
        <v>11928</v>
      </c>
      <c r="H2238" s="8" t="s">
        <v>11773</v>
      </c>
      <c r="I2238" s="8" t="str">
        <f>HYPERLINK("http://www.berbrand.com/","www.berbrand.com")</f>
        <v>www.berbrand.com</v>
      </c>
      <c r="J2238" s="10">
        <v>1535.979</v>
      </c>
      <c r="K2238" s="10">
        <v>1535.979</v>
      </c>
      <c r="L2238" s="10">
        <v>1989.76</v>
      </c>
      <c r="M2238" s="10">
        <v>27.681999999999999</v>
      </c>
      <c r="N2238" s="10">
        <v>27.681999999999999</v>
      </c>
      <c r="O2238" s="10">
        <v>42.277999999999999</v>
      </c>
      <c r="P2238" s="10">
        <v>7</v>
      </c>
      <c r="Q2238" s="10">
        <v>7</v>
      </c>
      <c r="R2238" s="10">
        <v>6</v>
      </c>
    </row>
    <row r="2239" spans="1:18" ht="17" customHeight="1" x14ac:dyDescent="0.15">
      <c r="A2239" s="11" t="s">
        <v>11929</v>
      </c>
      <c r="B2239" s="1" t="s">
        <v>11930</v>
      </c>
      <c r="C2239" s="11" t="s">
        <v>11931</v>
      </c>
      <c r="D2239" s="11" t="s">
        <v>11931</v>
      </c>
      <c r="E2239" s="11" t="s">
        <v>11932</v>
      </c>
      <c r="F2239" s="11" t="s">
        <v>11909</v>
      </c>
      <c r="G2239" s="11" t="s">
        <v>11910</v>
      </c>
      <c r="H2239" s="11" t="s">
        <v>11786</v>
      </c>
      <c r="I2239" s="11" t="str">
        <f>HYPERLINK("http://www.arcobalenorifinizione.com/","www.arcobalenorifinizione.com")</f>
        <v>www.arcobalenorifinizione.com</v>
      </c>
      <c r="J2239" s="12">
        <v>2011.85</v>
      </c>
      <c r="K2239" s="12">
        <v>2011.85</v>
      </c>
      <c r="L2239" s="13">
        <v>1987.87</v>
      </c>
      <c r="M2239" s="12">
        <v>374.15600000000001</v>
      </c>
      <c r="N2239" s="12">
        <v>374.15600000000001</v>
      </c>
      <c r="O2239" s="12">
        <v>289.97500000000002</v>
      </c>
      <c r="P2239" s="12">
        <v>12</v>
      </c>
      <c r="Q2239" s="12">
        <v>12</v>
      </c>
      <c r="R2239" s="12">
        <v>12</v>
      </c>
    </row>
    <row r="2240" spans="1:18" ht="17" customHeight="1" x14ac:dyDescent="0.15">
      <c r="A2240" s="8" t="s">
        <v>11933</v>
      </c>
      <c r="B2240" s="9" t="s">
        <v>11934</v>
      </c>
      <c r="C2240" s="8" t="s">
        <v>11935</v>
      </c>
      <c r="D2240" s="8" t="s">
        <v>11935</v>
      </c>
      <c r="E2240" s="8" t="s">
        <v>11936</v>
      </c>
      <c r="F2240" s="8" t="s">
        <v>11791</v>
      </c>
      <c r="G2240" s="8" t="s">
        <v>11937</v>
      </c>
      <c r="H2240" s="8" t="s">
        <v>11793</v>
      </c>
      <c r="I2240" s="8" t="str">
        <f>HYPERLINK("http://novagea.it/","novagea.it")</f>
        <v>novagea.it</v>
      </c>
      <c r="J2240" s="10">
        <v>2207.942</v>
      </c>
      <c r="K2240" s="10">
        <v>2207.942</v>
      </c>
      <c r="L2240" s="10">
        <v>1987.527</v>
      </c>
      <c r="M2240" s="10">
        <v>48.433</v>
      </c>
      <c r="N2240" s="10">
        <v>48.433</v>
      </c>
      <c r="O2240" s="10">
        <v>43.42</v>
      </c>
      <c r="P2240" s="10">
        <v>6</v>
      </c>
      <c r="Q2240" s="10">
        <v>6</v>
      </c>
      <c r="R2240" s="10">
        <v>6</v>
      </c>
    </row>
    <row r="2241" spans="1:18" ht="17" customHeight="1" x14ac:dyDescent="0.15">
      <c r="A2241" s="11" t="s">
        <v>11938</v>
      </c>
      <c r="B2241" s="1" t="s">
        <v>11939</v>
      </c>
      <c r="C2241" s="11" t="s">
        <v>11940</v>
      </c>
      <c r="D2241" s="11" t="s">
        <v>11940</v>
      </c>
      <c r="E2241" s="11" t="s">
        <v>11941</v>
      </c>
      <c r="F2241" s="11" t="s">
        <v>11942</v>
      </c>
      <c r="G2241" s="11" t="s">
        <v>11943</v>
      </c>
      <c r="H2241" s="11" t="s">
        <v>11944</v>
      </c>
      <c r="I2241" s="11" t="str">
        <f>HYPERLINK("http://www.pashmere.it/","www.pashmere.it")</f>
        <v>www.pashmere.it</v>
      </c>
      <c r="J2241" s="12">
        <v>2757.1619999999998</v>
      </c>
      <c r="K2241" s="12">
        <v>2757.1619999999998</v>
      </c>
      <c r="L2241" s="13">
        <v>1985.8009999999999</v>
      </c>
      <c r="M2241" s="12">
        <v>193.709</v>
      </c>
      <c r="N2241" s="12">
        <v>193.709</v>
      </c>
      <c r="O2241" s="12">
        <v>45.174999999999997</v>
      </c>
      <c r="P2241" s="12">
        <v>35</v>
      </c>
      <c r="Q2241" s="12">
        <v>35</v>
      </c>
      <c r="R2241" s="12">
        <v>24</v>
      </c>
    </row>
    <row r="2242" spans="1:18" ht="17" customHeight="1" x14ac:dyDescent="0.15">
      <c r="A2242" s="8" t="s">
        <v>11945</v>
      </c>
      <c r="B2242" s="9" t="s">
        <v>11946</v>
      </c>
      <c r="C2242" s="8" t="s">
        <v>11947</v>
      </c>
      <c r="D2242" s="8" t="s">
        <v>11947</v>
      </c>
      <c r="E2242" s="8" t="s">
        <v>11948</v>
      </c>
      <c r="F2242" s="8" t="s">
        <v>11942</v>
      </c>
      <c r="G2242" s="8" t="s">
        <v>11949</v>
      </c>
      <c r="H2242" s="8" t="s">
        <v>11950</v>
      </c>
      <c r="I2242" s="8" t="str">
        <f>HYPERLINK("http://www.h953.it/","www.h953.it")</f>
        <v>www.h953.it</v>
      </c>
      <c r="J2242" s="10">
        <v>2056.2199999999998</v>
      </c>
      <c r="K2242" s="10">
        <v>2056.2199999999998</v>
      </c>
      <c r="L2242" s="10">
        <v>1983.144</v>
      </c>
      <c r="M2242" s="10">
        <v>39.808999999999997</v>
      </c>
      <c r="N2242" s="10">
        <v>39.808999999999997</v>
      </c>
      <c r="O2242" s="10">
        <v>8.9469999999999992</v>
      </c>
      <c r="P2242" s="10">
        <v>13</v>
      </c>
      <c r="Q2242" s="10">
        <v>13</v>
      </c>
      <c r="R2242" s="10">
        <v>13</v>
      </c>
    </row>
    <row r="2243" spans="1:18" ht="17" customHeight="1" x14ac:dyDescent="0.15">
      <c r="A2243" s="11" t="s">
        <v>11951</v>
      </c>
      <c r="B2243" s="1" t="s">
        <v>11952</v>
      </c>
      <c r="C2243" s="11" t="s">
        <v>11953</v>
      </c>
      <c r="D2243" s="11" t="s">
        <v>11953</v>
      </c>
      <c r="E2243" s="11" t="s">
        <v>11954</v>
      </c>
      <c r="F2243" s="11" t="s">
        <v>11955</v>
      </c>
      <c r="G2243" s="11" t="s">
        <v>11949</v>
      </c>
      <c r="H2243" s="11" t="s">
        <v>11950</v>
      </c>
      <c r="I2243" s="11" t="str">
        <f>HYPERLINK("http://jeroldwilton.it/","jeroldwilton.it")</f>
        <v>jeroldwilton.it</v>
      </c>
      <c r="J2243" s="12">
        <v>3429.797</v>
      </c>
      <c r="K2243" s="12">
        <v>3429.797</v>
      </c>
      <c r="L2243" s="13">
        <v>1982.91</v>
      </c>
      <c r="M2243" s="12">
        <v>23.58</v>
      </c>
      <c r="N2243" s="12">
        <v>23.58</v>
      </c>
      <c r="O2243" s="12">
        <v>21.72</v>
      </c>
      <c r="P2243" s="14" t="s">
        <v>11956</v>
      </c>
      <c r="Q2243" s="14" t="s">
        <v>11956</v>
      </c>
      <c r="R2243" s="12">
        <v>22</v>
      </c>
    </row>
    <row r="2244" spans="1:18" ht="17" customHeight="1" x14ac:dyDescent="0.15">
      <c r="A2244" s="8" t="s">
        <v>11957</v>
      </c>
      <c r="B2244" s="9" t="s">
        <v>11958</v>
      </c>
      <c r="C2244" s="8" t="s">
        <v>11959</v>
      </c>
      <c r="D2244" s="8" t="s">
        <v>11959</v>
      </c>
      <c r="E2244" s="8" t="s">
        <v>11960</v>
      </c>
      <c r="F2244" s="8" t="s">
        <v>11955</v>
      </c>
      <c r="G2244" s="8" t="s">
        <v>11961</v>
      </c>
      <c r="H2244" s="8" t="s">
        <v>11962</v>
      </c>
      <c r="I2244" s="8" t="str">
        <f>HYPERLINK("http://www.officinemodelli.it/","www.officinemodelli.it")</f>
        <v>www.officinemodelli.it</v>
      </c>
      <c r="J2244" s="10">
        <v>3337.6060000000002</v>
      </c>
      <c r="K2244" s="10">
        <v>3337.6060000000002</v>
      </c>
      <c r="L2244" s="10">
        <v>1981.7449999999999</v>
      </c>
      <c r="M2244" s="10">
        <v>-375.97199999999998</v>
      </c>
      <c r="N2244" s="10">
        <v>-375.97199999999998</v>
      </c>
      <c r="O2244" s="10">
        <v>2.9180000000000001</v>
      </c>
      <c r="P2244" s="10">
        <v>3</v>
      </c>
      <c r="Q2244" s="10">
        <v>3</v>
      </c>
      <c r="R2244" s="10">
        <v>2</v>
      </c>
    </row>
    <row r="2245" spans="1:18" ht="17" customHeight="1" x14ac:dyDescent="0.15">
      <c r="A2245" s="11" t="s">
        <v>11963</v>
      </c>
      <c r="B2245" s="1" t="s">
        <v>11964</v>
      </c>
      <c r="C2245" s="11" t="s">
        <v>11965</v>
      </c>
      <c r="D2245" s="11" t="s">
        <v>11965</v>
      </c>
      <c r="E2245" s="11" t="s">
        <v>11966</v>
      </c>
      <c r="F2245" s="11" t="s">
        <v>11955</v>
      </c>
      <c r="G2245" s="11" t="s">
        <v>11967</v>
      </c>
      <c r="H2245" s="11" t="s">
        <v>11968</v>
      </c>
      <c r="I2245" s="11" t="str">
        <f>HYPERLINK("http://www.suolificioemmetre.it/","www.suolificioemmetre.it")</f>
        <v>www.suolificioemmetre.it</v>
      </c>
      <c r="J2245" s="12">
        <v>2897.4830000000002</v>
      </c>
      <c r="K2245" s="12">
        <v>2897.4830000000002</v>
      </c>
      <c r="L2245" s="13">
        <v>1981.654</v>
      </c>
      <c r="M2245" s="12">
        <v>36.055</v>
      </c>
      <c r="N2245" s="12">
        <v>36.055</v>
      </c>
      <c r="O2245" s="12">
        <v>59.118000000000002</v>
      </c>
      <c r="P2245" s="12">
        <v>13</v>
      </c>
      <c r="Q2245" s="12">
        <v>13</v>
      </c>
      <c r="R2245" s="12">
        <v>14</v>
      </c>
    </row>
    <row r="2246" spans="1:18" ht="17" customHeight="1" x14ac:dyDescent="0.15">
      <c r="A2246" s="8" t="s">
        <v>11969</v>
      </c>
      <c r="B2246" s="9" t="s">
        <v>11970</v>
      </c>
      <c r="C2246" s="8" t="s">
        <v>11971</v>
      </c>
      <c r="D2246" s="8" t="s">
        <v>11971</v>
      </c>
      <c r="E2246" s="8" t="s">
        <v>11972</v>
      </c>
      <c r="F2246" s="8" t="s">
        <v>11973</v>
      </c>
      <c r="G2246" s="8" t="s">
        <v>11974</v>
      </c>
      <c r="H2246" s="8" t="s">
        <v>11975</v>
      </c>
      <c r="I2246" s="8" t="str">
        <f>HYPERLINK("http://www.customize00.com/","www.customize00.com")</f>
        <v>www.customize00.com</v>
      </c>
      <c r="J2246" s="10">
        <v>1882.779</v>
      </c>
      <c r="K2246" s="10">
        <v>1882.779</v>
      </c>
      <c r="L2246" s="10">
        <v>1981.396</v>
      </c>
      <c r="M2246" s="10">
        <v>17.957000000000001</v>
      </c>
      <c r="N2246" s="10">
        <v>17.957000000000001</v>
      </c>
      <c r="O2246" s="10">
        <v>13.879</v>
      </c>
      <c r="P2246" s="10">
        <v>10</v>
      </c>
      <c r="Q2246" s="10">
        <v>10</v>
      </c>
      <c r="R2246" s="10">
        <v>11</v>
      </c>
    </row>
    <row r="2247" spans="1:18" ht="17" customHeight="1" x14ac:dyDescent="0.15">
      <c r="A2247" s="11" t="s">
        <v>11976</v>
      </c>
      <c r="B2247" s="1" t="s">
        <v>11977</v>
      </c>
      <c r="C2247" s="11" t="s">
        <v>11978</v>
      </c>
      <c r="D2247" s="11" t="s">
        <v>11978</v>
      </c>
      <c r="E2247" s="11" t="s">
        <v>11979</v>
      </c>
      <c r="F2247" s="11" t="s">
        <v>11980</v>
      </c>
      <c r="G2247" s="11" t="s">
        <v>11981</v>
      </c>
      <c r="H2247" s="11" t="s">
        <v>11962</v>
      </c>
      <c r="I2247" s="11" t="str">
        <f>HYPERLINK("http://www.flaminia.it/","www.flaminia.it")</f>
        <v>www.flaminia.it</v>
      </c>
      <c r="J2247" s="12">
        <v>2486.741</v>
      </c>
      <c r="K2247" s="12">
        <v>2486.741</v>
      </c>
      <c r="L2247" s="13">
        <v>1980.4860000000001</v>
      </c>
      <c r="M2247" s="12">
        <v>176.929</v>
      </c>
      <c r="N2247" s="12">
        <v>176.929</v>
      </c>
      <c r="O2247" s="12">
        <v>140.66800000000001</v>
      </c>
      <c r="P2247" s="12">
        <v>11</v>
      </c>
      <c r="Q2247" s="12">
        <v>11</v>
      </c>
      <c r="R2247" s="12">
        <v>10</v>
      </c>
    </row>
    <row r="2248" spans="1:18" ht="17" customHeight="1" x14ac:dyDescent="0.15">
      <c r="A2248" s="8" t="s">
        <v>11982</v>
      </c>
      <c r="B2248" s="9" t="s">
        <v>11983</v>
      </c>
      <c r="C2248" s="8" t="s">
        <v>11984</v>
      </c>
      <c r="D2248" s="8" t="s">
        <v>11984</v>
      </c>
      <c r="E2248" s="8" t="s">
        <v>11985</v>
      </c>
      <c r="F2248" s="8" t="s">
        <v>11986</v>
      </c>
      <c r="G2248" s="8" t="s">
        <v>11974</v>
      </c>
      <c r="H2248" s="8" t="s">
        <v>11975</v>
      </c>
      <c r="I2248" s="8" t="str">
        <f>HYPERLINK("http://intimami.it/","intimami.it")</f>
        <v>intimami.it</v>
      </c>
      <c r="J2248" s="10">
        <v>1578.329</v>
      </c>
      <c r="K2248" s="10">
        <v>1578.329</v>
      </c>
      <c r="L2248" s="10">
        <v>1980.056</v>
      </c>
      <c r="M2248" s="10">
        <v>10.755000000000001</v>
      </c>
      <c r="N2248" s="10">
        <v>10.755000000000001</v>
      </c>
      <c r="O2248" s="10">
        <v>25.826000000000001</v>
      </c>
      <c r="P2248" s="10">
        <v>11</v>
      </c>
      <c r="Q2248" s="10">
        <v>11</v>
      </c>
      <c r="R2248" s="10">
        <v>12</v>
      </c>
    </row>
    <row r="2249" spans="1:18" ht="17" customHeight="1" x14ac:dyDescent="0.15">
      <c r="A2249" s="11" t="s">
        <v>11987</v>
      </c>
      <c r="B2249" s="1" t="s">
        <v>11988</v>
      </c>
      <c r="C2249" s="11" t="s">
        <v>11989</v>
      </c>
      <c r="D2249" s="11" t="s">
        <v>11989</v>
      </c>
      <c r="E2249" s="11" t="s">
        <v>11990</v>
      </c>
      <c r="F2249" s="11" t="s">
        <v>11991</v>
      </c>
      <c r="G2249" s="11" t="s">
        <v>11992</v>
      </c>
      <c r="H2249" s="11" t="s">
        <v>11993</v>
      </c>
      <c r="I2249" s="11" t="str">
        <f>HYPERLINK("http://www.ori.it/","http://www.ori.it")</f>
        <v>http://www.ori.it</v>
      </c>
      <c r="J2249" s="12">
        <v>315.77999999999997</v>
      </c>
      <c r="K2249" s="12">
        <v>315.77999999999997</v>
      </c>
      <c r="L2249" s="13">
        <v>1977.0060000000001</v>
      </c>
      <c r="M2249" s="12">
        <v>-2123.1790000000001</v>
      </c>
      <c r="N2249" s="12">
        <v>-2123.1790000000001</v>
      </c>
      <c r="O2249" s="12">
        <v>-2966.346</v>
      </c>
      <c r="P2249" s="14" t="s">
        <v>11956</v>
      </c>
      <c r="Q2249" s="14" t="s">
        <v>11956</v>
      </c>
      <c r="R2249" s="12">
        <v>10</v>
      </c>
    </row>
    <row r="2250" spans="1:18" ht="29.5" customHeight="1" x14ac:dyDescent="0.15">
      <c r="A2250" s="8" t="s">
        <v>11994</v>
      </c>
      <c r="B2250" s="9" t="s">
        <v>11995</v>
      </c>
      <c r="C2250" s="8" t="s">
        <v>11996</v>
      </c>
      <c r="D2250" s="8" t="s">
        <v>11996</v>
      </c>
      <c r="E2250" s="8" t="s">
        <v>11997</v>
      </c>
      <c r="F2250" s="8" t="s">
        <v>11973</v>
      </c>
      <c r="G2250" s="8" t="s">
        <v>11943</v>
      </c>
      <c r="H2250" s="8" t="s">
        <v>11944</v>
      </c>
      <c r="I2250" s="8" t="str">
        <f>HYPERLINK("http://www.ellesse.com/","www.ellesse.com")</f>
        <v>www.ellesse.com</v>
      </c>
      <c r="J2250" s="10">
        <v>960.68899999999996</v>
      </c>
      <c r="K2250" s="10">
        <v>960.68899999999996</v>
      </c>
      <c r="L2250" s="10">
        <v>1973.905</v>
      </c>
      <c r="M2250" s="10">
        <v>345.37099999999998</v>
      </c>
      <c r="N2250" s="10">
        <v>345.37099999999998</v>
      </c>
      <c r="O2250" s="10">
        <v>908.20399999999995</v>
      </c>
      <c r="P2250" s="10">
        <v>1</v>
      </c>
      <c r="Q2250" s="10">
        <v>1</v>
      </c>
      <c r="R2250" s="10">
        <v>2</v>
      </c>
    </row>
    <row r="2251" spans="1:18" ht="17" customHeight="1" x14ac:dyDescent="0.15">
      <c r="A2251" s="11" t="s">
        <v>11998</v>
      </c>
      <c r="B2251" s="1" t="s">
        <v>11999</v>
      </c>
      <c r="C2251" s="11" t="s">
        <v>12000</v>
      </c>
      <c r="D2251" s="11" t="s">
        <v>12000</v>
      </c>
      <c r="E2251" s="11" t="s">
        <v>12001</v>
      </c>
      <c r="F2251" s="11" t="s">
        <v>12002</v>
      </c>
      <c r="G2251" s="11" t="s">
        <v>11967</v>
      </c>
      <c r="H2251" s="11" t="s">
        <v>11968</v>
      </c>
      <c r="I2251" s="11" t="str">
        <f>HYPERLINK("http://www.italconcia.it/","www.italconcia.it")</f>
        <v>www.italconcia.it</v>
      </c>
      <c r="J2251" s="12">
        <v>2235.1930000000002</v>
      </c>
      <c r="K2251" s="12">
        <v>2235.1930000000002</v>
      </c>
      <c r="L2251" s="13">
        <v>1973.7550000000001</v>
      </c>
      <c r="M2251" s="12">
        <v>124.574</v>
      </c>
      <c r="N2251" s="12">
        <v>124.574</v>
      </c>
      <c r="O2251" s="12">
        <v>113.304</v>
      </c>
      <c r="P2251" s="12">
        <v>13</v>
      </c>
      <c r="Q2251" s="12">
        <v>13</v>
      </c>
      <c r="R2251" s="12">
        <v>18</v>
      </c>
    </row>
    <row r="2252" spans="1:18" ht="17" customHeight="1" x14ac:dyDescent="0.15">
      <c r="A2252" s="8" t="s">
        <v>12003</v>
      </c>
      <c r="B2252" s="9" t="s">
        <v>12004</v>
      </c>
      <c r="C2252" s="8" t="s">
        <v>12005</v>
      </c>
      <c r="D2252" s="8" t="s">
        <v>12005</v>
      </c>
      <c r="E2252" s="8" t="s">
        <v>12006</v>
      </c>
      <c r="F2252" s="8" t="s">
        <v>11955</v>
      </c>
      <c r="G2252" s="8" t="s">
        <v>11961</v>
      </c>
      <c r="H2252" s="8" t="s">
        <v>11962</v>
      </c>
      <c r="I2252" s="8" t="str">
        <f>HYPERLINK("http://www.keltonsrl.it/","www.keltonsrl.it")</f>
        <v>www.keltonsrl.it</v>
      </c>
      <c r="J2252" s="10">
        <v>3015.2809999999999</v>
      </c>
      <c r="K2252" s="10">
        <v>3015.2809999999999</v>
      </c>
      <c r="L2252" s="10">
        <v>1970.5889999999999</v>
      </c>
      <c r="M2252" s="10">
        <v>284.22899999999998</v>
      </c>
      <c r="N2252" s="10">
        <v>284.22899999999998</v>
      </c>
      <c r="O2252" s="10">
        <v>103.35899999999999</v>
      </c>
      <c r="P2252" s="10">
        <v>15</v>
      </c>
      <c r="Q2252" s="10">
        <v>15</v>
      </c>
      <c r="R2252" s="10">
        <v>12</v>
      </c>
    </row>
    <row r="2253" spans="1:18" ht="29.5" customHeight="1" x14ac:dyDescent="0.15">
      <c r="A2253" s="11" t="s">
        <v>12007</v>
      </c>
      <c r="B2253" s="1" t="s">
        <v>12008</v>
      </c>
      <c r="C2253" s="11" t="s">
        <v>12009</v>
      </c>
      <c r="D2253" s="11" t="s">
        <v>12009</v>
      </c>
      <c r="E2253" s="11" t="s">
        <v>12010</v>
      </c>
      <c r="F2253" s="11" t="s">
        <v>11942</v>
      </c>
      <c r="G2253" s="11" t="s">
        <v>12011</v>
      </c>
      <c r="H2253" s="11" t="s">
        <v>12012</v>
      </c>
      <c r="I2253" s="11" t="str">
        <f>HYPERLINK("http://www.idealmaglia.it/","www.idealmaglia.it")</f>
        <v>www.idealmaglia.it</v>
      </c>
      <c r="J2253" s="12">
        <v>1230.694</v>
      </c>
      <c r="K2253" s="12">
        <v>1565.152</v>
      </c>
      <c r="L2253" s="13">
        <v>1969.9469999999999</v>
      </c>
      <c r="M2253" s="12">
        <v>28.827000000000002</v>
      </c>
      <c r="N2253" s="12">
        <v>-174.36500000000001</v>
      </c>
      <c r="O2253" s="12">
        <v>150.13300000000001</v>
      </c>
      <c r="P2253" s="12">
        <v>17</v>
      </c>
      <c r="Q2253" s="14" t="s">
        <v>11956</v>
      </c>
      <c r="R2253" s="12">
        <v>29</v>
      </c>
    </row>
    <row r="2254" spans="1:18" ht="17" customHeight="1" x14ac:dyDescent="0.15">
      <c r="A2254" s="8" t="s">
        <v>12013</v>
      </c>
      <c r="B2254" s="9" t="s">
        <v>12014</v>
      </c>
      <c r="C2254" s="8" t="s">
        <v>12015</v>
      </c>
      <c r="D2254" s="8" t="s">
        <v>12015</v>
      </c>
      <c r="E2254" s="8" t="s">
        <v>12016</v>
      </c>
      <c r="F2254" s="8" t="s">
        <v>12002</v>
      </c>
      <c r="G2254" s="8" t="s">
        <v>11967</v>
      </c>
      <c r="H2254" s="8" t="s">
        <v>11968</v>
      </c>
      <c r="I2254" s="8" t="str">
        <f>HYPERLINK("http://www.italrettili.com/","www.italrettili.com")</f>
        <v>www.italrettili.com</v>
      </c>
      <c r="J2254" s="10">
        <v>3556.7820000000002</v>
      </c>
      <c r="K2254" s="10">
        <v>3556.7820000000002</v>
      </c>
      <c r="L2254" s="10">
        <v>1968.895</v>
      </c>
      <c r="M2254" s="10">
        <v>295.08800000000002</v>
      </c>
      <c r="N2254" s="10">
        <v>295.08800000000002</v>
      </c>
      <c r="O2254" s="10">
        <v>28.297000000000001</v>
      </c>
      <c r="P2254" s="10">
        <v>8</v>
      </c>
      <c r="Q2254" s="10">
        <v>8</v>
      </c>
      <c r="R2254" s="10">
        <v>9</v>
      </c>
    </row>
    <row r="2255" spans="1:18" ht="17" customHeight="1" x14ac:dyDescent="0.15">
      <c r="A2255" s="11" t="s">
        <v>12017</v>
      </c>
      <c r="B2255" s="1" t="s">
        <v>12018</v>
      </c>
      <c r="C2255" s="11" t="s">
        <v>12019</v>
      </c>
      <c r="D2255" s="11" t="s">
        <v>12019</v>
      </c>
      <c r="E2255" s="11" t="s">
        <v>12020</v>
      </c>
      <c r="F2255" s="11" t="s">
        <v>11955</v>
      </c>
      <c r="G2255" s="11" t="s">
        <v>12021</v>
      </c>
      <c r="H2255" s="11" t="s">
        <v>11968</v>
      </c>
      <c r="I2255" s="11" t="str">
        <f>HYPERLINK("http://www.madeinitalyshoes.net/","www.madeinitalyshoes.net")</f>
        <v>www.madeinitalyshoes.net</v>
      </c>
      <c r="J2255" s="12">
        <v>1975.402</v>
      </c>
      <c r="K2255" s="12">
        <v>1975.402</v>
      </c>
      <c r="L2255" s="13">
        <v>1968.453</v>
      </c>
      <c r="M2255" s="12">
        <v>113.405</v>
      </c>
      <c r="N2255" s="12">
        <v>113.405</v>
      </c>
      <c r="O2255" s="12">
        <v>114.794</v>
      </c>
      <c r="P2255" s="14" t="s">
        <v>11956</v>
      </c>
      <c r="Q2255" s="14" t="s">
        <v>11956</v>
      </c>
      <c r="R2255" s="12">
        <v>20</v>
      </c>
    </row>
    <row r="2256" spans="1:18" ht="17" customHeight="1" x14ac:dyDescent="0.15">
      <c r="A2256" s="8" t="s">
        <v>12022</v>
      </c>
      <c r="B2256" s="9" t="s">
        <v>12023</v>
      </c>
      <c r="C2256" s="8" t="s">
        <v>12024</v>
      </c>
      <c r="D2256" s="8" t="s">
        <v>12024</v>
      </c>
      <c r="E2256" s="8" t="s">
        <v>12025</v>
      </c>
      <c r="F2256" s="8" t="s">
        <v>11980</v>
      </c>
      <c r="G2256" s="8" t="s">
        <v>12011</v>
      </c>
      <c r="H2256" s="8" t="s">
        <v>12012</v>
      </c>
      <c r="I2256" s="8" t="str">
        <f>HYPERLINK("http://www.tressesrl.it/","www.tressesrl.it")</f>
        <v>www.tressesrl.it</v>
      </c>
      <c r="J2256" s="10">
        <v>2047.675</v>
      </c>
      <c r="K2256" s="10">
        <v>2047.675</v>
      </c>
      <c r="L2256" s="10">
        <v>1967.47</v>
      </c>
      <c r="M2256" s="10">
        <v>42.628</v>
      </c>
      <c r="N2256" s="10">
        <v>42.628</v>
      </c>
      <c r="O2256" s="10">
        <v>140.72499999999999</v>
      </c>
      <c r="P2256" s="10">
        <v>36</v>
      </c>
      <c r="Q2256" s="10">
        <v>36</v>
      </c>
      <c r="R2256" s="10">
        <v>43</v>
      </c>
    </row>
    <row r="2257" spans="1:18" ht="17" customHeight="1" x14ac:dyDescent="0.15">
      <c r="A2257" s="11" t="s">
        <v>12026</v>
      </c>
      <c r="B2257" s="1" t="s">
        <v>12027</v>
      </c>
      <c r="C2257" s="11" t="s">
        <v>12028</v>
      </c>
      <c r="D2257" s="11" t="s">
        <v>12028</v>
      </c>
      <c r="E2257" s="11" t="s">
        <v>12029</v>
      </c>
      <c r="F2257" s="11" t="s">
        <v>11980</v>
      </c>
      <c r="G2257" s="11" t="s">
        <v>12030</v>
      </c>
      <c r="H2257" s="11" t="s">
        <v>11968</v>
      </c>
      <c r="I2257" s="11" t="str">
        <f>HYPERLINK("http://www.pelletterialuisanna.com/","www.pelletterialuisanna.com")</f>
        <v>www.pelletterialuisanna.com</v>
      </c>
      <c r="J2257" s="12">
        <v>2397.7049999999999</v>
      </c>
      <c r="K2257" s="12">
        <v>2397.7049999999999</v>
      </c>
      <c r="L2257" s="13">
        <v>1964.8910000000001</v>
      </c>
      <c r="M2257" s="12">
        <v>76.787999999999997</v>
      </c>
      <c r="N2257" s="12">
        <v>76.787999999999997</v>
      </c>
      <c r="O2257" s="12">
        <v>-20.103999999999999</v>
      </c>
      <c r="P2257" s="12">
        <v>39</v>
      </c>
      <c r="Q2257" s="12">
        <v>39</v>
      </c>
      <c r="R2257" s="12">
        <v>33</v>
      </c>
    </row>
    <row r="2258" spans="1:18" ht="17" customHeight="1" x14ac:dyDescent="0.15">
      <c r="A2258" s="8" t="s">
        <v>12031</v>
      </c>
      <c r="B2258" s="9" t="s">
        <v>12032</v>
      </c>
      <c r="C2258" s="8" t="s">
        <v>12033</v>
      </c>
      <c r="D2258" s="8" t="s">
        <v>12033</v>
      </c>
      <c r="E2258" s="8" t="s">
        <v>12034</v>
      </c>
      <c r="F2258" s="8" t="s">
        <v>11986</v>
      </c>
      <c r="G2258" s="8" t="s">
        <v>12021</v>
      </c>
      <c r="H2258" s="8" t="s">
        <v>11968</v>
      </c>
      <c r="I2258" s="8" t="str">
        <f>HYPERLINK("http://www.2bekini.it/","www.2bekini.it")</f>
        <v>www.2bekini.it</v>
      </c>
      <c r="J2258" s="10">
        <v>1792.4570000000001</v>
      </c>
      <c r="K2258" s="10">
        <v>1792.4570000000001</v>
      </c>
      <c r="L2258" s="10">
        <v>1959.7270000000001</v>
      </c>
      <c r="M2258" s="10">
        <v>51.984999999999999</v>
      </c>
      <c r="N2258" s="10">
        <v>51.984999999999999</v>
      </c>
      <c r="O2258" s="10">
        <v>2.1909999999999998</v>
      </c>
      <c r="P2258" s="10">
        <v>9</v>
      </c>
      <c r="Q2258" s="10">
        <v>9</v>
      </c>
      <c r="R2258" s="10">
        <v>11</v>
      </c>
    </row>
    <row r="2259" spans="1:18" ht="17" customHeight="1" x14ac:dyDescent="0.15">
      <c r="A2259" s="11" t="s">
        <v>12035</v>
      </c>
      <c r="B2259" s="1" t="s">
        <v>12036</v>
      </c>
      <c r="C2259" s="11" t="s">
        <v>12037</v>
      </c>
      <c r="D2259" s="11" t="s">
        <v>12037</v>
      </c>
      <c r="E2259" s="11" t="s">
        <v>12038</v>
      </c>
      <c r="F2259" s="11" t="s">
        <v>11973</v>
      </c>
      <c r="G2259" s="11" t="s">
        <v>12039</v>
      </c>
      <c r="H2259" s="11" t="s">
        <v>12040</v>
      </c>
      <c r="I2259" s="11" t="str">
        <f>HYPERLINK("http://www.chiaraboncompagno.it/","www.chiaraboncompagno.it")</f>
        <v>www.chiaraboncompagno.it</v>
      </c>
      <c r="J2259" s="12">
        <v>1755.453</v>
      </c>
      <c r="K2259" s="12">
        <v>1755.453</v>
      </c>
      <c r="L2259" s="13">
        <v>1959.174</v>
      </c>
      <c r="M2259" s="12">
        <v>96.647999999999996</v>
      </c>
      <c r="N2259" s="12">
        <v>96.647999999999996</v>
      </c>
      <c r="O2259" s="12">
        <v>129.571</v>
      </c>
      <c r="P2259" s="12">
        <v>8</v>
      </c>
      <c r="Q2259" s="12">
        <v>8</v>
      </c>
      <c r="R2259" s="12">
        <v>7</v>
      </c>
    </row>
    <row r="2260" spans="1:18" ht="17" customHeight="1" x14ac:dyDescent="0.15">
      <c r="A2260" s="8" t="s">
        <v>12041</v>
      </c>
      <c r="B2260" s="9" t="s">
        <v>12042</v>
      </c>
      <c r="C2260" s="8" t="s">
        <v>12043</v>
      </c>
      <c r="D2260" s="8" t="s">
        <v>12043</v>
      </c>
      <c r="E2260" s="8" t="s">
        <v>12044</v>
      </c>
      <c r="F2260" s="8" t="s">
        <v>12045</v>
      </c>
      <c r="G2260" s="8" t="s">
        <v>12030</v>
      </c>
      <c r="H2260" s="8" t="s">
        <v>11968</v>
      </c>
      <c r="I2260" s="8" t="str">
        <f>HYPERLINK("http://www.tomaificioleonardo.it/","www.tomaificioleonardo.it")</f>
        <v>www.tomaificioleonardo.it</v>
      </c>
      <c r="J2260" s="10">
        <v>1676.8430000000001</v>
      </c>
      <c r="K2260" s="10">
        <v>1676.8430000000001</v>
      </c>
      <c r="L2260" s="10">
        <v>1954.6610000000001</v>
      </c>
      <c r="M2260" s="10">
        <v>-136.458</v>
      </c>
      <c r="N2260" s="10">
        <v>-136.458</v>
      </c>
      <c r="O2260" s="10">
        <v>34.884999999999998</v>
      </c>
      <c r="P2260" s="10">
        <v>21</v>
      </c>
      <c r="Q2260" s="10">
        <v>21</v>
      </c>
      <c r="R2260" s="10">
        <v>19</v>
      </c>
    </row>
    <row r="2261" spans="1:18" ht="17" customHeight="1" x14ac:dyDescent="0.15">
      <c r="A2261" s="11" t="s">
        <v>12046</v>
      </c>
      <c r="B2261" s="1" t="s">
        <v>12047</v>
      </c>
      <c r="C2261" s="11" t="s">
        <v>12048</v>
      </c>
      <c r="D2261" s="11" t="s">
        <v>12048</v>
      </c>
      <c r="E2261" s="11" t="s">
        <v>12049</v>
      </c>
      <c r="F2261" s="11" t="s">
        <v>12045</v>
      </c>
      <c r="G2261" s="11" t="s">
        <v>12021</v>
      </c>
      <c r="H2261" s="11" t="s">
        <v>11968</v>
      </c>
      <c r="I2261" s="11" t="str">
        <f>HYPERLINK("http://www.solettificiostylflex.it/","www.solettificiostylflex.it")</f>
        <v>www.solettificiostylflex.it</v>
      </c>
      <c r="J2261" s="12">
        <v>1565.2190000000001</v>
      </c>
      <c r="K2261" s="12">
        <v>1565.2190000000001</v>
      </c>
      <c r="L2261" s="13">
        <v>1950.3430000000001</v>
      </c>
      <c r="M2261" s="12">
        <v>45.488999999999997</v>
      </c>
      <c r="N2261" s="12">
        <v>45.488999999999997</v>
      </c>
      <c r="O2261" s="12">
        <v>73.397999999999996</v>
      </c>
      <c r="P2261" s="12">
        <v>16</v>
      </c>
      <c r="Q2261" s="12">
        <v>16</v>
      </c>
      <c r="R2261" s="12">
        <v>18</v>
      </c>
    </row>
    <row r="2262" spans="1:18" ht="29.5" customHeight="1" x14ac:dyDescent="0.15">
      <c r="A2262" s="8" t="s">
        <v>12050</v>
      </c>
      <c r="B2262" s="9" t="s">
        <v>12051</v>
      </c>
      <c r="C2262" s="8" t="s">
        <v>12052</v>
      </c>
      <c r="D2262" s="8" t="s">
        <v>12052</v>
      </c>
      <c r="E2262" s="8" t="s">
        <v>12053</v>
      </c>
      <c r="F2262" s="8" t="s">
        <v>11986</v>
      </c>
      <c r="G2262" s="8" t="s">
        <v>12054</v>
      </c>
      <c r="H2262" s="8" t="s">
        <v>11993</v>
      </c>
      <c r="I2262" s="8" t="str">
        <f>HYPERLINK("http://www.laboratoriodelcarmine.it/","www.laboratoriodelcarmine.it")</f>
        <v>www.laboratoriodelcarmine.it</v>
      </c>
      <c r="J2262" s="10">
        <v>1826.8979999999999</v>
      </c>
      <c r="K2262" s="10">
        <v>1826.8979999999999</v>
      </c>
      <c r="L2262" s="10">
        <v>1946.5129999999999</v>
      </c>
      <c r="M2262" s="10">
        <v>-59.512999999999998</v>
      </c>
      <c r="N2262" s="10">
        <v>-59.512999999999998</v>
      </c>
      <c r="O2262" s="10">
        <v>-331.82799999999997</v>
      </c>
      <c r="P2262" s="10">
        <v>38</v>
      </c>
      <c r="Q2262" s="10">
        <v>38</v>
      </c>
      <c r="R2262" s="10">
        <v>35</v>
      </c>
    </row>
    <row r="2263" spans="1:18" ht="17" customHeight="1" x14ac:dyDescent="0.15">
      <c r="A2263" s="11" t="s">
        <v>12055</v>
      </c>
      <c r="B2263" s="1" t="s">
        <v>12056</v>
      </c>
      <c r="C2263" s="11" t="s">
        <v>12057</v>
      </c>
      <c r="D2263" s="11" t="s">
        <v>12057</v>
      </c>
      <c r="E2263" s="11" t="s">
        <v>12058</v>
      </c>
      <c r="F2263" s="11" t="s">
        <v>12059</v>
      </c>
      <c r="G2263" s="11" t="s">
        <v>12030</v>
      </c>
      <c r="H2263" s="11" t="s">
        <v>11968</v>
      </c>
      <c r="I2263" s="11" t="str">
        <f>HYPERLINK("http://www.sodgear.com/","www.sodgear.com")</f>
        <v>www.sodgear.com</v>
      </c>
      <c r="J2263" s="12">
        <v>1932.3630000000001</v>
      </c>
      <c r="K2263" s="12">
        <v>1855.8309999999999</v>
      </c>
      <c r="L2263" s="13">
        <v>1943.4490000000001</v>
      </c>
      <c r="M2263" s="12">
        <v>177.6</v>
      </c>
      <c r="N2263" s="12">
        <v>66.385999999999996</v>
      </c>
      <c r="O2263" s="12">
        <v>103.339</v>
      </c>
      <c r="P2263" s="12">
        <v>7</v>
      </c>
      <c r="Q2263" s="12">
        <v>9</v>
      </c>
      <c r="R2263" s="12">
        <v>9</v>
      </c>
    </row>
    <row r="2264" spans="1:18" ht="17" customHeight="1" x14ac:dyDescent="0.15">
      <c r="A2264" s="8" t="s">
        <v>12060</v>
      </c>
      <c r="B2264" s="9" t="s">
        <v>12061</v>
      </c>
      <c r="C2264" s="8" t="s">
        <v>12062</v>
      </c>
      <c r="D2264" s="8" t="s">
        <v>12062</v>
      </c>
      <c r="E2264" s="8" t="s">
        <v>12063</v>
      </c>
      <c r="F2264" s="8" t="s">
        <v>12045</v>
      </c>
      <c r="G2264" s="8" t="s">
        <v>12064</v>
      </c>
      <c r="H2264" s="8" t="s">
        <v>11993</v>
      </c>
      <c r="I2264" s="8" t="str">
        <f>HYPERLINK("http://www.nextstepcalzature.it/","www.nextstepcalzature.it")</f>
        <v>www.nextstepcalzature.it</v>
      </c>
      <c r="J2264" s="10">
        <v>1890.059</v>
      </c>
      <c r="K2264" s="10">
        <v>1890.059</v>
      </c>
      <c r="L2264" s="10">
        <v>1940.4349999999999</v>
      </c>
      <c r="M2264" s="10">
        <v>-152.62100000000001</v>
      </c>
      <c r="N2264" s="10">
        <v>-152.62100000000001</v>
      </c>
      <c r="O2264" s="10">
        <v>139.584</v>
      </c>
      <c r="P2264" s="10">
        <v>35</v>
      </c>
      <c r="Q2264" s="10">
        <v>35</v>
      </c>
      <c r="R2264" s="10">
        <v>27</v>
      </c>
    </row>
    <row r="2265" spans="1:18" ht="17" customHeight="1" x14ac:dyDescent="0.15">
      <c r="A2265" s="11" t="s">
        <v>12065</v>
      </c>
      <c r="B2265" s="1" t="s">
        <v>12066</v>
      </c>
      <c r="C2265" s="11" t="s">
        <v>12067</v>
      </c>
      <c r="D2265" s="11" t="s">
        <v>12067</v>
      </c>
      <c r="E2265" s="11" t="s">
        <v>12068</v>
      </c>
      <c r="F2265" s="11" t="s">
        <v>12059</v>
      </c>
      <c r="G2265" s="11" t="s">
        <v>11949</v>
      </c>
      <c r="H2265" s="11" t="s">
        <v>11950</v>
      </c>
      <c r="I2265" s="11" t="str">
        <f>HYPERLINK("http://www.sixstop.it/","www.sixstop.it")</f>
        <v>www.sixstop.it</v>
      </c>
      <c r="J2265" s="12">
        <v>2146.9879999999998</v>
      </c>
      <c r="K2265" s="12">
        <v>2146.9879999999998</v>
      </c>
      <c r="L2265" s="13">
        <v>1937.491</v>
      </c>
      <c r="M2265" s="12">
        <v>98.075999999999993</v>
      </c>
      <c r="N2265" s="12">
        <v>98.075999999999993</v>
      </c>
      <c r="O2265" s="12">
        <v>42.081000000000003</v>
      </c>
      <c r="P2265" s="14" t="s">
        <v>11956</v>
      </c>
      <c r="Q2265" s="14" t="s">
        <v>11956</v>
      </c>
      <c r="R2265" s="12">
        <v>12</v>
      </c>
    </row>
    <row r="2266" spans="1:18" ht="17" customHeight="1" x14ac:dyDescent="0.15">
      <c r="A2266" s="8" t="s">
        <v>12069</v>
      </c>
      <c r="B2266" s="9" t="s">
        <v>12070</v>
      </c>
      <c r="C2266" s="8" t="s">
        <v>12071</v>
      </c>
      <c r="D2266" s="8" t="s">
        <v>12071</v>
      </c>
      <c r="E2266" s="8" t="s">
        <v>12072</v>
      </c>
      <c r="F2266" s="8" t="s">
        <v>12073</v>
      </c>
      <c r="G2266" s="8" t="s">
        <v>12074</v>
      </c>
      <c r="H2266" s="8" t="s">
        <v>12012</v>
      </c>
      <c r="I2266" s="8" t="str">
        <f>HYPERLINK("http://www.graphimode.com/","http://www.graphimode.com")</f>
        <v>http://www.graphimode.com</v>
      </c>
      <c r="J2266" s="10">
        <v>1496.5940000000001</v>
      </c>
      <c r="K2266" s="10">
        <v>1496.5940000000001</v>
      </c>
      <c r="L2266" s="10">
        <v>1935.29</v>
      </c>
      <c r="M2266" s="10">
        <v>-28.475999999999999</v>
      </c>
      <c r="N2266" s="10">
        <v>-28.475999999999999</v>
      </c>
      <c r="O2266" s="10">
        <v>-19.957000000000001</v>
      </c>
      <c r="P2266" s="10">
        <v>7</v>
      </c>
      <c r="Q2266" s="10">
        <v>7</v>
      </c>
      <c r="R2266" s="10">
        <v>7</v>
      </c>
    </row>
    <row r="2267" spans="1:18" ht="17" customHeight="1" x14ac:dyDescent="0.15">
      <c r="A2267" s="11" t="s">
        <v>12075</v>
      </c>
      <c r="B2267" s="1" t="s">
        <v>12076</v>
      </c>
      <c r="C2267" s="11" t="s">
        <v>12077</v>
      </c>
      <c r="D2267" s="11" t="s">
        <v>12077</v>
      </c>
      <c r="E2267" s="11" t="s">
        <v>12078</v>
      </c>
      <c r="F2267" s="11" t="s">
        <v>12079</v>
      </c>
      <c r="G2267" s="11" t="s">
        <v>12080</v>
      </c>
      <c r="H2267" s="11" t="s">
        <v>12081</v>
      </c>
      <c r="I2267" s="11" t="str">
        <f>HYPERLINK("http://www.fashiondog.it/","www.fashiondog.it")</f>
        <v>www.fashiondog.it</v>
      </c>
      <c r="J2267" s="12">
        <v>2260.8449999999998</v>
      </c>
      <c r="K2267" s="12">
        <v>2260.8449999999998</v>
      </c>
      <c r="L2267" s="13">
        <v>1933.8720000000001</v>
      </c>
      <c r="M2267" s="12">
        <v>73.085999999999999</v>
      </c>
      <c r="N2267" s="12">
        <v>73.085999999999999</v>
      </c>
      <c r="O2267" s="12">
        <v>103.044</v>
      </c>
      <c r="P2267" s="12">
        <v>6</v>
      </c>
      <c r="Q2267" s="12">
        <v>6</v>
      </c>
      <c r="R2267" s="12">
        <v>5</v>
      </c>
    </row>
    <row r="2268" spans="1:18" ht="17" customHeight="1" x14ac:dyDescent="0.15">
      <c r="A2268" s="8" t="s">
        <v>12082</v>
      </c>
      <c r="B2268" s="9" t="s">
        <v>12083</v>
      </c>
      <c r="C2268" s="8" t="s">
        <v>12084</v>
      </c>
      <c r="D2268" s="8" t="s">
        <v>12084</v>
      </c>
      <c r="E2268" s="8" t="s">
        <v>12085</v>
      </c>
      <c r="F2268" s="8" t="s">
        <v>11973</v>
      </c>
      <c r="G2268" s="8" t="s">
        <v>12086</v>
      </c>
      <c r="H2268" s="8" t="s">
        <v>12081</v>
      </c>
      <c r="I2268" s="8" t="str">
        <f>HYPERLINK("http://www.shop.sartoriaschiavi.com/","www.shop.sartoriaschiavi.com")</f>
        <v>www.shop.sartoriaschiavi.com</v>
      </c>
      <c r="J2268" s="10">
        <v>1782.885</v>
      </c>
      <c r="K2268" s="10">
        <v>1782.885</v>
      </c>
      <c r="L2268" s="10">
        <v>1929.9059999999999</v>
      </c>
      <c r="M2268" s="10">
        <v>16.597000000000001</v>
      </c>
      <c r="N2268" s="10">
        <v>16.597000000000001</v>
      </c>
      <c r="O2268" s="10">
        <v>17.286999999999999</v>
      </c>
      <c r="P2268" s="10">
        <v>11</v>
      </c>
      <c r="Q2268" s="10">
        <v>11</v>
      </c>
      <c r="R2268" s="10">
        <v>10</v>
      </c>
    </row>
    <row r="2269" spans="1:18" ht="17" customHeight="1" x14ac:dyDescent="0.15">
      <c r="A2269" s="11" t="s">
        <v>12087</v>
      </c>
      <c r="B2269" s="1" t="s">
        <v>12088</v>
      </c>
      <c r="C2269" s="11" t="s">
        <v>12089</v>
      </c>
      <c r="D2269" s="11" t="s">
        <v>12089</v>
      </c>
      <c r="E2269" s="11" t="s">
        <v>12090</v>
      </c>
      <c r="F2269" s="11" t="s">
        <v>11942</v>
      </c>
      <c r="G2269" s="11" t="s">
        <v>12091</v>
      </c>
      <c r="H2269" s="11" t="s">
        <v>11968</v>
      </c>
      <c r="I2269" s="11" t="str">
        <f>HYPERLINK("http://tuscanytricot.com/","tuscanytricot.com")</f>
        <v>tuscanytricot.com</v>
      </c>
      <c r="J2269" s="12">
        <v>1642.674</v>
      </c>
      <c r="K2269" s="12">
        <v>1642.674</v>
      </c>
      <c r="L2269" s="13">
        <v>1926.9939999999999</v>
      </c>
      <c r="M2269" s="12">
        <v>-9.4369999999999994</v>
      </c>
      <c r="N2269" s="12">
        <v>-9.4369999999999994</v>
      </c>
      <c r="O2269" s="12">
        <v>7.4690000000000003</v>
      </c>
      <c r="P2269" s="12">
        <v>5</v>
      </c>
      <c r="Q2269" s="12">
        <v>5</v>
      </c>
      <c r="R2269" s="12">
        <v>7</v>
      </c>
    </row>
    <row r="2270" spans="1:18" ht="17" customHeight="1" x14ac:dyDescent="0.15">
      <c r="A2270" s="8" t="s">
        <v>12092</v>
      </c>
      <c r="B2270" s="9" t="s">
        <v>12093</v>
      </c>
      <c r="C2270" s="8" t="s">
        <v>12094</v>
      </c>
      <c r="D2270" s="8" t="s">
        <v>12094</v>
      </c>
      <c r="E2270" s="8" t="s">
        <v>12095</v>
      </c>
      <c r="F2270" s="8" t="s">
        <v>11942</v>
      </c>
      <c r="G2270" s="8" t="s">
        <v>12096</v>
      </c>
      <c r="H2270" s="8" t="s">
        <v>12012</v>
      </c>
      <c r="I2270" s="8" t="str">
        <f>HYPERLINK("http://maglieriaservicem.it/","maglieriaservicem.it")</f>
        <v>maglieriaservicem.it</v>
      </c>
      <c r="J2270" s="10">
        <v>1854.5619999999999</v>
      </c>
      <c r="K2270" s="10">
        <v>1854.5619999999999</v>
      </c>
      <c r="L2270" s="10">
        <v>1926.556</v>
      </c>
      <c r="M2270" s="10">
        <v>238.09</v>
      </c>
      <c r="N2270" s="10">
        <v>238.09</v>
      </c>
      <c r="O2270" s="10">
        <v>380.25099999999998</v>
      </c>
      <c r="P2270" s="15" t="s">
        <v>11956</v>
      </c>
      <c r="Q2270" s="15" t="s">
        <v>11956</v>
      </c>
      <c r="R2270" s="10">
        <v>7</v>
      </c>
    </row>
    <row r="2271" spans="1:18" ht="17" customHeight="1" x14ac:dyDescent="0.15">
      <c r="A2271" s="11" t="s">
        <v>12097</v>
      </c>
      <c r="B2271" s="1" t="s">
        <v>12098</v>
      </c>
      <c r="C2271" s="11" t="s">
        <v>12099</v>
      </c>
      <c r="D2271" s="11" t="s">
        <v>12099</v>
      </c>
      <c r="E2271" s="11" t="s">
        <v>12100</v>
      </c>
      <c r="F2271" s="11" t="s">
        <v>11942</v>
      </c>
      <c r="G2271" s="11" t="s">
        <v>11943</v>
      </c>
      <c r="H2271" s="11" t="s">
        <v>11944</v>
      </c>
      <c r="I2271" s="11" t="str">
        <f>HYPERLINK("http://lunariacashmere.it/","lunariacashmere.it")</f>
        <v>lunariacashmere.it</v>
      </c>
      <c r="J2271" s="12">
        <v>1791.7829999999999</v>
      </c>
      <c r="K2271" s="12">
        <v>1791.7829999999999</v>
      </c>
      <c r="L2271" s="13">
        <v>1926.18</v>
      </c>
      <c r="M2271" s="12">
        <v>1.149</v>
      </c>
      <c r="N2271" s="12">
        <v>1.149</v>
      </c>
      <c r="O2271" s="12">
        <v>3.6680000000000001</v>
      </c>
      <c r="P2271" s="14" t="s">
        <v>11956</v>
      </c>
      <c r="Q2271" s="14" t="s">
        <v>11956</v>
      </c>
      <c r="R2271" s="12">
        <v>16</v>
      </c>
    </row>
    <row r="2272" spans="1:18" ht="17" customHeight="1" x14ac:dyDescent="0.15">
      <c r="A2272" s="8" t="s">
        <v>12101</v>
      </c>
      <c r="B2272" s="9" t="s">
        <v>12102</v>
      </c>
      <c r="C2272" s="8" t="s">
        <v>12103</v>
      </c>
      <c r="D2272" s="8" t="s">
        <v>12103</v>
      </c>
      <c r="E2272" s="8" t="s">
        <v>12104</v>
      </c>
      <c r="F2272" s="8" t="s">
        <v>12059</v>
      </c>
      <c r="G2272" s="8" t="s">
        <v>12064</v>
      </c>
      <c r="H2272" s="8" t="s">
        <v>11993</v>
      </c>
      <c r="I2272" s="8" t="str">
        <f>HYPERLINK("http://www.pietrobrunelli.com/","www.pietrobrunelli.com")</f>
        <v>www.pietrobrunelli.com</v>
      </c>
      <c r="J2272" s="10">
        <v>2626.0680000000002</v>
      </c>
      <c r="K2272" s="10">
        <v>2626.0680000000002</v>
      </c>
      <c r="L2272" s="10">
        <v>1924.191</v>
      </c>
      <c r="M2272" s="10">
        <v>123.634</v>
      </c>
      <c r="N2272" s="10">
        <v>123.634</v>
      </c>
      <c r="O2272" s="10">
        <v>31.545999999999999</v>
      </c>
      <c r="P2272" s="10">
        <v>9</v>
      </c>
      <c r="Q2272" s="10">
        <v>9</v>
      </c>
      <c r="R2272" s="10">
        <v>9</v>
      </c>
    </row>
    <row r="2273" spans="1:18" ht="17" customHeight="1" x14ac:dyDescent="0.15">
      <c r="A2273" s="11" t="s">
        <v>12105</v>
      </c>
      <c r="B2273" s="1" t="s">
        <v>12106</v>
      </c>
      <c r="C2273" s="11" t="s">
        <v>12107</v>
      </c>
      <c r="D2273" s="11" t="s">
        <v>12107</v>
      </c>
      <c r="E2273" s="11" t="s">
        <v>12108</v>
      </c>
      <c r="F2273" s="11" t="s">
        <v>12109</v>
      </c>
      <c r="G2273" s="11" t="s">
        <v>12110</v>
      </c>
      <c r="H2273" s="11" t="s">
        <v>12111</v>
      </c>
      <c r="I2273" s="11" t="str">
        <f>HYPERLINK("http://www.matteorota.it/","www.matteorota.it")</f>
        <v>www.matteorota.it</v>
      </c>
      <c r="J2273" s="12">
        <v>1742.777</v>
      </c>
      <c r="K2273" s="12">
        <v>1742.777</v>
      </c>
      <c r="L2273" s="13">
        <v>1924.248</v>
      </c>
      <c r="M2273" s="12">
        <v>84.695999999999998</v>
      </c>
      <c r="N2273" s="12">
        <v>84.695999999999998</v>
      </c>
      <c r="O2273" s="12">
        <v>76.585999999999999</v>
      </c>
      <c r="P2273" s="12">
        <v>14</v>
      </c>
      <c r="Q2273" s="12">
        <v>14</v>
      </c>
      <c r="R2273" s="12">
        <v>14</v>
      </c>
    </row>
    <row r="2274" spans="1:18" ht="17" customHeight="1" x14ac:dyDescent="0.15">
      <c r="A2274" s="8" t="s">
        <v>12112</v>
      </c>
      <c r="B2274" s="9" t="s">
        <v>12113</v>
      </c>
      <c r="C2274" s="8" t="s">
        <v>12114</v>
      </c>
      <c r="D2274" s="8" t="s">
        <v>12114</v>
      </c>
      <c r="E2274" s="8" t="s">
        <v>12115</v>
      </c>
      <c r="F2274" s="8" t="s">
        <v>12116</v>
      </c>
      <c r="G2274" s="8" t="s">
        <v>12117</v>
      </c>
      <c r="H2274" s="8" t="s">
        <v>12118</v>
      </c>
      <c r="I2274" s="8" t="str">
        <f>HYPERLINK("http://www.zanieri.it/","http://www.zanieri.it")</f>
        <v>http://www.zanieri.it</v>
      </c>
      <c r="J2274" s="10">
        <v>1693.72</v>
      </c>
      <c r="K2274" s="10">
        <v>1693.72</v>
      </c>
      <c r="L2274" s="10">
        <v>1922.0419999999999</v>
      </c>
      <c r="M2274" s="10">
        <v>13.718999999999999</v>
      </c>
      <c r="N2274" s="10">
        <v>13.718999999999999</v>
      </c>
      <c r="O2274" s="10">
        <v>9.3040000000000003</v>
      </c>
      <c r="P2274" s="15" t="s">
        <v>12119</v>
      </c>
      <c r="Q2274" s="15" t="s">
        <v>12119</v>
      </c>
      <c r="R2274" s="10">
        <v>8</v>
      </c>
    </row>
    <row r="2275" spans="1:18" ht="29.5" customHeight="1" x14ac:dyDescent="0.15">
      <c r="A2275" s="11" t="s">
        <v>12120</v>
      </c>
      <c r="B2275" s="1" t="s">
        <v>12121</v>
      </c>
      <c r="C2275" s="11" t="s">
        <v>12122</v>
      </c>
      <c r="D2275" s="11" t="s">
        <v>12122</v>
      </c>
      <c r="E2275" s="11" t="s">
        <v>12123</v>
      </c>
      <c r="F2275" s="11" t="s">
        <v>12124</v>
      </c>
      <c r="G2275" s="11" t="s">
        <v>12125</v>
      </c>
      <c r="H2275" s="11" t="s">
        <v>12111</v>
      </c>
      <c r="I2275" s="11" t="str">
        <f>HYPERLINK("http://www.cinturificiomarcoparisi.com/","www.cinturificiomarcoparisi.com")</f>
        <v>www.cinturificiomarcoparisi.com</v>
      </c>
      <c r="J2275" s="12">
        <v>2298.6210000000001</v>
      </c>
      <c r="K2275" s="12">
        <v>1894.857</v>
      </c>
      <c r="L2275" s="13">
        <v>1920.0060000000001</v>
      </c>
      <c r="M2275" s="12">
        <v>175.88499999999999</v>
      </c>
      <c r="N2275" s="12">
        <v>59.143000000000001</v>
      </c>
      <c r="O2275" s="12">
        <v>0.64500000000000002</v>
      </c>
      <c r="P2275" s="12">
        <v>13</v>
      </c>
      <c r="Q2275" s="12">
        <v>13</v>
      </c>
      <c r="R2275" s="12">
        <v>11</v>
      </c>
    </row>
    <row r="2276" spans="1:18" ht="29.5" customHeight="1" x14ac:dyDescent="0.15">
      <c r="A2276" s="8" t="s">
        <v>12126</v>
      </c>
      <c r="B2276" s="9" t="s">
        <v>12127</v>
      </c>
      <c r="C2276" s="8" t="s">
        <v>12128</v>
      </c>
      <c r="D2276" s="8" t="s">
        <v>12128</v>
      </c>
      <c r="E2276" s="8" t="s">
        <v>12129</v>
      </c>
      <c r="F2276" s="8" t="s">
        <v>12130</v>
      </c>
      <c r="G2276" s="8" t="s">
        <v>12131</v>
      </c>
      <c r="H2276" s="8" t="s">
        <v>12132</v>
      </c>
      <c r="I2276" s="8" t="str">
        <f>HYPERLINK("http://aelle.hiphop/","aelle.hiphop")</f>
        <v>aelle.hiphop</v>
      </c>
      <c r="J2276" s="10">
        <v>2083.9360000000001</v>
      </c>
      <c r="K2276" s="10">
        <v>2083.9360000000001</v>
      </c>
      <c r="L2276" s="10">
        <v>1919.7460000000001</v>
      </c>
      <c r="M2276" s="10">
        <v>64.903000000000006</v>
      </c>
      <c r="N2276" s="10">
        <v>64.903000000000006</v>
      </c>
      <c r="O2276" s="10">
        <v>81.631</v>
      </c>
      <c r="P2276" s="15" t="s">
        <v>12119</v>
      </c>
      <c r="Q2276" s="15" t="s">
        <v>12119</v>
      </c>
      <c r="R2276" s="10">
        <v>10</v>
      </c>
    </row>
    <row r="2277" spans="1:18" ht="17" customHeight="1" x14ac:dyDescent="0.15">
      <c r="A2277" s="11" t="s">
        <v>12133</v>
      </c>
      <c r="B2277" s="1" t="s">
        <v>12134</v>
      </c>
      <c r="C2277" s="11" t="s">
        <v>12135</v>
      </c>
      <c r="D2277" s="11" t="s">
        <v>12135</v>
      </c>
      <c r="E2277" s="11" t="s">
        <v>12136</v>
      </c>
      <c r="F2277" s="11" t="s">
        <v>12124</v>
      </c>
      <c r="G2277" s="11" t="s">
        <v>12137</v>
      </c>
      <c r="H2277" s="11" t="s">
        <v>12138</v>
      </c>
      <c r="I2277" s="11" t="str">
        <f>HYPERLINK("http://www.panizza1879.com/","www.panizza1879.com")</f>
        <v>www.panizza1879.com</v>
      </c>
      <c r="J2277" s="12">
        <v>2012.886</v>
      </c>
      <c r="K2277" s="12">
        <v>2012.886</v>
      </c>
      <c r="L2277" s="13">
        <v>1917.6980000000001</v>
      </c>
      <c r="M2277" s="12">
        <v>46.433999999999997</v>
      </c>
      <c r="N2277" s="12">
        <v>46.433999999999997</v>
      </c>
      <c r="O2277" s="12">
        <v>32.932000000000002</v>
      </c>
      <c r="P2277" s="12">
        <v>10</v>
      </c>
      <c r="Q2277" s="12">
        <v>10</v>
      </c>
      <c r="R2277" s="12">
        <v>10</v>
      </c>
    </row>
    <row r="2278" spans="1:18" ht="17" customHeight="1" x14ac:dyDescent="0.15">
      <c r="A2278" s="8" t="s">
        <v>12139</v>
      </c>
      <c r="B2278" s="9" t="s">
        <v>12140</v>
      </c>
      <c r="C2278" s="8" t="s">
        <v>12141</v>
      </c>
      <c r="D2278" s="8" t="s">
        <v>12141</v>
      </c>
      <c r="E2278" s="8" t="s">
        <v>12142</v>
      </c>
      <c r="F2278" s="8" t="s">
        <v>12143</v>
      </c>
      <c r="G2278" s="8" t="s">
        <v>12144</v>
      </c>
      <c r="H2278" s="8" t="s">
        <v>12138</v>
      </c>
      <c r="I2278" s="8" t="str">
        <f>HYPERLINK("http://www.calzaturificiovictor.it/","www.calzaturificiovictor.it")</f>
        <v>www.calzaturificiovictor.it</v>
      </c>
      <c r="J2278" s="10">
        <v>1837.7560000000001</v>
      </c>
      <c r="K2278" s="10">
        <v>1837.7560000000001</v>
      </c>
      <c r="L2278" s="10">
        <v>1916.9860000000001</v>
      </c>
      <c r="M2278" s="10">
        <v>65.072000000000003</v>
      </c>
      <c r="N2278" s="10">
        <v>65.072000000000003</v>
      </c>
      <c r="O2278" s="10">
        <v>-163.41499999999999</v>
      </c>
      <c r="P2278" s="15" t="s">
        <v>12119</v>
      </c>
      <c r="Q2278" s="15" t="s">
        <v>12119</v>
      </c>
      <c r="R2278" s="10">
        <v>4</v>
      </c>
    </row>
    <row r="2279" spans="1:18" ht="17" customHeight="1" x14ac:dyDescent="0.15">
      <c r="A2279" s="11" t="s">
        <v>12145</v>
      </c>
      <c r="B2279" s="1" t="s">
        <v>12146</v>
      </c>
      <c r="C2279" s="11" t="s">
        <v>12147</v>
      </c>
      <c r="D2279" s="11" t="s">
        <v>12147</v>
      </c>
      <c r="E2279" s="11" t="s">
        <v>12148</v>
      </c>
      <c r="F2279" s="11" t="s">
        <v>12149</v>
      </c>
      <c r="G2279" s="11" t="s">
        <v>12150</v>
      </c>
      <c r="H2279" s="11" t="s">
        <v>12151</v>
      </c>
      <c r="I2279" s="11" t="str">
        <f>HYPERLINK("http://www.lianuma.com/","www.lianuma.com")</f>
        <v>www.lianuma.com</v>
      </c>
      <c r="J2279" s="12">
        <v>1624.146</v>
      </c>
      <c r="K2279" s="12">
        <v>1624.146</v>
      </c>
      <c r="L2279" s="13">
        <v>1914.654</v>
      </c>
      <c r="M2279" s="12">
        <v>17.056000000000001</v>
      </c>
      <c r="N2279" s="12">
        <v>17.056000000000001</v>
      </c>
      <c r="O2279" s="12">
        <v>15.084</v>
      </c>
      <c r="P2279" s="12">
        <v>16</v>
      </c>
      <c r="Q2279" s="12">
        <v>16</v>
      </c>
      <c r="R2279" s="12">
        <v>13</v>
      </c>
    </row>
    <row r="2280" spans="1:18" ht="17" customHeight="1" x14ac:dyDescent="0.15">
      <c r="A2280" s="8" t="s">
        <v>12152</v>
      </c>
      <c r="B2280" s="9" t="s">
        <v>12153</v>
      </c>
      <c r="C2280" s="8" t="s">
        <v>12154</v>
      </c>
      <c r="D2280" s="8" t="s">
        <v>12154</v>
      </c>
      <c r="E2280" s="8" t="s">
        <v>12155</v>
      </c>
      <c r="F2280" s="8" t="s">
        <v>12156</v>
      </c>
      <c r="G2280" s="8" t="s">
        <v>12157</v>
      </c>
      <c r="H2280" s="8" t="s">
        <v>12158</v>
      </c>
      <c r="I2280" s="8" t="str">
        <f>HYPERLINK("http://www.suolificiomonterisi.it/","http://www.suolificiomonterisi.it")</f>
        <v>http://www.suolificiomonterisi.it</v>
      </c>
      <c r="J2280" s="10">
        <v>1990.357</v>
      </c>
      <c r="K2280" s="10">
        <v>1990.357</v>
      </c>
      <c r="L2280" s="10">
        <v>1909.2660000000001</v>
      </c>
      <c r="M2280" s="10">
        <v>123.212</v>
      </c>
      <c r="N2280" s="10">
        <v>123.212</v>
      </c>
      <c r="O2280" s="10">
        <v>66.307000000000002</v>
      </c>
      <c r="P2280" s="15" t="s">
        <v>12119</v>
      </c>
      <c r="Q2280" s="15" t="s">
        <v>12119</v>
      </c>
      <c r="R2280" s="10">
        <v>20</v>
      </c>
    </row>
    <row r="2281" spans="1:18" ht="29.5" customHeight="1" x14ac:dyDescent="0.15">
      <c r="A2281" s="11" t="s">
        <v>12159</v>
      </c>
      <c r="B2281" s="1" t="s">
        <v>12160</v>
      </c>
      <c r="C2281" s="11" t="s">
        <v>12161</v>
      </c>
      <c r="D2281" s="11" t="s">
        <v>12161</v>
      </c>
      <c r="E2281" s="11" t="s">
        <v>12162</v>
      </c>
      <c r="F2281" s="11" t="s">
        <v>12163</v>
      </c>
      <c r="G2281" s="11" t="s">
        <v>12164</v>
      </c>
      <c r="H2281" s="11" t="s">
        <v>12165</v>
      </c>
      <c r="I2281" s="11" t="str">
        <f>HYPERLINK("http://www.gruppoaccessoriitalia.com/","www.gruppoaccessoriitalia.com")</f>
        <v>www.gruppoaccessoriitalia.com</v>
      </c>
      <c r="J2281" s="12">
        <v>2789.0509999999999</v>
      </c>
      <c r="K2281" s="12">
        <v>2789.0509999999999</v>
      </c>
      <c r="L2281" s="13">
        <v>1908.4010000000001</v>
      </c>
      <c r="M2281" s="12">
        <v>271.15800000000002</v>
      </c>
      <c r="N2281" s="12">
        <v>271.15800000000002</v>
      </c>
      <c r="O2281" s="12">
        <v>93.331000000000003</v>
      </c>
      <c r="P2281" s="12">
        <v>8</v>
      </c>
      <c r="Q2281" s="12">
        <v>8</v>
      </c>
      <c r="R2281" s="12">
        <v>8</v>
      </c>
    </row>
    <row r="2282" spans="1:18" ht="17" customHeight="1" x14ac:dyDescent="0.15">
      <c r="A2282" s="8" t="s">
        <v>12166</v>
      </c>
      <c r="B2282" s="9" t="s">
        <v>12167</v>
      </c>
      <c r="C2282" s="8" t="s">
        <v>12168</v>
      </c>
      <c r="D2282" s="8" t="s">
        <v>12168</v>
      </c>
      <c r="E2282" s="8" t="s">
        <v>12169</v>
      </c>
      <c r="F2282" s="8" t="s">
        <v>12170</v>
      </c>
      <c r="G2282" s="8" t="s">
        <v>12171</v>
      </c>
      <c r="H2282" s="8" t="s">
        <v>12138</v>
      </c>
      <c r="I2282" s="8" t="str">
        <f>HYPERLINK("http://www.cerripellami.it/","www.cerripellami.it")</f>
        <v>www.cerripellami.it</v>
      </c>
      <c r="J2282" s="10">
        <v>1435.8810000000001</v>
      </c>
      <c r="K2282" s="10">
        <v>1435.8810000000001</v>
      </c>
      <c r="L2282" s="10">
        <v>1907.202</v>
      </c>
      <c r="M2282" s="10">
        <v>38.411999999999999</v>
      </c>
      <c r="N2282" s="10">
        <v>38.411999999999999</v>
      </c>
      <c r="O2282" s="10">
        <v>283.45999999999998</v>
      </c>
      <c r="P2282" s="10">
        <v>7</v>
      </c>
      <c r="Q2282" s="10">
        <v>7</v>
      </c>
      <c r="R2282" s="10">
        <v>11</v>
      </c>
    </row>
    <row r="2283" spans="1:18" ht="17" customHeight="1" x14ac:dyDescent="0.15">
      <c r="A2283" s="11" t="s">
        <v>12172</v>
      </c>
      <c r="B2283" s="1" t="s">
        <v>12173</v>
      </c>
      <c r="C2283" s="11" t="s">
        <v>12174</v>
      </c>
      <c r="D2283" s="11" t="s">
        <v>12174</v>
      </c>
      <c r="E2283" s="11" t="s">
        <v>12175</v>
      </c>
      <c r="F2283" s="11" t="s">
        <v>12109</v>
      </c>
      <c r="G2283" s="11" t="s">
        <v>12176</v>
      </c>
      <c r="H2283" s="11" t="s">
        <v>12177</v>
      </c>
      <c r="I2283" s="11" t="str">
        <f>HYPERLINK("http://www.angelomarani.com/","www.angelomarani.com")</f>
        <v>www.angelomarani.com</v>
      </c>
      <c r="J2283" s="12">
        <v>1872.5930000000001</v>
      </c>
      <c r="K2283" s="12">
        <v>1872.5930000000001</v>
      </c>
      <c r="L2283" s="13">
        <v>1906.078</v>
      </c>
      <c r="M2283" s="12">
        <v>-202.553</v>
      </c>
      <c r="N2283" s="12">
        <v>-202.553</v>
      </c>
      <c r="O2283" s="12">
        <v>-299.262</v>
      </c>
      <c r="P2283" s="12">
        <v>19</v>
      </c>
      <c r="Q2283" s="12">
        <v>19</v>
      </c>
      <c r="R2283" s="12">
        <v>20</v>
      </c>
    </row>
    <row r="2284" spans="1:18" ht="17" customHeight="1" x14ac:dyDescent="0.15">
      <c r="A2284" s="8" t="s">
        <v>12178</v>
      </c>
      <c r="B2284" s="9" t="s">
        <v>12179</v>
      </c>
      <c r="C2284" s="8" t="s">
        <v>12180</v>
      </c>
      <c r="D2284" s="8" t="s">
        <v>12180</v>
      </c>
      <c r="E2284" s="8" t="s">
        <v>12181</v>
      </c>
      <c r="F2284" s="8" t="s">
        <v>12182</v>
      </c>
      <c r="G2284" s="8" t="s">
        <v>12183</v>
      </c>
      <c r="H2284" s="8" t="s">
        <v>12111</v>
      </c>
      <c r="I2284" s="8" t="str">
        <f>HYPERLINK("http://goeldlincollection.it/","goeldlincollection.it")</f>
        <v>goeldlincollection.it</v>
      </c>
      <c r="J2284" s="10">
        <v>2118.1370000000002</v>
      </c>
      <c r="K2284" s="10">
        <v>2118.1370000000002</v>
      </c>
      <c r="L2284" s="10">
        <v>1905.2909999999999</v>
      </c>
      <c r="M2284" s="10">
        <v>19.658999999999999</v>
      </c>
      <c r="N2284" s="10">
        <v>19.658999999999999</v>
      </c>
      <c r="O2284" s="10">
        <v>48.771000000000001</v>
      </c>
      <c r="P2284" s="10">
        <v>8</v>
      </c>
      <c r="Q2284" s="10">
        <v>8</v>
      </c>
      <c r="R2284" s="10">
        <v>7</v>
      </c>
    </row>
    <row r="2285" spans="1:18" ht="17" customHeight="1" x14ac:dyDescent="0.15">
      <c r="A2285" s="11" t="s">
        <v>12184</v>
      </c>
      <c r="B2285" s="1" t="s">
        <v>12185</v>
      </c>
      <c r="C2285" s="11" t="s">
        <v>12186</v>
      </c>
      <c r="D2285" s="11" t="s">
        <v>12186</v>
      </c>
      <c r="E2285" s="11" t="s">
        <v>12187</v>
      </c>
      <c r="F2285" s="11" t="s">
        <v>12116</v>
      </c>
      <c r="G2285" s="11" t="s">
        <v>12188</v>
      </c>
      <c r="H2285" s="11" t="s">
        <v>12165</v>
      </c>
      <c r="I2285" s="11" t="str">
        <f>HYPERLINK("http://neweventifashion.it/","neweventifashion.it")</f>
        <v>neweventifashion.it</v>
      </c>
      <c r="J2285" s="12">
        <v>2430.971</v>
      </c>
      <c r="K2285" s="12">
        <v>2430.971</v>
      </c>
      <c r="L2285" s="13">
        <v>1902.27</v>
      </c>
      <c r="M2285" s="12">
        <v>6.0049999999999999</v>
      </c>
      <c r="N2285" s="12">
        <v>6.0049999999999999</v>
      </c>
      <c r="O2285" s="12">
        <v>11.116</v>
      </c>
      <c r="P2285" s="12">
        <v>6</v>
      </c>
      <c r="Q2285" s="12">
        <v>6</v>
      </c>
      <c r="R2285" s="12">
        <v>5</v>
      </c>
    </row>
    <row r="2286" spans="1:18" ht="43" customHeight="1" x14ac:dyDescent="0.15">
      <c r="A2286" s="8" t="s">
        <v>12189</v>
      </c>
      <c r="B2286" s="9" t="s">
        <v>12190</v>
      </c>
      <c r="C2286" s="8" t="s">
        <v>12191</v>
      </c>
      <c r="D2286" s="8" t="s">
        <v>12191</v>
      </c>
      <c r="E2286" s="8" t="s">
        <v>12192</v>
      </c>
      <c r="F2286" s="8" t="s">
        <v>12124</v>
      </c>
      <c r="G2286" s="8" t="s">
        <v>12193</v>
      </c>
      <c r="H2286" s="8" t="s">
        <v>12194</v>
      </c>
      <c r="I2286" s="8" t="str">
        <f>HYPERLINK("http://www.destinsurl.com/","www.destinsurl.com")</f>
        <v>www.destinsurl.com</v>
      </c>
      <c r="J2286" s="10">
        <v>1469.9090000000001</v>
      </c>
      <c r="K2286" s="10">
        <v>1469.9090000000001</v>
      </c>
      <c r="L2286" s="10">
        <v>1896.287</v>
      </c>
      <c r="M2286" s="10">
        <v>7.5709999999999997</v>
      </c>
      <c r="N2286" s="10">
        <v>7.5709999999999997</v>
      </c>
      <c r="O2286" s="10">
        <v>138.15799999999999</v>
      </c>
      <c r="P2286" s="10">
        <v>5</v>
      </c>
      <c r="Q2286" s="10">
        <v>5</v>
      </c>
      <c r="R2286" s="10">
        <v>5</v>
      </c>
    </row>
    <row r="2287" spans="1:18" ht="17" customHeight="1" x14ac:dyDescent="0.15">
      <c r="A2287" s="11" t="s">
        <v>12195</v>
      </c>
      <c r="B2287" s="1" t="s">
        <v>12196</v>
      </c>
      <c r="C2287" s="11" t="s">
        <v>12197</v>
      </c>
      <c r="D2287" s="11" t="s">
        <v>12197</v>
      </c>
      <c r="E2287" s="11" t="s">
        <v>12198</v>
      </c>
      <c r="F2287" s="11" t="s">
        <v>12163</v>
      </c>
      <c r="G2287" s="11" t="s">
        <v>12199</v>
      </c>
      <c r="H2287" s="11" t="s">
        <v>12177</v>
      </c>
      <c r="I2287" s="11" t="str">
        <f>HYPERLINK("http://hettabretz.com/","hettabretz.com")</f>
        <v>hettabretz.com</v>
      </c>
      <c r="J2287" s="12">
        <v>2443.085</v>
      </c>
      <c r="K2287" s="12">
        <v>2443.085</v>
      </c>
      <c r="L2287" s="13">
        <v>1895.759</v>
      </c>
      <c r="M2287" s="12">
        <v>-247.26499999999999</v>
      </c>
      <c r="N2287" s="12">
        <v>-247.26499999999999</v>
      </c>
      <c r="O2287" s="12">
        <v>336.40899999999999</v>
      </c>
      <c r="P2287" s="14" t="s">
        <v>12119</v>
      </c>
      <c r="Q2287" s="14" t="s">
        <v>12119</v>
      </c>
      <c r="R2287" s="12">
        <v>17</v>
      </c>
    </row>
    <row r="2288" spans="1:18" ht="17" customHeight="1" x14ac:dyDescent="0.15">
      <c r="A2288" s="8" t="s">
        <v>12200</v>
      </c>
      <c r="B2288" s="9" t="s">
        <v>12201</v>
      </c>
      <c r="C2288" s="8" t="s">
        <v>12202</v>
      </c>
      <c r="D2288" s="8" t="s">
        <v>12202</v>
      </c>
      <c r="E2288" s="8" t="s">
        <v>12203</v>
      </c>
      <c r="F2288" s="8" t="s">
        <v>12124</v>
      </c>
      <c r="G2288" s="8" t="s">
        <v>12204</v>
      </c>
      <c r="H2288" s="8" t="s">
        <v>12165</v>
      </c>
      <c r="I2288" s="8" t="str">
        <f>HYPERLINK("http://www.ribknit.it/","www.ribknit.it")</f>
        <v>www.ribknit.it</v>
      </c>
      <c r="J2288" s="10">
        <v>1974.364</v>
      </c>
      <c r="K2288" s="10">
        <v>1974.364</v>
      </c>
      <c r="L2288" s="10">
        <v>1894.8430000000001</v>
      </c>
      <c r="M2288" s="10">
        <v>-84.492999999999995</v>
      </c>
      <c r="N2288" s="10">
        <v>-84.492999999999995</v>
      </c>
      <c r="O2288" s="10">
        <v>87.274000000000001</v>
      </c>
      <c r="P2288" s="10">
        <v>17</v>
      </c>
      <c r="Q2288" s="10">
        <v>17</v>
      </c>
      <c r="R2288" s="10">
        <v>16</v>
      </c>
    </row>
    <row r="2289" spans="1:18" ht="17" customHeight="1" x14ac:dyDescent="0.15">
      <c r="A2289" s="11" t="s">
        <v>12205</v>
      </c>
      <c r="B2289" s="1" t="s">
        <v>12206</v>
      </c>
      <c r="C2289" s="11" t="s">
        <v>12207</v>
      </c>
      <c r="D2289" s="11" t="s">
        <v>12207</v>
      </c>
      <c r="E2289" s="11" t="s">
        <v>12208</v>
      </c>
      <c r="F2289" s="11" t="s">
        <v>12109</v>
      </c>
      <c r="G2289" s="11" t="s">
        <v>12183</v>
      </c>
      <c r="H2289" s="11" t="s">
        <v>12111</v>
      </c>
      <c r="I2289" s="11" t="str">
        <f>HYPERLINK("http://www.wmrlaw.it/","www.wmrlaw.it")</f>
        <v>www.wmrlaw.it</v>
      </c>
      <c r="J2289" s="12">
        <v>1826.422</v>
      </c>
      <c r="K2289" s="12">
        <v>1826.422</v>
      </c>
      <c r="L2289" s="13">
        <v>1890.0409999999999</v>
      </c>
      <c r="M2289" s="12">
        <v>72.533000000000001</v>
      </c>
      <c r="N2289" s="12">
        <v>72.533000000000001</v>
      </c>
      <c r="O2289" s="12">
        <v>39.787999999999997</v>
      </c>
      <c r="P2289" s="12">
        <v>14</v>
      </c>
      <c r="Q2289" s="12">
        <v>14</v>
      </c>
      <c r="R2289" s="12">
        <v>15</v>
      </c>
    </row>
    <row r="2290" spans="1:18" ht="17" customHeight="1" x14ac:dyDescent="0.15">
      <c r="A2290" s="8" t="s">
        <v>12209</v>
      </c>
      <c r="B2290" s="9" t="s">
        <v>12210</v>
      </c>
      <c r="C2290" s="8" t="s">
        <v>12211</v>
      </c>
      <c r="D2290" s="8" t="s">
        <v>12211</v>
      </c>
      <c r="E2290" s="8" t="s">
        <v>12212</v>
      </c>
      <c r="F2290" s="8" t="s">
        <v>12170</v>
      </c>
      <c r="G2290" s="8" t="s">
        <v>12188</v>
      </c>
      <c r="H2290" s="8" t="s">
        <v>12165</v>
      </c>
      <c r="I2290" s="8" t="str">
        <f>HYPERLINK("http://www.gidal.it/","www.gidal.it")</f>
        <v>www.gidal.it</v>
      </c>
      <c r="J2290" s="10">
        <v>1664.664</v>
      </c>
      <c r="K2290" s="10">
        <v>1664.664</v>
      </c>
      <c r="L2290" s="10">
        <v>1889.9559999999999</v>
      </c>
      <c r="M2290" s="10">
        <v>48.420999999999999</v>
      </c>
      <c r="N2290" s="10">
        <v>48.420999999999999</v>
      </c>
      <c r="O2290" s="10">
        <v>57.27</v>
      </c>
      <c r="P2290" s="10">
        <v>10</v>
      </c>
      <c r="Q2290" s="10">
        <v>10</v>
      </c>
      <c r="R2290" s="10">
        <v>15</v>
      </c>
    </row>
    <row r="2291" spans="1:18" ht="17" customHeight="1" x14ac:dyDescent="0.15">
      <c r="A2291" s="11" t="s">
        <v>12213</v>
      </c>
      <c r="B2291" s="1" t="s">
        <v>12214</v>
      </c>
      <c r="C2291" s="11" t="s">
        <v>12215</v>
      </c>
      <c r="D2291" s="11" t="s">
        <v>12215</v>
      </c>
      <c r="E2291" s="11" t="s">
        <v>12216</v>
      </c>
      <c r="F2291" s="11" t="s">
        <v>12109</v>
      </c>
      <c r="G2291" s="11" t="s">
        <v>12183</v>
      </c>
      <c r="H2291" s="11" t="s">
        <v>12111</v>
      </c>
      <c r="I2291" s="11" t="str">
        <f>HYPERLINK("http://www.sportandmedia.it/","www.sportandmedia.it")</f>
        <v>www.sportandmedia.it</v>
      </c>
      <c r="J2291" s="12">
        <v>2101.252</v>
      </c>
      <c r="K2291" s="12">
        <v>2101.252</v>
      </c>
      <c r="L2291" s="13">
        <v>1886.3150000000001</v>
      </c>
      <c r="M2291" s="12">
        <v>136.98500000000001</v>
      </c>
      <c r="N2291" s="12">
        <v>136.98500000000001</v>
      </c>
      <c r="O2291" s="12">
        <v>115.89</v>
      </c>
      <c r="P2291" s="14" t="s">
        <v>12119</v>
      </c>
      <c r="Q2291" s="14" t="s">
        <v>12119</v>
      </c>
      <c r="R2291" s="14" t="s">
        <v>12119</v>
      </c>
    </row>
    <row r="2292" spans="1:18" ht="17" customHeight="1" x14ac:dyDescent="0.15">
      <c r="A2292" s="8" t="s">
        <v>12217</v>
      </c>
      <c r="B2292" s="9" t="s">
        <v>12218</v>
      </c>
      <c r="C2292" s="8" t="s">
        <v>12219</v>
      </c>
      <c r="D2292" s="8" t="s">
        <v>12219</v>
      </c>
      <c r="E2292" s="8" t="s">
        <v>12220</v>
      </c>
      <c r="F2292" s="8" t="s">
        <v>12124</v>
      </c>
      <c r="G2292" s="8" t="s">
        <v>12221</v>
      </c>
      <c r="H2292" s="8" t="s">
        <v>12177</v>
      </c>
      <c r="I2292" s="8" t="str">
        <f>HYPERLINK("http://www.messori.it/","www.messori.it")</f>
        <v>www.messori.it</v>
      </c>
      <c r="J2292" s="10">
        <v>1927.56</v>
      </c>
      <c r="K2292" s="10">
        <v>1927.56</v>
      </c>
      <c r="L2292" s="10">
        <v>1886.2339999999999</v>
      </c>
      <c r="M2292" s="10">
        <v>285.38200000000001</v>
      </c>
      <c r="N2292" s="10">
        <v>285.38200000000001</v>
      </c>
      <c r="O2292" s="10">
        <v>504.87400000000002</v>
      </c>
      <c r="P2292" s="10">
        <v>2</v>
      </c>
      <c r="Q2292" s="10">
        <v>2</v>
      </c>
      <c r="R2292" s="10">
        <v>2</v>
      </c>
    </row>
    <row r="2293" spans="1:18" ht="17" customHeight="1" x14ac:dyDescent="0.15">
      <c r="A2293" s="11" t="s">
        <v>12222</v>
      </c>
      <c r="B2293" s="1" t="s">
        <v>12223</v>
      </c>
      <c r="C2293" s="11" t="s">
        <v>12224</v>
      </c>
      <c r="D2293" s="11" t="s">
        <v>12224</v>
      </c>
      <c r="E2293" s="11" t="s">
        <v>12225</v>
      </c>
      <c r="F2293" s="11" t="s">
        <v>12109</v>
      </c>
      <c r="G2293" s="11" t="s">
        <v>12226</v>
      </c>
      <c r="H2293" s="11" t="s">
        <v>12227</v>
      </c>
      <c r="I2293" s="11" t="str">
        <f>HYPERLINK("http://www.meloee.it/","www.meloee.it")</f>
        <v>www.meloee.it</v>
      </c>
      <c r="J2293" s="12">
        <v>2359.0929999999998</v>
      </c>
      <c r="K2293" s="12">
        <v>2359.0929999999998</v>
      </c>
      <c r="L2293" s="13">
        <v>1885.258</v>
      </c>
      <c r="M2293" s="12">
        <v>373.26900000000001</v>
      </c>
      <c r="N2293" s="12">
        <v>373.26900000000001</v>
      </c>
      <c r="O2293" s="12">
        <v>82.116</v>
      </c>
      <c r="P2293" s="14" t="s">
        <v>12119</v>
      </c>
      <c r="Q2293" s="14" t="s">
        <v>12119</v>
      </c>
      <c r="R2293" s="12">
        <v>6</v>
      </c>
    </row>
    <row r="2294" spans="1:18" ht="29.5" customHeight="1" x14ac:dyDescent="0.15">
      <c r="A2294" s="8" t="s">
        <v>12228</v>
      </c>
      <c r="B2294" s="9" t="s">
        <v>12229</v>
      </c>
      <c r="C2294" s="8" t="s">
        <v>12230</v>
      </c>
      <c r="D2294" s="8" t="s">
        <v>12230</v>
      </c>
      <c r="E2294" s="8" t="s">
        <v>12231</v>
      </c>
      <c r="F2294" s="8" t="s">
        <v>12109</v>
      </c>
      <c r="G2294" s="8" t="s">
        <v>12232</v>
      </c>
      <c r="H2294" s="8" t="s">
        <v>12138</v>
      </c>
      <c r="I2294" s="8" t="str">
        <f>HYPERLINK("http://frontstreet8.it/","frontstreet8.it")</f>
        <v>frontstreet8.it</v>
      </c>
      <c r="J2294" s="10">
        <v>1125.9639999999999</v>
      </c>
      <c r="K2294" s="10">
        <v>1125.9639999999999</v>
      </c>
      <c r="L2294" s="10">
        <v>1882.9269999999999</v>
      </c>
      <c r="M2294" s="10">
        <v>-23.350999999999999</v>
      </c>
      <c r="N2294" s="10">
        <v>-23.350999999999999</v>
      </c>
      <c r="O2294" s="10">
        <v>14.619</v>
      </c>
      <c r="P2294" s="10">
        <v>2</v>
      </c>
      <c r="Q2294" s="10">
        <v>2</v>
      </c>
      <c r="R2294" s="10">
        <v>3</v>
      </c>
    </row>
    <row r="2295" spans="1:18" ht="29.5" customHeight="1" x14ac:dyDescent="0.15">
      <c r="A2295" s="11" t="s">
        <v>12233</v>
      </c>
      <c r="B2295" s="1" t="s">
        <v>12234</v>
      </c>
      <c r="C2295" s="11" t="s">
        <v>12235</v>
      </c>
      <c r="D2295" s="11" t="s">
        <v>12235</v>
      </c>
      <c r="E2295" s="11" t="s">
        <v>12236</v>
      </c>
      <c r="F2295" s="11" t="s">
        <v>12237</v>
      </c>
      <c r="G2295" s="11" t="s">
        <v>12238</v>
      </c>
      <c r="H2295" s="11" t="s">
        <v>12239</v>
      </c>
      <c r="I2295" s="11" t="str">
        <f>HYPERLINK("http://www.crucianicashmere.com/","www.crucianicashmere.com")</f>
        <v>www.crucianicashmere.com</v>
      </c>
      <c r="J2295" s="12">
        <v>2623.694</v>
      </c>
      <c r="K2295" s="12">
        <v>2623.694</v>
      </c>
      <c r="L2295" s="13">
        <v>1882.539</v>
      </c>
      <c r="M2295" s="12">
        <v>-456.55799999999999</v>
      </c>
      <c r="N2295" s="12">
        <v>-456.55799999999999</v>
      </c>
      <c r="O2295" s="12">
        <v>28820.89</v>
      </c>
      <c r="P2295" s="12">
        <v>33</v>
      </c>
      <c r="Q2295" s="12">
        <v>33</v>
      </c>
      <c r="R2295" s="12">
        <v>35</v>
      </c>
    </row>
    <row r="2296" spans="1:18" ht="29.5" customHeight="1" x14ac:dyDescent="0.15">
      <c r="A2296" s="8" t="s">
        <v>12240</v>
      </c>
      <c r="B2296" s="9" t="s">
        <v>12241</v>
      </c>
      <c r="C2296" s="8" t="s">
        <v>12242</v>
      </c>
      <c r="D2296" s="8" t="s">
        <v>12242</v>
      </c>
      <c r="E2296" s="8" t="s">
        <v>12243</v>
      </c>
      <c r="F2296" s="8" t="s">
        <v>12170</v>
      </c>
      <c r="G2296" s="8" t="s">
        <v>12183</v>
      </c>
      <c r="H2296" s="8" t="s">
        <v>12111</v>
      </c>
      <c r="I2296" s="8" t="str">
        <f>HYPERLINK("http://www.conceriakara.it/","www.conceriakara.it")</f>
        <v>www.conceriakara.it</v>
      </c>
      <c r="J2296" s="10">
        <v>1522.903</v>
      </c>
      <c r="K2296" s="10">
        <v>1522.903</v>
      </c>
      <c r="L2296" s="10">
        <v>1881.8530000000001</v>
      </c>
      <c r="M2296" s="10">
        <v>-2748.2750000000001</v>
      </c>
      <c r="N2296" s="10">
        <v>-2748.2750000000001</v>
      </c>
      <c r="O2296" s="10">
        <v>-2116.8249999999998</v>
      </c>
      <c r="P2296" s="15" t="s">
        <v>12119</v>
      </c>
      <c r="Q2296" s="15" t="s">
        <v>12119</v>
      </c>
      <c r="R2296" s="10">
        <v>20</v>
      </c>
    </row>
    <row r="2297" spans="1:18" ht="29.5" customHeight="1" x14ac:dyDescent="0.15">
      <c r="A2297" s="11" t="s">
        <v>12244</v>
      </c>
      <c r="B2297" s="1" t="s">
        <v>12245</v>
      </c>
      <c r="C2297" s="11" t="s">
        <v>12246</v>
      </c>
      <c r="D2297" s="11" t="s">
        <v>12246</v>
      </c>
      <c r="E2297" s="11" t="s">
        <v>12247</v>
      </c>
      <c r="F2297" s="11" t="s">
        <v>12248</v>
      </c>
      <c r="G2297" s="11" t="s">
        <v>12249</v>
      </c>
      <c r="H2297" s="11" t="s">
        <v>12111</v>
      </c>
      <c r="I2297" s="11" t="str">
        <f>HYPERLINK("http://www.pinucciovenegoni.it/","www.pinucciovenegoni.it")</f>
        <v>www.pinucciovenegoni.it</v>
      </c>
      <c r="J2297" s="12">
        <v>1812.6</v>
      </c>
      <c r="K2297" s="12">
        <v>1812.6</v>
      </c>
      <c r="L2297" s="13">
        <v>1878.48</v>
      </c>
      <c r="M2297" s="12">
        <v>58.512</v>
      </c>
      <c r="N2297" s="12">
        <v>58.512</v>
      </c>
      <c r="O2297" s="12">
        <v>45.927</v>
      </c>
      <c r="P2297" s="12">
        <v>18</v>
      </c>
      <c r="Q2297" s="12">
        <v>18</v>
      </c>
      <c r="R2297" s="12">
        <v>17</v>
      </c>
    </row>
    <row r="2298" spans="1:18" ht="17" customHeight="1" x14ac:dyDescent="0.15">
      <c r="A2298" s="8" t="s">
        <v>12250</v>
      </c>
      <c r="B2298" s="9" t="s">
        <v>12251</v>
      </c>
      <c r="C2298" s="8" t="s">
        <v>12252</v>
      </c>
      <c r="D2298" s="8" t="s">
        <v>12252</v>
      </c>
      <c r="E2298" s="8" t="s">
        <v>12253</v>
      </c>
      <c r="F2298" s="8" t="s">
        <v>12143</v>
      </c>
      <c r="G2298" s="8" t="s">
        <v>12254</v>
      </c>
      <c r="H2298" s="8" t="s">
        <v>12158</v>
      </c>
      <c r="I2298" s="8" t="str">
        <f>HYPERLINK("http://www.pawelks.it/","www.pawelks.it")</f>
        <v>www.pawelks.it</v>
      </c>
      <c r="J2298" s="10">
        <v>2135.9789999999998</v>
      </c>
      <c r="K2298" s="10">
        <v>2135.9789999999998</v>
      </c>
      <c r="L2298" s="10">
        <v>1875.0530000000001</v>
      </c>
      <c r="M2298" s="10">
        <v>-8.09</v>
      </c>
      <c r="N2298" s="10">
        <v>-8.09</v>
      </c>
      <c r="O2298" s="10">
        <v>73.494</v>
      </c>
      <c r="P2298" s="10">
        <v>17</v>
      </c>
      <c r="Q2298" s="10">
        <v>17</v>
      </c>
      <c r="R2298" s="10">
        <v>21</v>
      </c>
    </row>
    <row r="2299" spans="1:18" ht="17" customHeight="1" x14ac:dyDescent="0.15">
      <c r="A2299" s="11" t="s">
        <v>12255</v>
      </c>
      <c r="B2299" s="1" t="s">
        <v>12256</v>
      </c>
      <c r="C2299" s="11" t="s">
        <v>12257</v>
      </c>
      <c r="D2299" s="11" t="s">
        <v>12257</v>
      </c>
      <c r="E2299" s="11" t="s">
        <v>12258</v>
      </c>
      <c r="F2299" s="11" t="s">
        <v>12259</v>
      </c>
      <c r="G2299" s="11" t="s">
        <v>12260</v>
      </c>
      <c r="H2299" s="11" t="s">
        <v>12239</v>
      </c>
      <c r="I2299" s="11" t="str">
        <f>HYPERLINK("http://www.confezionielegancesrl.it/","www.confezionielegancesrl.it")</f>
        <v>www.confezionielegancesrl.it</v>
      </c>
      <c r="J2299" s="12">
        <v>1949.5</v>
      </c>
      <c r="K2299" s="12">
        <v>1949.5</v>
      </c>
      <c r="L2299" s="13">
        <v>1874.317</v>
      </c>
      <c r="M2299" s="12">
        <v>157.78399999999999</v>
      </c>
      <c r="N2299" s="12">
        <v>157.78399999999999</v>
      </c>
      <c r="O2299" s="12">
        <v>165.07400000000001</v>
      </c>
      <c r="P2299" s="12">
        <v>32</v>
      </c>
      <c r="Q2299" s="12">
        <v>32</v>
      </c>
      <c r="R2299" s="12">
        <v>31</v>
      </c>
    </row>
    <row r="2300" spans="1:18" ht="17" customHeight="1" x14ac:dyDescent="0.15">
      <c r="A2300" s="8" t="s">
        <v>12261</v>
      </c>
      <c r="B2300" s="9" t="s">
        <v>12262</v>
      </c>
      <c r="C2300" s="8" t="s">
        <v>12263</v>
      </c>
      <c r="D2300" s="8" t="s">
        <v>12263</v>
      </c>
      <c r="E2300" s="8" t="s">
        <v>12264</v>
      </c>
      <c r="F2300" s="8" t="s">
        <v>12109</v>
      </c>
      <c r="G2300" s="8" t="s">
        <v>12265</v>
      </c>
      <c r="H2300" s="8" t="s">
        <v>12165</v>
      </c>
      <c r="I2300" s="8" t="str">
        <f>HYPERLINK("http://www.minib.eu/","www.minib.eu")</f>
        <v>www.minib.eu</v>
      </c>
      <c r="J2300" s="10">
        <v>1970.7750000000001</v>
      </c>
      <c r="K2300" s="10">
        <v>1970.7750000000001</v>
      </c>
      <c r="L2300" s="10">
        <v>1873.9369999999999</v>
      </c>
      <c r="M2300" s="10">
        <v>-109.565</v>
      </c>
      <c r="N2300" s="10">
        <v>-109.565</v>
      </c>
      <c r="O2300" s="10">
        <v>-93.903000000000006</v>
      </c>
      <c r="P2300" s="10">
        <v>20</v>
      </c>
      <c r="Q2300" s="10">
        <v>20</v>
      </c>
      <c r="R2300" s="10">
        <v>22</v>
      </c>
    </row>
    <row r="2301" spans="1:18" ht="17" customHeight="1" x14ac:dyDescent="0.15">
      <c r="A2301" s="11" t="s">
        <v>12266</v>
      </c>
      <c r="B2301" s="1" t="s">
        <v>12267</v>
      </c>
      <c r="C2301" s="11" t="s">
        <v>12268</v>
      </c>
      <c r="D2301" s="11" t="s">
        <v>12268</v>
      </c>
      <c r="E2301" s="11" t="s">
        <v>12269</v>
      </c>
      <c r="F2301" s="11" t="s">
        <v>12109</v>
      </c>
      <c r="G2301" s="11" t="s">
        <v>12110</v>
      </c>
      <c r="H2301" s="11" t="s">
        <v>12111</v>
      </c>
      <c r="I2301" s="11" t="str">
        <f>HYPERLINK("http://www.castellani.eu/","www.castellani.eu")</f>
        <v>www.castellani.eu</v>
      </c>
      <c r="J2301" s="12">
        <v>2078.9079999999999</v>
      </c>
      <c r="K2301" s="12">
        <v>2078.9079999999999</v>
      </c>
      <c r="L2301" s="13">
        <v>1871.693</v>
      </c>
      <c r="M2301" s="12">
        <v>24.423999999999999</v>
      </c>
      <c r="N2301" s="12">
        <v>24.423999999999999</v>
      </c>
      <c r="O2301" s="12">
        <v>4.5999999999999999E-2</v>
      </c>
      <c r="P2301" s="12">
        <v>14</v>
      </c>
      <c r="Q2301" s="12">
        <v>14</v>
      </c>
      <c r="R2301" s="12">
        <v>13</v>
      </c>
    </row>
    <row r="2302" spans="1:18" ht="17" customHeight="1" x14ac:dyDescent="0.15">
      <c r="A2302" s="8" t="s">
        <v>12270</v>
      </c>
      <c r="B2302" s="9" t="s">
        <v>12271</v>
      </c>
      <c r="C2302" s="8" t="s">
        <v>12272</v>
      </c>
      <c r="D2302" s="8" t="s">
        <v>12272</v>
      </c>
      <c r="E2302" s="8" t="s">
        <v>12273</v>
      </c>
      <c r="F2302" s="8" t="s">
        <v>12156</v>
      </c>
      <c r="G2302" s="8" t="s">
        <v>12226</v>
      </c>
      <c r="H2302" s="8" t="s">
        <v>12227</v>
      </c>
      <c r="I2302" s="8" t="str">
        <f>HYPERLINK("http://amgm.it/","amgm.it")</f>
        <v>amgm.it</v>
      </c>
      <c r="J2302" s="10">
        <v>3016.06</v>
      </c>
      <c r="K2302" s="10">
        <v>1920.7349999999999</v>
      </c>
      <c r="L2302" s="10">
        <v>1870.5309999999999</v>
      </c>
      <c r="M2302" s="10">
        <v>3.0230000000000001</v>
      </c>
      <c r="N2302" s="10">
        <v>10.196999999999999</v>
      </c>
      <c r="O2302" s="10">
        <v>122.803</v>
      </c>
      <c r="P2302" s="15" t="s">
        <v>12119</v>
      </c>
      <c r="Q2302" s="10">
        <v>38</v>
      </c>
      <c r="R2302" s="10">
        <v>24</v>
      </c>
    </row>
    <row r="2303" spans="1:18" ht="17" customHeight="1" x14ac:dyDescent="0.15">
      <c r="A2303" s="11" t="s">
        <v>12274</v>
      </c>
      <c r="B2303" s="1" t="s">
        <v>12275</v>
      </c>
      <c r="C2303" s="11" t="s">
        <v>12276</v>
      </c>
      <c r="D2303" s="11" t="s">
        <v>12276</v>
      </c>
      <c r="E2303" s="11" t="s">
        <v>12277</v>
      </c>
      <c r="F2303" s="11" t="s">
        <v>12143</v>
      </c>
      <c r="G2303" s="11" t="s">
        <v>12278</v>
      </c>
      <c r="H2303" s="11" t="s">
        <v>12279</v>
      </c>
      <c r="I2303" s="11" t="str">
        <f>HYPERLINK("http://www.rfrfabianoricci.it/","www.rfrfabianoricci.it")</f>
        <v>www.rfrfabianoricci.it</v>
      </c>
      <c r="J2303" s="12">
        <v>2418.9430000000002</v>
      </c>
      <c r="K2303" s="12">
        <v>2418.9430000000002</v>
      </c>
      <c r="L2303" s="13">
        <v>1870.021</v>
      </c>
      <c r="M2303" s="12">
        <v>67.409000000000006</v>
      </c>
      <c r="N2303" s="12">
        <v>67.409000000000006</v>
      </c>
      <c r="O2303" s="12">
        <v>31.013000000000002</v>
      </c>
      <c r="P2303" s="12">
        <v>13</v>
      </c>
      <c r="Q2303" s="12">
        <v>13</v>
      </c>
      <c r="R2303" s="12">
        <v>7</v>
      </c>
    </row>
    <row r="2304" spans="1:18" ht="17" customHeight="1" x14ac:dyDescent="0.15">
      <c r="A2304" s="8" t="s">
        <v>12280</v>
      </c>
      <c r="B2304" s="9" t="s">
        <v>12281</v>
      </c>
      <c r="C2304" s="8" t="s">
        <v>12282</v>
      </c>
      <c r="D2304" s="8" t="s">
        <v>12282</v>
      </c>
      <c r="E2304" s="8" t="s">
        <v>12283</v>
      </c>
      <c r="F2304" s="8" t="s">
        <v>12284</v>
      </c>
      <c r="G2304" s="8" t="s">
        <v>12285</v>
      </c>
      <c r="H2304" s="8" t="s">
        <v>12286</v>
      </c>
      <c r="I2304" s="8" t="str">
        <f>HYPERLINK("http://www.magil.info/","www.magil.info")</f>
        <v>www.magil.info</v>
      </c>
      <c r="J2304" s="10">
        <v>1694.1</v>
      </c>
      <c r="K2304" s="10">
        <v>1694.1</v>
      </c>
      <c r="L2304" s="10">
        <v>1867.097</v>
      </c>
      <c r="M2304" s="10">
        <v>96.153999999999996</v>
      </c>
      <c r="N2304" s="10">
        <v>96.153999999999996</v>
      </c>
      <c r="O2304" s="10">
        <v>200.554</v>
      </c>
      <c r="P2304" s="15" t="s">
        <v>12119</v>
      </c>
      <c r="Q2304" s="15" t="s">
        <v>12119</v>
      </c>
      <c r="R2304" s="10">
        <v>6</v>
      </c>
    </row>
    <row r="2305" spans="1:18" ht="29.5" customHeight="1" x14ac:dyDescent="0.15">
      <c r="A2305" s="11" t="s">
        <v>12287</v>
      </c>
      <c r="B2305" s="1" t="s">
        <v>12288</v>
      </c>
      <c r="C2305" s="11" t="s">
        <v>12289</v>
      </c>
      <c r="D2305" s="11" t="s">
        <v>12289</v>
      </c>
      <c r="E2305" s="11" t="s">
        <v>12290</v>
      </c>
      <c r="F2305" s="11" t="s">
        <v>12291</v>
      </c>
      <c r="G2305" s="11" t="s">
        <v>12292</v>
      </c>
      <c r="H2305" s="11" t="s">
        <v>12293</v>
      </c>
      <c r="I2305" s="11" t="str">
        <f>HYPERLINK("http://www.mariobruni.it/","www.mariobruni.it")</f>
        <v>www.mariobruni.it</v>
      </c>
      <c r="J2305" s="12">
        <v>1621.3209999999999</v>
      </c>
      <c r="K2305" s="12">
        <v>1621.3209999999999</v>
      </c>
      <c r="L2305" s="13">
        <v>1866.098</v>
      </c>
      <c r="M2305" s="12">
        <v>719.66499999999996</v>
      </c>
      <c r="N2305" s="12">
        <v>719.66499999999996</v>
      </c>
      <c r="O2305" s="12">
        <v>-2.9529999999999998</v>
      </c>
      <c r="P2305" s="12">
        <v>22</v>
      </c>
      <c r="Q2305" s="12">
        <v>22</v>
      </c>
      <c r="R2305" s="12">
        <v>23</v>
      </c>
    </row>
    <row r="2306" spans="1:18" ht="17" customHeight="1" x14ac:dyDescent="0.15">
      <c r="A2306" s="8" t="s">
        <v>12294</v>
      </c>
      <c r="B2306" s="9" t="s">
        <v>12295</v>
      </c>
      <c r="C2306" s="8" t="s">
        <v>12296</v>
      </c>
      <c r="D2306" s="8" t="s">
        <v>12296</v>
      </c>
      <c r="E2306" s="8" t="s">
        <v>12297</v>
      </c>
      <c r="F2306" s="8" t="s">
        <v>12298</v>
      </c>
      <c r="G2306" s="8" t="s">
        <v>12299</v>
      </c>
      <c r="H2306" s="8" t="s">
        <v>12300</v>
      </c>
      <c r="I2306" s="8" t="str">
        <f>HYPERLINK("http://modificioneri.it/","modificioneri.it")</f>
        <v>modificioneri.it</v>
      </c>
      <c r="J2306" s="10">
        <v>1628.403</v>
      </c>
      <c r="K2306" s="10">
        <v>1628.403</v>
      </c>
      <c r="L2306" s="10">
        <v>1865.0709999999999</v>
      </c>
      <c r="M2306" s="10">
        <v>58.47</v>
      </c>
      <c r="N2306" s="10">
        <v>58.47</v>
      </c>
      <c r="O2306" s="10">
        <v>21.260999999999999</v>
      </c>
      <c r="P2306" s="10">
        <v>3</v>
      </c>
      <c r="Q2306" s="10">
        <v>3</v>
      </c>
      <c r="R2306" s="10">
        <v>9</v>
      </c>
    </row>
    <row r="2307" spans="1:18" ht="17" customHeight="1" x14ac:dyDescent="0.15">
      <c r="A2307" s="11" t="s">
        <v>12301</v>
      </c>
      <c r="B2307" s="1" t="s">
        <v>12302</v>
      </c>
      <c r="C2307" s="11" t="s">
        <v>12303</v>
      </c>
      <c r="D2307" s="11" t="s">
        <v>12303</v>
      </c>
      <c r="E2307" s="11" t="s">
        <v>12304</v>
      </c>
      <c r="F2307" s="11" t="s">
        <v>12305</v>
      </c>
      <c r="G2307" s="11" t="s">
        <v>12306</v>
      </c>
      <c r="H2307" s="11" t="s">
        <v>12293</v>
      </c>
      <c r="I2307" s="11" t="str">
        <f>HYPERLINK("http://www.wooltime.it/","www.wooltime.it")</f>
        <v>www.wooltime.it</v>
      </c>
      <c r="J2307" s="12">
        <v>2639.2750000000001</v>
      </c>
      <c r="K2307" s="12">
        <v>2639.2750000000001</v>
      </c>
      <c r="L2307" s="13">
        <v>1863.039</v>
      </c>
      <c r="M2307" s="12">
        <v>327.459</v>
      </c>
      <c r="N2307" s="12">
        <v>327.459</v>
      </c>
      <c r="O2307" s="12">
        <v>91.188999999999993</v>
      </c>
      <c r="P2307" s="12">
        <v>13</v>
      </c>
      <c r="Q2307" s="12">
        <v>13</v>
      </c>
      <c r="R2307" s="12">
        <v>11</v>
      </c>
    </row>
    <row r="2308" spans="1:18" ht="17" customHeight="1" x14ac:dyDescent="0.15">
      <c r="A2308" s="8" t="s">
        <v>12307</v>
      </c>
      <c r="B2308" s="9" t="s">
        <v>12308</v>
      </c>
      <c r="C2308" s="8" t="s">
        <v>12309</v>
      </c>
      <c r="D2308" s="8" t="s">
        <v>12309</v>
      </c>
      <c r="E2308" s="8" t="s">
        <v>12310</v>
      </c>
      <c r="F2308" s="8" t="s">
        <v>12311</v>
      </c>
      <c r="G2308" s="8" t="s">
        <v>12312</v>
      </c>
      <c r="H2308" s="8" t="s">
        <v>12313</v>
      </c>
      <c r="I2308" s="8" t="str">
        <f>HYPERLINK("http://www.4barone.com/","www.4barone.com")</f>
        <v>www.4barone.com</v>
      </c>
      <c r="J2308" s="10">
        <v>1304.104</v>
      </c>
      <c r="K2308" s="10">
        <v>1304.104</v>
      </c>
      <c r="L2308" s="10">
        <v>1861.578</v>
      </c>
      <c r="M2308" s="10">
        <v>2.7730000000000001</v>
      </c>
      <c r="N2308" s="10">
        <v>2.7730000000000001</v>
      </c>
      <c r="O2308" s="10">
        <v>-30.739000000000001</v>
      </c>
      <c r="P2308" s="10">
        <v>3</v>
      </c>
      <c r="Q2308" s="10">
        <v>3</v>
      </c>
      <c r="R2308" s="10">
        <v>5</v>
      </c>
    </row>
    <row r="2309" spans="1:18" ht="17" customHeight="1" x14ac:dyDescent="0.15">
      <c r="A2309" s="11" t="s">
        <v>12314</v>
      </c>
      <c r="B2309" s="1" t="s">
        <v>12315</v>
      </c>
      <c r="C2309" s="11" t="s">
        <v>12316</v>
      </c>
      <c r="D2309" s="11" t="s">
        <v>12316</v>
      </c>
      <c r="E2309" s="11" t="s">
        <v>12317</v>
      </c>
      <c r="F2309" s="11" t="s">
        <v>12318</v>
      </c>
      <c r="G2309" s="11" t="s">
        <v>12319</v>
      </c>
      <c r="H2309" s="11" t="s">
        <v>12320</v>
      </c>
      <c r="I2309" s="11" t="str">
        <f>HYPERLINK("http://www.las-fashion.it/","www.las-fashion.it")</f>
        <v>www.las-fashion.it</v>
      </c>
      <c r="J2309" s="12">
        <v>2479.2629999999999</v>
      </c>
      <c r="K2309" s="12">
        <v>2479.2629999999999</v>
      </c>
      <c r="L2309" s="13">
        <v>1859.875</v>
      </c>
      <c r="M2309" s="12">
        <v>122.965</v>
      </c>
      <c r="N2309" s="12">
        <v>122.965</v>
      </c>
      <c r="O2309" s="12">
        <v>22.331</v>
      </c>
      <c r="P2309" s="12">
        <v>9</v>
      </c>
      <c r="Q2309" s="12">
        <v>9</v>
      </c>
      <c r="R2309" s="12">
        <v>7</v>
      </c>
    </row>
    <row r="2310" spans="1:18" ht="29.5" customHeight="1" x14ac:dyDescent="0.15">
      <c r="A2310" s="8" t="s">
        <v>12321</v>
      </c>
      <c r="B2310" s="9" t="s">
        <v>12322</v>
      </c>
      <c r="C2310" s="8" t="s">
        <v>12323</v>
      </c>
      <c r="D2310" s="8" t="s">
        <v>12323</v>
      </c>
      <c r="E2310" s="8" t="s">
        <v>12324</v>
      </c>
      <c r="F2310" s="8" t="s">
        <v>12325</v>
      </c>
      <c r="G2310" s="8" t="s">
        <v>12312</v>
      </c>
      <c r="H2310" s="8" t="s">
        <v>12313</v>
      </c>
      <c r="I2310" s="8" t="str">
        <f>HYPERLINK("http://www.lainoangelobelts.com/","www.lainoangelobelts.com")</f>
        <v>www.lainoangelobelts.com</v>
      </c>
      <c r="J2310" s="10">
        <v>1593.268</v>
      </c>
      <c r="K2310" s="10">
        <v>1593.268</v>
      </c>
      <c r="L2310" s="10">
        <v>1859.7660000000001</v>
      </c>
      <c r="M2310" s="10">
        <v>15.722</v>
      </c>
      <c r="N2310" s="10">
        <v>15.722</v>
      </c>
      <c r="O2310" s="10">
        <v>124.164</v>
      </c>
      <c r="P2310" s="15" t="s">
        <v>12326</v>
      </c>
      <c r="Q2310" s="15" t="s">
        <v>12326</v>
      </c>
      <c r="R2310" s="10">
        <v>13</v>
      </c>
    </row>
    <row r="2311" spans="1:18" ht="17" customHeight="1" x14ac:dyDescent="0.15">
      <c r="A2311" s="11" t="s">
        <v>12327</v>
      </c>
      <c r="B2311" s="1" t="s">
        <v>12328</v>
      </c>
      <c r="C2311" s="11" t="s">
        <v>12329</v>
      </c>
      <c r="D2311" s="11" t="s">
        <v>12329</v>
      </c>
      <c r="E2311" s="11" t="s">
        <v>12330</v>
      </c>
      <c r="F2311" s="11" t="s">
        <v>12325</v>
      </c>
      <c r="G2311" s="11" t="s">
        <v>12331</v>
      </c>
      <c r="H2311" s="11" t="s">
        <v>12293</v>
      </c>
      <c r="I2311" s="11" t="str">
        <f>HYPERLINK("http://www.tmservicesrl.it/","www.tmservicesrl.it")</f>
        <v>www.tmservicesrl.it</v>
      </c>
      <c r="J2311" s="12">
        <v>1704.652</v>
      </c>
      <c r="K2311" s="12">
        <v>1704.652</v>
      </c>
      <c r="L2311" s="13">
        <v>1859.434</v>
      </c>
      <c r="M2311" s="12">
        <v>55.774000000000001</v>
      </c>
      <c r="N2311" s="12">
        <v>55.774000000000001</v>
      </c>
      <c r="O2311" s="12">
        <v>44.262999999999998</v>
      </c>
      <c r="P2311" s="12">
        <v>34</v>
      </c>
      <c r="Q2311" s="12">
        <v>34</v>
      </c>
      <c r="R2311" s="12">
        <v>34</v>
      </c>
    </row>
    <row r="2312" spans="1:18" ht="17" customHeight="1" x14ac:dyDescent="0.15">
      <c r="A2312" s="8" t="s">
        <v>12332</v>
      </c>
      <c r="B2312" s="9" t="s">
        <v>12333</v>
      </c>
      <c r="C2312" s="8" t="s">
        <v>12334</v>
      </c>
      <c r="D2312" s="8" t="s">
        <v>12334</v>
      </c>
      <c r="E2312" s="8" t="s">
        <v>12335</v>
      </c>
      <c r="F2312" s="8" t="s">
        <v>12336</v>
      </c>
      <c r="G2312" s="8" t="s">
        <v>12337</v>
      </c>
      <c r="H2312" s="8" t="s">
        <v>12338</v>
      </c>
      <c r="I2312" s="8" t="str">
        <f>HYPERLINK("http://www.tattica.it/","www.tattica.it")</f>
        <v>www.tattica.it</v>
      </c>
      <c r="J2312" s="10">
        <v>1276.066</v>
      </c>
      <c r="K2312" s="10">
        <v>1276.066</v>
      </c>
      <c r="L2312" s="10">
        <v>1858.319</v>
      </c>
      <c r="M2312" s="10">
        <v>-4074.183</v>
      </c>
      <c r="N2312" s="10">
        <v>-4074.183</v>
      </c>
      <c r="O2312" s="10">
        <v>-844.21199999999999</v>
      </c>
      <c r="P2312" s="15" t="s">
        <v>12326</v>
      </c>
      <c r="Q2312" s="15" t="s">
        <v>12326</v>
      </c>
      <c r="R2312" s="10">
        <v>8</v>
      </c>
    </row>
    <row r="2313" spans="1:18" ht="17" customHeight="1" x14ac:dyDescent="0.15">
      <c r="A2313" s="11" t="s">
        <v>12339</v>
      </c>
      <c r="B2313" s="1" t="s">
        <v>12340</v>
      </c>
      <c r="C2313" s="11" t="s">
        <v>12341</v>
      </c>
      <c r="D2313" s="11" t="s">
        <v>12341</v>
      </c>
      <c r="E2313" s="11" t="s">
        <v>12342</v>
      </c>
      <c r="F2313" s="11" t="s">
        <v>12311</v>
      </c>
      <c r="G2313" s="11" t="s">
        <v>12343</v>
      </c>
      <c r="H2313" s="11" t="s">
        <v>12344</v>
      </c>
      <c r="I2313" s="11" t="str">
        <f>HYPERLINK("http://www.mdaitalia.com/","www.mdaitalia.com")</f>
        <v>www.mdaitalia.com</v>
      </c>
      <c r="J2313" s="12">
        <v>1611.2529999999999</v>
      </c>
      <c r="K2313" s="12">
        <v>1611.2529999999999</v>
      </c>
      <c r="L2313" s="13">
        <v>1855.98</v>
      </c>
      <c r="M2313" s="12">
        <v>14.087999999999999</v>
      </c>
      <c r="N2313" s="12">
        <v>14.087999999999999</v>
      </c>
      <c r="O2313" s="12">
        <v>27.504999999999999</v>
      </c>
      <c r="P2313" s="12">
        <v>2</v>
      </c>
      <c r="Q2313" s="12">
        <v>2</v>
      </c>
      <c r="R2313" s="12">
        <v>2</v>
      </c>
    </row>
    <row r="2314" spans="1:18" ht="17" customHeight="1" x14ac:dyDescent="0.15">
      <c r="A2314" s="8" t="s">
        <v>12345</v>
      </c>
      <c r="B2314" s="9" t="s">
        <v>12346</v>
      </c>
      <c r="C2314" s="8" t="s">
        <v>12347</v>
      </c>
      <c r="D2314" s="8" t="s">
        <v>12348</v>
      </c>
      <c r="E2314" s="8" t="s">
        <v>12349</v>
      </c>
      <c r="F2314" s="8" t="s">
        <v>12318</v>
      </c>
      <c r="G2314" s="8" t="s">
        <v>12350</v>
      </c>
      <c r="H2314" s="8" t="s">
        <v>12351</v>
      </c>
      <c r="I2314" s="8" t="str">
        <f>HYPERLINK("http://www.aertre.com/","www.aertre.com")</f>
        <v>www.aertre.com</v>
      </c>
      <c r="J2314" s="10">
        <v>1708.0719999999999</v>
      </c>
      <c r="K2314" s="10">
        <v>1708.0719999999999</v>
      </c>
      <c r="L2314" s="10">
        <v>1852.644</v>
      </c>
      <c r="M2314" s="10">
        <v>9.9369999999999994</v>
      </c>
      <c r="N2314" s="10">
        <v>9.9369999999999994</v>
      </c>
      <c r="O2314" s="10">
        <v>-25.13</v>
      </c>
      <c r="P2314" s="10">
        <v>8</v>
      </c>
      <c r="Q2314" s="10">
        <v>8</v>
      </c>
      <c r="R2314" s="10">
        <v>10</v>
      </c>
    </row>
    <row r="2315" spans="1:18" ht="17" customHeight="1" x14ac:dyDescent="0.15">
      <c r="A2315" s="11" t="s">
        <v>12352</v>
      </c>
      <c r="B2315" s="1" t="s">
        <v>12353</v>
      </c>
      <c r="C2315" s="11" t="s">
        <v>12354</v>
      </c>
      <c r="D2315" s="11" t="s">
        <v>12354</v>
      </c>
      <c r="E2315" s="11" t="s">
        <v>12355</v>
      </c>
      <c r="F2315" s="11" t="s">
        <v>12356</v>
      </c>
      <c r="G2315" s="11" t="s">
        <v>12319</v>
      </c>
      <c r="H2315" s="11" t="s">
        <v>12320</v>
      </c>
      <c r="I2315" s="11" t="str">
        <f>HYPERLINK("http://www.italconf.it/","www.italconf.it")</f>
        <v>www.italconf.it</v>
      </c>
      <c r="J2315" s="12">
        <v>1733.123</v>
      </c>
      <c r="K2315" s="12">
        <v>1733.123</v>
      </c>
      <c r="L2315" s="13">
        <v>1851.942</v>
      </c>
      <c r="M2315" s="12">
        <v>11.506</v>
      </c>
      <c r="N2315" s="12">
        <v>11.506</v>
      </c>
      <c r="O2315" s="12">
        <v>6.335</v>
      </c>
      <c r="P2315" s="12">
        <v>8</v>
      </c>
      <c r="Q2315" s="12">
        <v>8</v>
      </c>
      <c r="R2315" s="12">
        <v>7</v>
      </c>
    </row>
    <row r="2316" spans="1:18" ht="17" customHeight="1" x14ac:dyDescent="0.15">
      <c r="A2316" s="8" t="s">
        <v>12357</v>
      </c>
      <c r="B2316" s="9" t="s">
        <v>12358</v>
      </c>
      <c r="C2316" s="8" t="s">
        <v>12359</v>
      </c>
      <c r="D2316" s="8" t="s">
        <v>12359</v>
      </c>
      <c r="E2316" s="8" t="s">
        <v>12360</v>
      </c>
      <c r="F2316" s="8" t="s">
        <v>12361</v>
      </c>
      <c r="G2316" s="8" t="s">
        <v>12331</v>
      </c>
      <c r="H2316" s="8" t="s">
        <v>12293</v>
      </c>
      <c r="I2316" s="8" t="str">
        <f>HYPERLINK("http://www.sebinoarte.it/","www.sebinoarte.it")</f>
        <v>www.sebinoarte.it</v>
      </c>
      <c r="J2316" s="10">
        <v>2295.192</v>
      </c>
      <c r="K2316" s="10">
        <v>2295.192</v>
      </c>
      <c r="L2316" s="10">
        <v>1850.606</v>
      </c>
      <c r="M2316" s="10">
        <v>-1.9570000000000001</v>
      </c>
      <c r="N2316" s="10">
        <v>-1.9570000000000001</v>
      </c>
      <c r="O2316" s="10">
        <v>-229.107</v>
      </c>
      <c r="P2316" s="10">
        <v>3</v>
      </c>
      <c r="Q2316" s="10">
        <v>3</v>
      </c>
      <c r="R2316" s="10">
        <v>3</v>
      </c>
    </row>
    <row r="2317" spans="1:18" ht="17" customHeight="1" x14ac:dyDescent="0.15">
      <c r="A2317" s="11" t="s">
        <v>12362</v>
      </c>
      <c r="B2317" s="1" t="s">
        <v>12363</v>
      </c>
      <c r="C2317" s="11" t="s">
        <v>12364</v>
      </c>
      <c r="D2317" s="11" t="s">
        <v>12364</v>
      </c>
      <c r="E2317" s="11" t="s">
        <v>12365</v>
      </c>
      <c r="F2317" s="11" t="s">
        <v>12366</v>
      </c>
      <c r="G2317" s="11" t="s">
        <v>12367</v>
      </c>
      <c r="H2317" s="11" t="s">
        <v>12351</v>
      </c>
      <c r="I2317" s="11" t="str">
        <f>HYPERLINK("http://veloplus.it/","veloplus.it")</f>
        <v>veloplus.it</v>
      </c>
      <c r="J2317" s="12">
        <v>2251.402</v>
      </c>
      <c r="K2317" s="12">
        <v>2251.402</v>
      </c>
      <c r="L2317" s="13">
        <v>1849.8130000000001</v>
      </c>
      <c r="M2317" s="12">
        <v>1.6919999999999999</v>
      </c>
      <c r="N2317" s="12">
        <v>1.6919999999999999</v>
      </c>
      <c r="O2317" s="12">
        <v>21.359000000000002</v>
      </c>
      <c r="P2317" s="12">
        <v>6</v>
      </c>
      <c r="Q2317" s="12">
        <v>6</v>
      </c>
      <c r="R2317" s="12">
        <v>5</v>
      </c>
    </row>
    <row r="2318" spans="1:18" ht="17" customHeight="1" x14ac:dyDescent="0.15">
      <c r="A2318" s="8" t="s">
        <v>12368</v>
      </c>
      <c r="B2318" s="9" t="s">
        <v>12369</v>
      </c>
      <c r="C2318" s="8" t="s">
        <v>12370</v>
      </c>
      <c r="D2318" s="8" t="s">
        <v>12370</v>
      </c>
      <c r="E2318" s="8" t="s">
        <v>12371</v>
      </c>
      <c r="F2318" s="8" t="s">
        <v>12311</v>
      </c>
      <c r="G2318" s="8" t="s">
        <v>12372</v>
      </c>
      <c r="H2318" s="8" t="s">
        <v>12320</v>
      </c>
      <c r="I2318" s="8" t="str">
        <f>HYPERLINK("http://www.imprespelli.it/","www.imprespelli.it")</f>
        <v>www.imprespelli.it</v>
      </c>
      <c r="J2318" s="10">
        <v>1482.2919999999999</v>
      </c>
      <c r="K2318" s="10">
        <v>1482.2919999999999</v>
      </c>
      <c r="L2318" s="10">
        <v>1848.405</v>
      </c>
      <c r="M2318" s="10">
        <v>70.576999999999998</v>
      </c>
      <c r="N2318" s="10">
        <v>70.576999999999998</v>
      </c>
      <c r="O2318" s="10">
        <v>183.00899999999999</v>
      </c>
      <c r="P2318" s="10">
        <v>16</v>
      </c>
      <c r="Q2318" s="10">
        <v>16</v>
      </c>
      <c r="R2318" s="10">
        <v>19</v>
      </c>
    </row>
    <row r="2319" spans="1:18" ht="17" customHeight="1" x14ac:dyDescent="0.15">
      <c r="A2319" s="11" t="s">
        <v>12373</v>
      </c>
      <c r="B2319" s="1" t="s">
        <v>12374</v>
      </c>
      <c r="C2319" s="11" t="s">
        <v>12375</v>
      </c>
      <c r="D2319" s="11" t="s">
        <v>12375</v>
      </c>
      <c r="E2319" s="11" t="s">
        <v>12376</v>
      </c>
      <c r="F2319" s="11" t="s">
        <v>12377</v>
      </c>
      <c r="G2319" s="11" t="s">
        <v>12378</v>
      </c>
      <c r="H2319" s="11" t="s">
        <v>12344</v>
      </c>
      <c r="I2319" s="11" t="str">
        <f>HYPERLINK("http://www.antonella.it/","www.antonella.it")</f>
        <v>www.antonella.it</v>
      </c>
      <c r="J2319" s="12">
        <v>1755.6949999999999</v>
      </c>
      <c r="K2319" s="12">
        <v>1755.6949999999999</v>
      </c>
      <c r="L2319" s="13">
        <v>1847.193</v>
      </c>
      <c r="M2319" s="12">
        <v>396.61700000000002</v>
      </c>
      <c r="N2319" s="12">
        <v>396.61700000000002</v>
      </c>
      <c r="O2319" s="12">
        <v>393.30200000000002</v>
      </c>
      <c r="P2319" s="12">
        <v>11</v>
      </c>
      <c r="Q2319" s="12">
        <v>11</v>
      </c>
      <c r="R2319" s="12">
        <v>10</v>
      </c>
    </row>
    <row r="2320" spans="1:18" ht="17" customHeight="1" x14ac:dyDescent="0.15">
      <c r="A2320" s="8" t="s">
        <v>12379</v>
      </c>
      <c r="B2320" s="9" t="s">
        <v>12380</v>
      </c>
      <c r="C2320" s="8" t="s">
        <v>12381</v>
      </c>
      <c r="D2320" s="8" t="s">
        <v>12381</v>
      </c>
      <c r="E2320" s="8" t="s">
        <v>12382</v>
      </c>
      <c r="F2320" s="8" t="s">
        <v>12356</v>
      </c>
      <c r="G2320" s="8" t="s">
        <v>12319</v>
      </c>
      <c r="H2320" s="8" t="s">
        <v>12320</v>
      </c>
      <c r="I2320" s="8" t="str">
        <f>HYPERLINK("http://www.jordi.it/","www.jordi.it")</f>
        <v>www.jordi.it</v>
      </c>
      <c r="J2320" s="10">
        <v>2031.116</v>
      </c>
      <c r="K2320" s="10">
        <v>2031.116</v>
      </c>
      <c r="L2320" s="10">
        <v>1846.585</v>
      </c>
      <c r="M2320" s="10">
        <v>88.338999999999999</v>
      </c>
      <c r="N2320" s="10">
        <v>88.338999999999999</v>
      </c>
      <c r="O2320" s="10">
        <v>147.92400000000001</v>
      </c>
      <c r="P2320" s="10">
        <v>9</v>
      </c>
      <c r="Q2320" s="10">
        <v>9</v>
      </c>
      <c r="R2320" s="10">
        <v>8</v>
      </c>
    </row>
    <row r="2321" spans="1:18" ht="17" customHeight="1" x14ac:dyDescent="0.15">
      <c r="A2321" s="11" t="s">
        <v>12383</v>
      </c>
      <c r="B2321" s="1" t="s">
        <v>12384</v>
      </c>
      <c r="C2321" s="11" t="s">
        <v>12385</v>
      </c>
      <c r="D2321" s="11" t="s">
        <v>12385</v>
      </c>
      <c r="E2321" s="11" t="s">
        <v>12386</v>
      </c>
      <c r="F2321" s="11" t="s">
        <v>12387</v>
      </c>
      <c r="G2321" s="11" t="s">
        <v>12312</v>
      </c>
      <c r="H2321" s="11" t="s">
        <v>12313</v>
      </c>
      <c r="I2321" s="11" t="str">
        <f>HYPERLINK("http://www.lineacomoda.com/","www.lineacomoda.com")</f>
        <v>www.lineacomoda.com</v>
      </c>
      <c r="J2321" s="12">
        <v>1544.895</v>
      </c>
      <c r="K2321" s="12">
        <v>1544.895</v>
      </c>
      <c r="L2321" s="13">
        <v>1846.3219999999999</v>
      </c>
      <c r="M2321" s="12">
        <v>22.474</v>
      </c>
      <c r="N2321" s="12">
        <v>22.474</v>
      </c>
      <c r="O2321" s="12">
        <v>91.725999999999999</v>
      </c>
      <c r="P2321" s="12">
        <v>10</v>
      </c>
      <c r="Q2321" s="12">
        <v>10</v>
      </c>
      <c r="R2321" s="12">
        <v>11</v>
      </c>
    </row>
    <row r="2322" spans="1:18" ht="29.5" customHeight="1" x14ac:dyDescent="0.15">
      <c r="A2322" s="8" t="s">
        <v>12388</v>
      </c>
      <c r="B2322" s="9" t="s">
        <v>12389</v>
      </c>
      <c r="C2322" s="8" t="s">
        <v>12390</v>
      </c>
      <c r="D2322" s="8" t="s">
        <v>12390</v>
      </c>
      <c r="E2322" s="8" t="s">
        <v>12391</v>
      </c>
      <c r="F2322" s="8" t="s">
        <v>12356</v>
      </c>
      <c r="G2322" s="8" t="s">
        <v>12392</v>
      </c>
      <c r="H2322" s="8" t="s">
        <v>12393</v>
      </c>
      <c r="I2322" s="8" t="str">
        <f>HYPERLINK("http://www.emmegigroup.it/","www.emmegigroup.it")</f>
        <v>www.emmegigroup.it</v>
      </c>
      <c r="J2322" s="10">
        <v>1707.779</v>
      </c>
      <c r="K2322" s="10">
        <v>1707.779</v>
      </c>
      <c r="L2322" s="10">
        <v>1845.3040000000001</v>
      </c>
      <c r="M2322" s="10">
        <v>54.121000000000002</v>
      </c>
      <c r="N2322" s="10">
        <v>54.121000000000002</v>
      </c>
      <c r="O2322" s="10">
        <v>114.73099999999999</v>
      </c>
      <c r="P2322" s="10">
        <v>4</v>
      </c>
      <c r="Q2322" s="10">
        <v>4</v>
      </c>
      <c r="R2322" s="10">
        <v>5</v>
      </c>
    </row>
    <row r="2323" spans="1:18" ht="17" customHeight="1" x14ac:dyDescent="0.15">
      <c r="A2323" s="11" t="s">
        <v>12394</v>
      </c>
      <c r="B2323" s="1" t="s">
        <v>12395</v>
      </c>
      <c r="C2323" s="11" t="s">
        <v>12396</v>
      </c>
      <c r="D2323" s="11" t="s">
        <v>12396</v>
      </c>
      <c r="E2323" s="11" t="s">
        <v>12397</v>
      </c>
      <c r="F2323" s="11" t="s">
        <v>12291</v>
      </c>
      <c r="G2323" s="11" t="s">
        <v>12292</v>
      </c>
      <c r="H2323" s="11" t="s">
        <v>12293</v>
      </c>
      <c r="I2323" s="11" t="str">
        <f>HYPERLINK("http://www.gianricomori.com/","www.gianricomori.com")</f>
        <v>www.gianricomori.com</v>
      </c>
      <c r="J2323" s="12">
        <v>2878.991</v>
      </c>
      <c r="K2323" s="12">
        <v>2530.4090000000001</v>
      </c>
      <c r="L2323" s="13">
        <v>1844.1289999999999</v>
      </c>
      <c r="M2323" s="12">
        <v>439.464</v>
      </c>
      <c r="N2323" s="12">
        <v>405.56</v>
      </c>
      <c r="O2323" s="12">
        <v>169.66</v>
      </c>
      <c r="P2323" s="14" t="s">
        <v>12326</v>
      </c>
      <c r="Q2323" s="14" t="s">
        <v>12326</v>
      </c>
      <c r="R2323" s="14" t="s">
        <v>12326</v>
      </c>
    </row>
    <row r="2324" spans="1:18" ht="17" customHeight="1" x14ac:dyDescent="0.15">
      <c r="A2324" s="8" t="s">
        <v>12398</v>
      </c>
      <c r="B2324" s="9" t="s">
        <v>12399</v>
      </c>
      <c r="C2324" s="8" t="s">
        <v>12400</v>
      </c>
      <c r="D2324" s="8" t="s">
        <v>12400</v>
      </c>
      <c r="E2324" s="8" t="s">
        <v>12401</v>
      </c>
      <c r="F2324" s="8" t="s">
        <v>12305</v>
      </c>
      <c r="G2324" s="8" t="s">
        <v>12402</v>
      </c>
      <c r="H2324" s="8" t="s">
        <v>12403</v>
      </c>
      <c r="I2324" s="8" t="str">
        <f>HYPERLINK("http://www.manifatturelg.it/","www.manifatturelg.it")</f>
        <v>www.manifatturelg.it</v>
      </c>
      <c r="J2324" s="10">
        <v>1553.9469999999999</v>
      </c>
      <c r="K2324" s="10">
        <v>1553.9469999999999</v>
      </c>
      <c r="L2324" s="10">
        <v>1842.1669999999999</v>
      </c>
      <c r="M2324" s="10">
        <v>5.5650000000000004</v>
      </c>
      <c r="N2324" s="10">
        <v>5.5650000000000004</v>
      </c>
      <c r="O2324" s="10">
        <v>36.886000000000003</v>
      </c>
      <c r="P2324" s="10">
        <v>24</v>
      </c>
      <c r="Q2324" s="10">
        <v>24</v>
      </c>
      <c r="R2324" s="10">
        <v>20</v>
      </c>
    </row>
    <row r="2325" spans="1:18" ht="29.5" customHeight="1" x14ac:dyDescent="0.15">
      <c r="A2325" s="11" t="s">
        <v>12404</v>
      </c>
      <c r="B2325" s="1" t="s">
        <v>12405</v>
      </c>
      <c r="C2325" s="11" t="s">
        <v>12406</v>
      </c>
      <c r="D2325" s="11" t="s">
        <v>12406</v>
      </c>
      <c r="E2325" s="11" t="s">
        <v>12407</v>
      </c>
      <c r="F2325" s="11" t="s">
        <v>12408</v>
      </c>
      <c r="G2325" s="11" t="s">
        <v>12331</v>
      </c>
      <c r="H2325" s="11" t="s">
        <v>12293</v>
      </c>
      <c r="I2325" s="11" t="str">
        <f>HYPERLINK("http://www.camiceriasmeralda.it/","www.camiceriasmeralda.it")</f>
        <v>www.camiceriasmeralda.it</v>
      </c>
      <c r="J2325" s="12">
        <v>1980.5360000000001</v>
      </c>
      <c r="K2325" s="12">
        <v>1980.5360000000001</v>
      </c>
      <c r="L2325" s="13">
        <v>1841.8320000000001</v>
      </c>
      <c r="M2325" s="12">
        <v>6.665</v>
      </c>
      <c r="N2325" s="12">
        <v>6.665</v>
      </c>
      <c r="O2325" s="12">
        <v>9.4559999999999995</v>
      </c>
      <c r="P2325" s="12">
        <v>45</v>
      </c>
      <c r="Q2325" s="12">
        <v>45</v>
      </c>
      <c r="R2325" s="12">
        <v>46</v>
      </c>
    </row>
    <row r="2326" spans="1:18" ht="17" customHeight="1" x14ac:dyDescent="0.15">
      <c r="A2326" s="8" t="s">
        <v>12409</v>
      </c>
      <c r="B2326" s="9" t="s">
        <v>12410</v>
      </c>
      <c r="C2326" s="8" t="s">
        <v>12411</v>
      </c>
      <c r="D2326" s="8" t="s">
        <v>12411</v>
      </c>
      <c r="E2326" s="8" t="s">
        <v>12412</v>
      </c>
      <c r="F2326" s="8" t="s">
        <v>12413</v>
      </c>
      <c r="G2326" s="8" t="s">
        <v>12414</v>
      </c>
      <c r="H2326" s="8" t="s">
        <v>12320</v>
      </c>
      <c r="I2326" s="8" t="str">
        <f>HYPERLINK("http://www.tiktok.com/","www.tiktok.com")</f>
        <v>www.tiktok.com</v>
      </c>
      <c r="J2326" s="10">
        <v>1243.748</v>
      </c>
      <c r="K2326" s="10">
        <v>1243.748</v>
      </c>
      <c r="L2326" s="10">
        <v>1841.8219999999999</v>
      </c>
      <c r="M2326" s="10">
        <v>77.546000000000006</v>
      </c>
      <c r="N2326" s="10">
        <v>77.546000000000006</v>
      </c>
      <c r="O2326" s="10">
        <v>43.131999999999998</v>
      </c>
      <c r="P2326" s="15" t="s">
        <v>12326</v>
      </c>
      <c r="Q2326" s="15" t="s">
        <v>12326</v>
      </c>
      <c r="R2326" s="10">
        <v>9</v>
      </c>
    </row>
    <row r="2327" spans="1:18" ht="55.75" customHeight="1" x14ac:dyDescent="0.15">
      <c r="A2327" s="11" t="s">
        <v>12415</v>
      </c>
      <c r="B2327" s="1" t="s">
        <v>12416</v>
      </c>
      <c r="C2327" s="11" t="s">
        <v>12417</v>
      </c>
      <c r="D2327" s="11" t="s">
        <v>12418</v>
      </c>
      <c r="E2327" s="11" t="s">
        <v>12419</v>
      </c>
      <c r="F2327" s="11" t="s">
        <v>12325</v>
      </c>
      <c r="G2327" s="11" t="s">
        <v>12420</v>
      </c>
      <c r="H2327" s="11" t="s">
        <v>12338</v>
      </c>
      <c r="I2327" s="11" t="str">
        <f>HYPERLINK("http://www.ilsorriso-imola.it/","www.ilsorriso-imola.it")</f>
        <v>www.ilsorriso-imola.it</v>
      </c>
      <c r="J2327" s="12">
        <v>1801.64</v>
      </c>
      <c r="K2327" s="12">
        <v>1801.64</v>
      </c>
      <c r="L2327" s="13">
        <v>1834.2650000000001</v>
      </c>
      <c r="M2327" s="12">
        <v>-3.843</v>
      </c>
      <c r="N2327" s="12">
        <v>-3.843</v>
      </c>
      <c r="O2327" s="12">
        <v>13.87</v>
      </c>
      <c r="P2327" s="12">
        <v>30</v>
      </c>
      <c r="Q2327" s="12">
        <v>30</v>
      </c>
      <c r="R2327" s="12">
        <v>29</v>
      </c>
    </row>
    <row r="2328" spans="1:18" ht="17" customHeight="1" x14ac:dyDescent="0.15">
      <c r="A2328" s="8" t="s">
        <v>12421</v>
      </c>
      <c r="B2328" s="9" t="s">
        <v>12422</v>
      </c>
      <c r="C2328" s="8" t="s">
        <v>12423</v>
      </c>
      <c r="D2328" s="8" t="s">
        <v>12423</v>
      </c>
      <c r="E2328" s="8" t="s">
        <v>12424</v>
      </c>
      <c r="F2328" s="8" t="s">
        <v>12291</v>
      </c>
      <c r="G2328" s="8" t="s">
        <v>12292</v>
      </c>
      <c r="H2328" s="8" t="s">
        <v>12293</v>
      </c>
      <c r="I2328" s="8" t="str">
        <f>HYPERLINK("http://www.eulaconcept.com/","www.eulaconcept.com")</f>
        <v>www.eulaconcept.com</v>
      </c>
      <c r="J2328" s="10">
        <v>2141.6669999999999</v>
      </c>
      <c r="K2328" s="10">
        <v>2141.6669999999999</v>
      </c>
      <c r="L2328" s="10">
        <v>1833.15</v>
      </c>
      <c r="M2328" s="10">
        <v>5.556</v>
      </c>
      <c r="N2328" s="10">
        <v>5.556</v>
      </c>
      <c r="O2328" s="10">
        <v>6.25</v>
      </c>
      <c r="P2328" s="10">
        <v>15</v>
      </c>
      <c r="Q2328" s="10">
        <v>15</v>
      </c>
      <c r="R2328" s="10">
        <v>10</v>
      </c>
    </row>
    <row r="2329" spans="1:18" ht="17" customHeight="1" x14ac:dyDescent="0.15">
      <c r="A2329" s="11" t="s">
        <v>12425</v>
      </c>
      <c r="B2329" s="1" t="s">
        <v>12426</v>
      </c>
      <c r="C2329" s="11" t="s">
        <v>12427</v>
      </c>
      <c r="D2329" s="11" t="s">
        <v>12427</v>
      </c>
      <c r="E2329" s="11" t="s">
        <v>12428</v>
      </c>
      <c r="F2329" s="11" t="s">
        <v>12298</v>
      </c>
      <c r="G2329" s="11" t="s">
        <v>12429</v>
      </c>
      <c r="H2329" s="11" t="s">
        <v>12293</v>
      </c>
      <c r="I2329" s="11" t="str">
        <f>HYPERLINK("http://progettomodasrl.com/","progettomodasrl.com")</f>
        <v>progettomodasrl.com</v>
      </c>
      <c r="J2329" s="12">
        <v>2081.98</v>
      </c>
      <c r="K2329" s="12">
        <v>2081.98</v>
      </c>
      <c r="L2329" s="13">
        <v>1831.9110000000001</v>
      </c>
      <c r="M2329" s="12">
        <v>51.816000000000003</v>
      </c>
      <c r="N2329" s="12">
        <v>51.816000000000003</v>
      </c>
      <c r="O2329" s="12">
        <v>20.469000000000001</v>
      </c>
      <c r="P2329" s="12">
        <v>25</v>
      </c>
      <c r="Q2329" s="12">
        <v>25</v>
      </c>
      <c r="R2329" s="12">
        <v>25</v>
      </c>
    </row>
    <row r="2330" spans="1:18" ht="17" customHeight="1" x14ac:dyDescent="0.15">
      <c r="A2330" s="8" t="s">
        <v>12430</v>
      </c>
      <c r="B2330" s="9" t="s">
        <v>12431</v>
      </c>
      <c r="C2330" s="8" t="s">
        <v>12432</v>
      </c>
      <c r="D2330" s="8" t="s">
        <v>12432</v>
      </c>
      <c r="E2330" s="8" t="s">
        <v>12433</v>
      </c>
      <c r="F2330" s="8" t="s">
        <v>12311</v>
      </c>
      <c r="G2330" s="8" t="s">
        <v>12434</v>
      </c>
      <c r="H2330" s="8" t="s">
        <v>12351</v>
      </c>
      <c r="I2330" s="8" t="str">
        <f>HYPERLINK("http://www.teknosystemsg.it/","www.teknosystemsg.it")</f>
        <v>www.teknosystemsg.it</v>
      </c>
      <c r="J2330" s="10">
        <v>2132.1889999999999</v>
      </c>
      <c r="K2330" s="10">
        <v>2132.1889999999999</v>
      </c>
      <c r="L2330" s="10">
        <v>1830.904</v>
      </c>
      <c r="M2330" s="10">
        <v>59.042000000000002</v>
      </c>
      <c r="N2330" s="10">
        <v>59.042000000000002</v>
      </c>
      <c r="O2330" s="10">
        <v>78.849000000000004</v>
      </c>
      <c r="P2330" s="10">
        <v>12</v>
      </c>
      <c r="Q2330" s="10">
        <v>12</v>
      </c>
      <c r="R2330" s="10">
        <v>12</v>
      </c>
    </row>
    <row r="2331" spans="1:18" ht="17" customHeight="1" x14ac:dyDescent="0.15">
      <c r="A2331" s="11" t="s">
        <v>12435</v>
      </c>
      <c r="B2331" s="1" t="s">
        <v>12436</v>
      </c>
      <c r="C2331" s="11" t="s">
        <v>12437</v>
      </c>
      <c r="D2331" s="11" t="s">
        <v>12437</v>
      </c>
      <c r="E2331" s="11" t="s">
        <v>12438</v>
      </c>
      <c r="F2331" s="11" t="s">
        <v>12291</v>
      </c>
      <c r="G2331" s="11" t="s">
        <v>12292</v>
      </c>
      <c r="H2331" s="11" t="s">
        <v>12293</v>
      </c>
      <c r="I2331" s="11" t="str">
        <f>HYPERLINK("http://greengeorge.it/","greengeorge.it")</f>
        <v>greengeorge.it</v>
      </c>
      <c r="J2331" s="12">
        <v>2072.9850000000001</v>
      </c>
      <c r="K2331" s="12">
        <v>2072.9850000000001</v>
      </c>
      <c r="L2331" s="13">
        <v>1829.057</v>
      </c>
      <c r="M2331" s="12">
        <v>29.696999999999999</v>
      </c>
      <c r="N2331" s="12">
        <v>29.696999999999999</v>
      </c>
      <c r="O2331" s="12">
        <v>18.675999999999998</v>
      </c>
      <c r="P2331" s="14" t="s">
        <v>12326</v>
      </c>
      <c r="Q2331" s="14" t="s">
        <v>12326</v>
      </c>
      <c r="R2331" s="12">
        <v>10</v>
      </c>
    </row>
    <row r="2332" spans="1:18" ht="17" customHeight="1" x14ac:dyDescent="0.15">
      <c r="A2332" s="8" t="s">
        <v>12439</v>
      </c>
      <c r="B2332" s="9" t="s">
        <v>12440</v>
      </c>
      <c r="C2332" s="8" t="s">
        <v>12441</v>
      </c>
      <c r="D2332" s="8" t="s">
        <v>12441</v>
      </c>
      <c r="E2332" s="8" t="s">
        <v>12442</v>
      </c>
      <c r="F2332" s="8" t="s">
        <v>12413</v>
      </c>
      <c r="G2332" s="8" t="s">
        <v>12443</v>
      </c>
      <c r="H2332" s="8" t="s">
        <v>12320</v>
      </c>
      <c r="I2332" s="8" t="str">
        <f>HYPERLINK("http://www.rosicollection.it/","www.rosicollection.it")</f>
        <v>www.rosicollection.it</v>
      </c>
      <c r="J2332" s="10">
        <v>2528.2359999999999</v>
      </c>
      <c r="K2332" s="10">
        <v>2528.2359999999999</v>
      </c>
      <c r="L2332" s="10">
        <v>1827.6410000000001</v>
      </c>
      <c r="M2332" s="10">
        <v>272.029</v>
      </c>
      <c r="N2332" s="10">
        <v>272.029</v>
      </c>
      <c r="O2332" s="10">
        <v>46.89</v>
      </c>
      <c r="P2332" s="10">
        <v>5</v>
      </c>
      <c r="Q2332" s="10">
        <v>5</v>
      </c>
      <c r="R2332" s="10">
        <v>5</v>
      </c>
    </row>
    <row r="2333" spans="1:18" ht="17" customHeight="1" x14ac:dyDescent="0.15">
      <c r="A2333" s="11" t="s">
        <v>12444</v>
      </c>
      <c r="B2333" s="1" t="s">
        <v>12445</v>
      </c>
      <c r="C2333" s="11" t="s">
        <v>12446</v>
      </c>
      <c r="D2333" s="11" t="s">
        <v>12446</v>
      </c>
      <c r="E2333" s="11" t="s">
        <v>12447</v>
      </c>
      <c r="F2333" s="11" t="s">
        <v>12413</v>
      </c>
      <c r="G2333" s="11" t="s">
        <v>12378</v>
      </c>
      <c r="H2333" s="11" t="s">
        <v>12344</v>
      </c>
      <c r="I2333" s="11" t="str">
        <f>HYPERLINK("http://husgroup.it/","husgroup.it")</f>
        <v>husgroup.it</v>
      </c>
      <c r="J2333" s="12">
        <v>1849.4079999999999</v>
      </c>
      <c r="K2333" s="12">
        <v>1849.4079999999999</v>
      </c>
      <c r="L2333" s="13">
        <v>1826.98</v>
      </c>
      <c r="M2333" s="12">
        <v>19.454000000000001</v>
      </c>
      <c r="N2333" s="12">
        <v>19.454000000000001</v>
      </c>
      <c r="O2333" s="12">
        <v>18.52</v>
      </c>
      <c r="P2333" s="12">
        <v>16</v>
      </c>
      <c r="Q2333" s="12">
        <v>16</v>
      </c>
      <c r="R2333" s="12">
        <v>15</v>
      </c>
    </row>
    <row r="2334" spans="1:18" ht="17" customHeight="1" x14ac:dyDescent="0.15">
      <c r="A2334" s="8" t="s">
        <v>12448</v>
      </c>
      <c r="B2334" s="9" t="s">
        <v>12449</v>
      </c>
      <c r="C2334" s="8" t="s">
        <v>12450</v>
      </c>
      <c r="D2334" s="8" t="s">
        <v>12450</v>
      </c>
      <c r="E2334" s="8" t="s">
        <v>12451</v>
      </c>
      <c r="F2334" s="8" t="s">
        <v>12377</v>
      </c>
      <c r="G2334" s="8" t="s">
        <v>12452</v>
      </c>
      <c r="H2334" s="8" t="s">
        <v>12453</v>
      </c>
      <c r="I2334" s="8" t="str">
        <f>HYPERLINK("http://www.ambralingerie.it/","www.ambralingerie.it")</f>
        <v>www.ambralingerie.it</v>
      </c>
      <c r="J2334" s="10">
        <v>1826.73</v>
      </c>
      <c r="K2334" s="15" t="s">
        <v>12326</v>
      </c>
      <c r="L2334" s="10">
        <v>1826.73</v>
      </c>
      <c r="M2334" s="10">
        <v>120.721</v>
      </c>
      <c r="N2334" s="15" t="s">
        <v>12326</v>
      </c>
      <c r="O2334" s="10">
        <v>120.721</v>
      </c>
      <c r="P2334" s="10">
        <v>16</v>
      </c>
      <c r="Q2334" s="15" t="s">
        <v>12326</v>
      </c>
      <c r="R2334" s="10">
        <v>16</v>
      </c>
    </row>
    <row r="2335" spans="1:18" ht="17" customHeight="1" x14ac:dyDescent="0.15">
      <c r="A2335" s="11" t="s">
        <v>12454</v>
      </c>
      <c r="B2335" s="1" t="s">
        <v>12455</v>
      </c>
      <c r="C2335" s="11" t="s">
        <v>12456</v>
      </c>
      <c r="D2335" s="11" t="s">
        <v>12456</v>
      </c>
      <c r="E2335" s="11" t="s">
        <v>12457</v>
      </c>
      <c r="F2335" s="11" t="s">
        <v>12377</v>
      </c>
      <c r="G2335" s="11" t="s">
        <v>12420</v>
      </c>
      <c r="H2335" s="11" t="s">
        <v>12338</v>
      </c>
      <c r="I2335" s="11" t="str">
        <f>HYPERLINK("http://venfor.it/","venfor.it")</f>
        <v>venfor.it</v>
      </c>
      <c r="J2335" s="12">
        <v>2163.4850000000001</v>
      </c>
      <c r="K2335" s="12">
        <v>2163.4850000000001</v>
      </c>
      <c r="L2335" s="13">
        <v>1826.0989999999999</v>
      </c>
      <c r="M2335" s="12">
        <v>50.365000000000002</v>
      </c>
      <c r="N2335" s="12">
        <v>50.365000000000002</v>
      </c>
      <c r="O2335" s="12">
        <v>28.571999999999999</v>
      </c>
      <c r="P2335" s="14" t="s">
        <v>12326</v>
      </c>
      <c r="Q2335" s="14" t="s">
        <v>12326</v>
      </c>
      <c r="R2335" s="12">
        <v>4</v>
      </c>
    </row>
    <row r="2336" spans="1:18" ht="29.5" customHeight="1" x14ac:dyDescent="0.15">
      <c r="A2336" s="8" t="s">
        <v>12458</v>
      </c>
      <c r="B2336" s="9" t="s">
        <v>12459</v>
      </c>
      <c r="C2336" s="8" t="s">
        <v>12460</v>
      </c>
      <c r="D2336" s="8" t="s">
        <v>12460</v>
      </c>
      <c r="E2336" s="8" t="s">
        <v>12461</v>
      </c>
      <c r="F2336" s="8" t="s">
        <v>12366</v>
      </c>
      <c r="G2336" s="8" t="s">
        <v>12299</v>
      </c>
      <c r="H2336" s="8" t="s">
        <v>12300</v>
      </c>
      <c r="I2336" s="8" t="str">
        <f>HYPERLINK("http://www.hotbuttered.it/","www.hotbuttered.it")</f>
        <v>www.hotbuttered.it</v>
      </c>
      <c r="J2336" s="10">
        <v>2062.2550000000001</v>
      </c>
      <c r="K2336" s="10">
        <v>2062.2550000000001</v>
      </c>
      <c r="L2336" s="10">
        <v>1825.2550000000001</v>
      </c>
      <c r="M2336" s="10">
        <v>63.63</v>
      </c>
      <c r="N2336" s="10">
        <v>63.63</v>
      </c>
      <c r="O2336" s="10">
        <v>374.49200000000002</v>
      </c>
      <c r="P2336" s="10">
        <v>4</v>
      </c>
      <c r="Q2336" s="10">
        <v>4</v>
      </c>
      <c r="R2336" s="10">
        <v>4</v>
      </c>
    </row>
    <row r="2337" spans="1:18" ht="17" customHeight="1" x14ac:dyDescent="0.15">
      <c r="A2337" s="11" t="s">
        <v>12462</v>
      </c>
      <c r="B2337" s="1" t="s">
        <v>12463</v>
      </c>
      <c r="C2337" s="11" t="s">
        <v>12464</v>
      </c>
      <c r="D2337" s="11" t="s">
        <v>12464</v>
      </c>
      <c r="E2337" s="11" t="s">
        <v>12465</v>
      </c>
      <c r="F2337" s="11" t="s">
        <v>12466</v>
      </c>
      <c r="G2337" s="11" t="s">
        <v>12467</v>
      </c>
      <c r="H2337" s="11" t="s">
        <v>12468</v>
      </c>
      <c r="I2337" s="11" t="str">
        <f>HYPERLINK("http://www.beableconcept.it/","www.beableconcept.it")</f>
        <v>www.beableconcept.it</v>
      </c>
      <c r="J2337" s="12">
        <v>2871.8789999999999</v>
      </c>
      <c r="K2337" s="12">
        <v>2871.8789999999999</v>
      </c>
      <c r="L2337" s="13">
        <v>1824.163</v>
      </c>
      <c r="M2337" s="12">
        <v>52.05</v>
      </c>
      <c r="N2337" s="12">
        <v>52.05</v>
      </c>
      <c r="O2337" s="12">
        <v>30.524000000000001</v>
      </c>
      <c r="P2337" s="14" t="s">
        <v>12469</v>
      </c>
      <c r="Q2337" s="14" t="s">
        <v>12469</v>
      </c>
      <c r="R2337" s="12">
        <v>3</v>
      </c>
    </row>
    <row r="2338" spans="1:18" ht="29.5" customHeight="1" x14ac:dyDescent="0.15">
      <c r="A2338" s="8" t="s">
        <v>12470</v>
      </c>
      <c r="B2338" s="9" t="s">
        <v>12471</v>
      </c>
      <c r="C2338" s="8" t="s">
        <v>12472</v>
      </c>
      <c r="D2338" s="8" t="s">
        <v>12472</v>
      </c>
      <c r="E2338" s="8" t="s">
        <v>12473</v>
      </c>
      <c r="F2338" s="8" t="s">
        <v>12466</v>
      </c>
      <c r="G2338" s="8" t="s">
        <v>12474</v>
      </c>
      <c r="H2338" s="8" t="s">
        <v>12475</v>
      </c>
      <c r="I2338" s="8" t="str">
        <f>HYPERLINK("http://www.creazioniantonella.com/haute-couture-ss-2014/","www.creazioniantonella.com/haute-couture-ss-2014/")</f>
        <v>www.creazioniantonella.com/haute-couture-ss-2014/</v>
      </c>
      <c r="J2338" s="10">
        <v>2503.8270000000002</v>
      </c>
      <c r="K2338" s="10">
        <v>2503.8270000000002</v>
      </c>
      <c r="L2338" s="10">
        <v>1823.9449999999999</v>
      </c>
      <c r="M2338" s="10">
        <v>-486.791</v>
      </c>
      <c r="N2338" s="10">
        <v>-486.791</v>
      </c>
      <c r="O2338" s="10">
        <v>-157.07599999999999</v>
      </c>
      <c r="P2338" s="15" t="s">
        <v>12469</v>
      </c>
      <c r="Q2338" s="15" t="s">
        <v>12469</v>
      </c>
      <c r="R2338" s="10">
        <v>27</v>
      </c>
    </row>
    <row r="2339" spans="1:18" ht="17" customHeight="1" x14ac:dyDescent="0.15">
      <c r="A2339" s="11" t="s">
        <v>12476</v>
      </c>
      <c r="B2339" s="1" t="s">
        <v>12477</v>
      </c>
      <c r="C2339" s="11" t="s">
        <v>12478</v>
      </c>
      <c r="D2339" s="11" t="s">
        <v>12478</v>
      </c>
      <c r="E2339" s="11" t="s">
        <v>12479</v>
      </c>
      <c r="F2339" s="11" t="s">
        <v>12480</v>
      </c>
      <c r="G2339" s="11" t="s">
        <v>12481</v>
      </c>
      <c r="H2339" s="11" t="s">
        <v>12482</v>
      </c>
      <c r="I2339" s="11" t="str">
        <f>HYPERLINK("http://www.domenicaborgogni.it/","www.domenicaborgogni.it")</f>
        <v>www.domenicaborgogni.it</v>
      </c>
      <c r="J2339" s="12">
        <v>829.12599999999998</v>
      </c>
      <c r="K2339" s="12">
        <v>829.12599999999998</v>
      </c>
      <c r="L2339" s="13">
        <v>1821.192</v>
      </c>
      <c r="M2339" s="12">
        <v>65.156999999999996</v>
      </c>
      <c r="N2339" s="12">
        <v>65.156999999999996</v>
      </c>
      <c r="O2339" s="12">
        <v>226.53800000000001</v>
      </c>
      <c r="P2339" s="12">
        <v>11</v>
      </c>
      <c r="Q2339" s="12">
        <v>11</v>
      </c>
      <c r="R2339" s="12">
        <v>11</v>
      </c>
    </row>
    <row r="2340" spans="1:18" ht="68" customHeight="1" x14ac:dyDescent="0.15">
      <c r="A2340" s="8" t="s">
        <v>12483</v>
      </c>
      <c r="B2340" s="9" t="s">
        <v>12484</v>
      </c>
      <c r="C2340" s="8" t="s">
        <v>12485</v>
      </c>
      <c r="D2340" s="8" t="s">
        <v>12486</v>
      </c>
      <c r="E2340" s="8" t="s">
        <v>12487</v>
      </c>
      <c r="F2340" s="8" t="s">
        <v>12488</v>
      </c>
      <c r="G2340" s="8" t="s">
        <v>12489</v>
      </c>
      <c r="H2340" s="8" t="s">
        <v>12490</v>
      </c>
      <c r="I2340" s="8" t="str">
        <f>HYPERLINK("http://www.brasilen.it/","www.brasilen.it")</f>
        <v>www.brasilen.it</v>
      </c>
      <c r="J2340" s="10">
        <v>2071.6660000000002</v>
      </c>
      <c r="K2340" s="10">
        <v>2199.7559999999999</v>
      </c>
      <c r="L2340" s="10">
        <v>1820.5139999999999</v>
      </c>
      <c r="M2340" s="10">
        <v>92.983000000000004</v>
      </c>
      <c r="N2340" s="10">
        <v>103.08199999999999</v>
      </c>
      <c r="O2340" s="10">
        <v>30.42</v>
      </c>
      <c r="P2340" s="15" t="s">
        <v>12469</v>
      </c>
      <c r="Q2340" s="10">
        <v>4</v>
      </c>
      <c r="R2340" s="10">
        <v>4</v>
      </c>
    </row>
    <row r="2341" spans="1:18" ht="17" customHeight="1" x14ac:dyDescent="0.15">
      <c r="A2341" s="11" t="s">
        <v>12491</v>
      </c>
      <c r="B2341" s="1" t="s">
        <v>12492</v>
      </c>
      <c r="C2341" s="11" t="s">
        <v>12493</v>
      </c>
      <c r="D2341" s="11" t="s">
        <v>12494</v>
      </c>
      <c r="E2341" s="11" t="s">
        <v>12495</v>
      </c>
      <c r="F2341" s="11" t="s">
        <v>12496</v>
      </c>
      <c r="G2341" s="11" t="s">
        <v>12497</v>
      </c>
      <c r="H2341" s="11" t="s">
        <v>12468</v>
      </c>
      <c r="I2341" s="11" t="str">
        <f>HYPERLINK("http://www.delduca.it/","www.delduca.it")</f>
        <v>www.delduca.it</v>
      </c>
      <c r="J2341" s="12">
        <v>3551.3229999999999</v>
      </c>
      <c r="K2341" s="12">
        <v>3551.3229999999999</v>
      </c>
      <c r="L2341" s="13">
        <v>1814.9179999999999</v>
      </c>
      <c r="M2341" s="12">
        <v>184.36</v>
      </c>
      <c r="N2341" s="12">
        <v>184.36</v>
      </c>
      <c r="O2341" s="12">
        <v>1.962</v>
      </c>
      <c r="P2341" s="14" t="s">
        <v>12469</v>
      </c>
      <c r="Q2341" s="14" t="s">
        <v>12469</v>
      </c>
      <c r="R2341" s="12">
        <v>13</v>
      </c>
    </row>
    <row r="2342" spans="1:18" ht="17" customHeight="1" x14ac:dyDescent="0.15">
      <c r="A2342" s="8" t="s">
        <v>12498</v>
      </c>
      <c r="B2342" s="9" t="s">
        <v>12499</v>
      </c>
      <c r="C2342" s="8" t="s">
        <v>12500</v>
      </c>
      <c r="D2342" s="8" t="s">
        <v>12500</v>
      </c>
      <c r="E2342" s="8" t="s">
        <v>12501</v>
      </c>
      <c r="F2342" s="8" t="s">
        <v>12502</v>
      </c>
      <c r="G2342" s="8" t="s">
        <v>12503</v>
      </c>
      <c r="H2342" s="8" t="s">
        <v>12482</v>
      </c>
      <c r="I2342" s="8" t="str">
        <f>HYPERLINK("http://sapafatelier1954.com/","sapafatelier1954.com")</f>
        <v>sapafatelier1954.com</v>
      </c>
      <c r="J2342" s="10">
        <v>2021.134</v>
      </c>
      <c r="K2342" s="10">
        <v>2021.134</v>
      </c>
      <c r="L2342" s="10">
        <v>1813.701</v>
      </c>
      <c r="M2342" s="10">
        <v>23.167000000000002</v>
      </c>
      <c r="N2342" s="10">
        <v>23.167000000000002</v>
      </c>
      <c r="O2342" s="10">
        <v>52.298000000000002</v>
      </c>
      <c r="P2342" s="10">
        <v>17</v>
      </c>
      <c r="Q2342" s="10">
        <v>17</v>
      </c>
      <c r="R2342" s="10">
        <v>19</v>
      </c>
    </row>
    <row r="2343" spans="1:18" ht="17" customHeight="1" x14ac:dyDescent="0.15">
      <c r="A2343" s="11" t="s">
        <v>12504</v>
      </c>
      <c r="B2343" s="1" t="s">
        <v>12505</v>
      </c>
      <c r="C2343" s="11" t="s">
        <v>12506</v>
      </c>
      <c r="D2343" s="11" t="s">
        <v>12506</v>
      </c>
      <c r="E2343" s="11" t="s">
        <v>12507</v>
      </c>
      <c r="F2343" s="11" t="s">
        <v>12496</v>
      </c>
      <c r="G2343" s="11" t="s">
        <v>12508</v>
      </c>
      <c r="H2343" s="11" t="s">
        <v>12482</v>
      </c>
      <c r="I2343" s="11" t="str">
        <f>HYPERLINK("http://pamarsrl.com/","pamarsrl.com")</f>
        <v>pamarsrl.com</v>
      </c>
      <c r="J2343" s="12">
        <v>1723.1579999999999</v>
      </c>
      <c r="K2343" s="12">
        <v>1723.1579999999999</v>
      </c>
      <c r="L2343" s="13">
        <v>1812.7570000000001</v>
      </c>
      <c r="M2343" s="12">
        <v>-25.210999999999999</v>
      </c>
      <c r="N2343" s="12">
        <v>-25.210999999999999</v>
      </c>
      <c r="O2343" s="12">
        <v>59.451000000000001</v>
      </c>
      <c r="P2343" s="12">
        <v>10</v>
      </c>
      <c r="Q2343" s="12">
        <v>10</v>
      </c>
      <c r="R2343" s="12">
        <v>9</v>
      </c>
    </row>
    <row r="2344" spans="1:18" ht="17" customHeight="1" x14ac:dyDescent="0.15">
      <c r="A2344" s="8" t="s">
        <v>12509</v>
      </c>
      <c r="B2344" s="9" t="s">
        <v>12510</v>
      </c>
      <c r="C2344" s="8" t="s">
        <v>12511</v>
      </c>
      <c r="D2344" s="8" t="s">
        <v>12511</v>
      </c>
      <c r="E2344" s="8" t="s">
        <v>12512</v>
      </c>
      <c r="F2344" s="8" t="s">
        <v>12466</v>
      </c>
      <c r="G2344" s="8" t="s">
        <v>12513</v>
      </c>
      <c r="H2344" s="8" t="s">
        <v>12514</v>
      </c>
      <c r="I2344" s="8" t="str">
        <f>HYPERLINK("http://www.cdm-service.com/","http://www.cdm-service.com")</f>
        <v>http://www.cdm-service.com</v>
      </c>
      <c r="J2344" s="10">
        <v>2329.306</v>
      </c>
      <c r="K2344" s="10">
        <v>2329.306</v>
      </c>
      <c r="L2344" s="10">
        <v>1812.732</v>
      </c>
      <c r="M2344" s="10">
        <v>1.35</v>
      </c>
      <c r="N2344" s="10">
        <v>1.35</v>
      </c>
      <c r="O2344" s="10">
        <v>19.286999999999999</v>
      </c>
      <c r="P2344" s="10">
        <v>0</v>
      </c>
      <c r="Q2344" s="10">
        <v>0</v>
      </c>
      <c r="R2344" s="10">
        <v>0</v>
      </c>
    </row>
    <row r="2345" spans="1:18" ht="17" customHeight="1" x14ac:dyDescent="0.15">
      <c r="A2345" s="11" t="s">
        <v>12515</v>
      </c>
      <c r="B2345" s="1" t="s">
        <v>12516</v>
      </c>
      <c r="C2345" s="11" t="s">
        <v>12517</v>
      </c>
      <c r="D2345" s="11" t="s">
        <v>12517</v>
      </c>
      <c r="E2345" s="11" t="s">
        <v>12518</v>
      </c>
      <c r="F2345" s="11" t="s">
        <v>12519</v>
      </c>
      <c r="G2345" s="11" t="s">
        <v>12503</v>
      </c>
      <c r="H2345" s="11" t="s">
        <v>12482</v>
      </c>
      <c r="I2345" s="11" t="str">
        <f>HYPERLINK("http://www.cassiopeasrl.it/","www.cassiopeasrl.it")</f>
        <v>www.cassiopeasrl.it</v>
      </c>
      <c r="J2345" s="12">
        <v>2678.38</v>
      </c>
      <c r="K2345" s="12">
        <v>2678.38</v>
      </c>
      <c r="L2345" s="13">
        <v>1812.1679999999999</v>
      </c>
      <c r="M2345" s="12">
        <v>159.18</v>
      </c>
      <c r="N2345" s="12">
        <v>159.18</v>
      </c>
      <c r="O2345" s="12">
        <v>12.398</v>
      </c>
      <c r="P2345" s="12">
        <v>5</v>
      </c>
      <c r="Q2345" s="12">
        <v>5</v>
      </c>
      <c r="R2345" s="12">
        <v>4</v>
      </c>
    </row>
    <row r="2346" spans="1:18" ht="17" customHeight="1" x14ac:dyDescent="0.15">
      <c r="A2346" s="8" t="s">
        <v>12520</v>
      </c>
      <c r="B2346" s="9" t="s">
        <v>12521</v>
      </c>
      <c r="C2346" s="8" t="s">
        <v>12522</v>
      </c>
      <c r="D2346" s="8" t="s">
        <v>12522</v>
      </c>
      <c r="E2346" s="8" t="s">
        <v>12523</v>
      </c>
      <c r="F2346" s="8" t="s">
        <v>12519</v>
      </c>
      <c r="G2346" s="8" t="s">
        <v>12497</v>
      </c>
      <c r="H2346" s="8" t="s">
        <v>12468</v>
      </c>
      <c r="I2346" s="8" t="str">
        <f>HYPERLINK("http://www.lowbrand.it/","www.lowbrand.it")</f>
        <v>www.lowbrand.it</v>
      </c>
      <c r="J2346" s="10">
        <v>2182.16</v>
      </c>
      <c r="K2346" s="10">
        <v>2182.16</v>
      </c>
      <c r="L2346" s="10">
        <v>1811.2950000000001</v>
      </c>
      <c r="M2346" s="10">
        <v>202.751</v>
      </c>
      <c r="N2346" s="10">
        <v>202.751</v>
      </c>
      <c r="O2346" s="10">
        <v>303.71899999999999</v>
      </c>
      <c r="P2346" s="15" t="s">
        <v>12469</v>
      </c>
      <c r="Q2346" s="15" t="s">
        <v>12469</v>
      </c>
      <c r="R2346" s="10">
        <v>9</v>
      </c>
    </row>
    <row r="2347" spans="1:18" ht="17" customHeight="1" x14ac:dyDescent="0.15">
      <c r="A2347" s="11" t="s">
        <v>12524</v>
      </c>
      <c r="B2347" s="1" t="s">
        <v>12525</v>
      </c>
      <c r="C2347" s="11" t="s">
        <v>12526</v>
      </c>
      <c r="D2347" s="11" t="s">
        <v>12526</v>
      </c>
      <c r="E2347" s="11" t="s">
        <v>12527</v>
      </c>
      <c r="F2347" s="11" t="s">
        <v>12480</v>
      </c>
      <c r="G2347" s="11" t="s">
        <v>12528</v>
      </c>
      <c r="H2347" s="11" t="s">
        <v>12475</v>
      </c>
      <c r="I2347" s="11" t="str">
        <f>HYPERLINK("http://raipan.it/","raipan.it")</f>
        <v>raipan.it</v>
      </c>
      <c r="J2347" s="12">
        <v>1833.9659999999999</v>
      </c>
      <c r="K2347" s="12">
        <v>1833.9659999999999</v>
      </c>
      <c r="L2347" s="13">
        <v>1811.337</v>
      </c>
      <c r="M2347" s="12">
        <v>25.966000000000001</v>
      </c>
      <c r="N2347" s="12">
        <v>25.966000000000001</v>
      </c>
      <c r="O2347" s="12">
        <v>26.399000000000001</v>
      </c>
      <c r="P2347" s="12">
        <v>11</v>
      </c>
      <c r="Q2347" s="12">
        <v>11</v>
      </c>
      <c r="R2347" s="12">
        <v>11</v>
      </c>
    </row>
    <row r="2348" spans="1:18" ht="17" customHeight="1" x14ac:dyDescent="0.15">
      <c r="A2348" s="8" t="s">
        <v>12529</v>
      </c>
      <c r="B2348" s="9" t="s">
        <v>12530</v>
      </c>
      <c r="C2348" s="8" t="s">
        <v>12531</v>
      </c>
      <c r="D2348" s="8" t="s">
        <v>12531</v>
      </c>
      <c r="E2348" s="8" t="s">
        <v>12532</v>
      </c>
      <c r="F2348" s="8" t="s">
        <v>12466</v>
      </c>
      <c r="G2348" s="8" t="s">
        <v>12533</v>
      </c>
      <c r="H2348" s="8" t="s">
        <v>12534</v>
      </c>
      <c r="I2348" s="8" t="str">
        <f>HYPERLINK("http://www.donthefuller.it/","www.donthefuller.it")</f>
        <v>www.donthefuller.it</v>
      </c>
      <c r="J2348" s="10">
        <v>1736.6669999999999</v>
      </c>
      <c r="K2348" s="10">
        <v>1736.6669999999999</v>
      </c>
      <c r="L2348" s="10">
        <v>1810.6959999999999</v>
      </c>
      <c r="M2348" s="10">
        <v>8.19</v>
      </c>
      <c r="N2348" s="10">
        <v>8.19</v>
      </c>
      <c r="O2348" s="10">
        <v>53.579000000000001</v>
      </c>
      <c r="P2348" s="10">
        <v>2</v>
      </c>
      <c r="Q2348" s="10">
        <v>2</v>
      </c>
      <c r="R2348" s="10">
        <v>4</v>
      </c>
    </row>
    <row r="2349" spans="1:18" ht="17" customHeight="1" x14ac:dyDescent="0.15">
      <c r="A2349" s="11" t="s">
        <v>12535</v>
      </c>
      <c r="B2349" s="1" t="s">
        <v>12536</v>
      </c>
      <c r="C2349" s="11" t="s">
        <v>12537</v>
      </c>
      <c r="D2349" s="11" t="s">
        <v>12537</v>
      </c>
      <c r="E2349" s="11" t="s">
        <v>12538</v>
      </c>
      <c r="F2349" s="11" t="s">
        <v>12539</v>
      </c>
      <c r="G2349" s="11" t="s">
        <v>12528</v>
      </c>
      <c r="H2349" s="11" t="s">
        <v>12475</v>
      </c>
      <c r="I2349" s="11" t="str">
        <f>HYPERLINK("http://www.tacchificio2m.com/","www.tacchificio2m.com")</f>
        <v>www.tacchificio2m.com</v>
      </c>
      <c r="J2349" s="12">
        <v>2629.2289999999998</v>
      </c>
      <c r="K2349" s="12">
        <v>2629.2289999999998</v>
      </c>
      <c r="L2349" s="13">
        <v>1808.7570000000001</v>
      </c>
      <c r="M2349" s="12">
        <v>60.253999999999998</v>
      </c>
      <c r="N2349" s="12">
        <v>60.253999999999998</v>
      </c>
      <c r="O2349" s="12">
        <v>40.14</v>
      </c>
      <c r="P2349" s="12">
        <v>10</v>
      </c>
      <c r="Q2349" s="12">
        <v>10</v>
      </c>
      <c r="R2349" s="12">
        <v>14</v>
      </c>
    </row>
    <row r="2350" spans="1:18" ht="17" customHeight="1" x14ac:dyDescent="0.15">
      <c r="A2350" s="8" t="s">
        <v>12540</v>
      </c>
      <c r="B2350" s="9" t="s">
        <v>12541</v>
      </c>
      <c r="C2350" s="8" t="s">
        <v>12542</v>
      </c>
      <c r="D2350" s="8" t="s">
        <v>12542</v>
      </c>
      <c r="E2350" s="8" t="s">
        <v>12543</v>
      </c>
      <c r="F2350" s="8" t="s">
        <v>12544</v>
      </c>
      <c r="G2350" s="8" t="s">
        <v>12545</v>
      </c>
      <c r="H2350" s="8" t="s">
        <v>12490</v>
      </c>
      <c r="I2350" s="8" t="str">
        <f>HYPERLINK("http://www.vartes.it/","www.vartes.it")</f>
        <v>www.vartes.it</v>
      </c>
      <c r="J2350" s="10">
        <v>1497.789</v>
      </c>
      <c r="K2350" s="10">
        <v>1497.789</v>
      </c>
      <c r="L2350" s="10">
        <v>1807.2460000000001</v>
      </c>
      <c r="M2350" s="10">
        <v>-98.332999999999998</v>
      </c>
      <c r="N2350" s="10">
        <v>-98.332999999999998</v>
      </c>
      <c r="O2350" s="10">
        <v>-196.05199999999999</v>
      </c>
      <c r="P2350" s="10">
        <v>11</v>
      </c>
      <c r="Q2350" s="10">
        <v>11</v>
      </c>
      <c r="R2350" s="10">
        <v>11</v>
      </c>
    </row>
    <row r="2351" spans="1:18" ht="17" customHeight="1" x14ac:dyDescent="0.15">
      <c r="A2351" s="11" t="s">
        <v>12546</v>
      </c>
      <c r="B2351" s="1" t="s">
        <v>12547</v>
      </c>
      <c r="C2351" s="11" t="s">
        <v>12548</v>
      </c>
      <c r="D2351" s="11" t="s">
        <v>12548</v>
      </c>
      <c r="E2351" s="11" t="s">
        <v>12549</v>
      </c>
      <c r="F2351" s="11" t="s">
        <v>12544</v>
      </c>
      <c r="G2351" s="11" t="s">
        <v>12550</v>
      </c>
      <c r="H2351" s="11" t="s">
        <v>12490</v>
      </c>
      <c r="I2351" s="11" t="str">
        <f>HYPERLINK("http://tre-vi.it/","tre-vi.it")</f>
        <v>tre-vi.it</v>
      </c>
      <c r="J2351" s="12">
        <v>1518.86</v>
      </c>
      <c r="K2351" s="12">
        <v>1518.86</v>
      </c>
      <c r="L2351" s="13">
        <v>1804.2660000000001</v>
      </c>
      <c r="M2351" s="12">
        <v>6.3040000000000003</v>
      </c>
      <c r="N2351" s="12">
        <v>6.3040000000000003</v>
      </c>
      <c r="O2351" s="12">
        <v>18</v>
      </c>
      <c r="P2351" s="12">
        <v>13</v>
      </c>
      <c r="Q2351" s="12">
        <v>13</v>
      </c>
      <c r="R2351" s="12">
        <v>13</v>
      </c>
    </row>
    <row r="2352" spans="1:18" ht="29.5" customHeight="1" x14ac:dyDescent="0.15">
      <c r="A2352" s="8" t="s">
        <v>12551</v>
      </c>
      <c r="B2352" s="9" t="s">
        <v>12552</v>
      </c>
      <c r="C2352" s="8" t="s">
        <v>12553</v>
      </c>
      <c r="D2352" s="8" t="s">
        <v>12553</v>
      </c>
      <c r="E2352" s="8" t="s">
        <v>12554</v>
      </c>
      <c r="F2352" s="8" t="s">
        <v>12555</v>
      </c>
      <c r="G2352" s="8" t="s">
        <v>12508</v>
      </c>
      <c r="H2352" s="8" t="s">
        <v>12482</v>
      </c>
      <c r="I2352" s="8" t="str">
        <f>HYPERLINK("http://www.dilettasmerigliaturapelli.it/","www.dilettasmerigliaturapelli.it")</f>
        <v>www.dilettasmerigliaturapelli.it</v>
      </c>
      <c r="J2352" s="10">
        <v>1471.2909999999999</v>
      </c>
      <c r="K2352" s="10">
        <v>1471.2909999999999</v>
      </c>
      <c r="L2352" s="10">
        <v>1802.798</v>
      </c>
      <c r="M2352" s="10">
        <v>51.695</v>
      </c>
      <c r="N2352" s="10">
        <v>51.695</v>
      </c>
      <c r="O2352" s="10">
        <v>71.957999999999998</v>
      </c>
      <c r="P2352" s="10">
        <v>13</v>
      </c>
      <c r="Q2352" s="10">
        <v>13</v>
      </c>
      <c r="R2352" s="10">
        <v>12</v>
      </c>
    </row>
    <row r="2353" spans="1:18" ht="17" customHeight="1" x14ac:dyDescent="0.15">
      <c r="A2353" s="11" t="s">
        <v>12556</v>
      </c>
      <c r="B2353" s="1" t="s">
        <v>12557</v>
      </c>
      <c r="C2353" s="11" t="s">
        <v>12558</v>
      </c>
      <c r="D2353" s="11" t="s">
        <v>12558</v>
      </c>
      <c r="E2353" s="11" t="s">
        <v>12559</v>
      </c>
      <c r="F2353" s="11" t="s">
        <v>12502</v>
      </c>
      <c r="G2353" s="11" t="s">
        <v>12489</v>
      </c>
      <c r="H2353" s="11" t="s">
        <v>12490</v>
      </c>
      <c r="I2353" s="11" t="str">
        <f>HYPERLINK("http://www.niagarasrl.com/","www.niagarasrl.com")</f>
        <v>www.niagarasrl.com</v>
      </c>
      <c r="J2353" s="12">
        <v>1221.943</v>
      </c>
      <c r="K2353" s="12">
        <v>1221.943</v>
      </c>
      <c r="L2353" s="13">
        <v>1800.8209999999999</v>
      </c>
      <c r="M2353" s="12">
        <v>27.276</v>
      </c>
      <c r="N2353" s="12">
        <v>27.276</v>
      </c>
      <c r="O2353" s="12">
        <v>25.75</v>
      </c>
      <c r="P2353" s="12">
        <v>5</v>
      </c>
      <c r="Q2353" s="12">
        <v>5</v>
      </c>
      <c r="R2353" s="12">
        <v>6</v>
      </c>
    </row>
    <row r="2354" spans="1:18" ht="17" customHeight="1" x14ac:dyDescent="0.15">
      <c r="A2354" s="8" t="s">
        <v>12560</v>
      </c>
      <c r="B2354" s="9" t="s">
        <v>12561</v>
      </c>
      <c r="C2354" s="8" t="s">
        <v>12562</v>
      </c>
      <c r="D2354" s="8" t="s">
        <v>12562</v>
      </c>
      <c r="E2354" s="8" t="s">
        <v>12563</v>
      </c>
      <c r="F2354" s="8" t="s">
        <v>12466</v>
      </c>
      <c r="G2354" s="8" t="s">
        <v>12564</v>
      </c>
      <c r="H2354" s="8" t="s">
        <v>12565</v>
      </c>
      <c r="I2354" s="8" t="str">
        <f>HYPERLINK("http://www.millionaireclub.it/","www.millionaireclub.it")</f>
        <v>www.millionaireclub.it</v>
      </c>
      <c r="J2354" s="10">
        <v>1798.4549999999999</v>
      </c>
      <c r="K2354" s="15" t="s">
        <v>12469</v>
      </c>
      <c r="L2354" s="10">
        <v>1798.4549999999999</v>
      </c>
      <c r="M2354" s="10">
        <v>-84.138000000000005</v>
      </c>
      <c r="N2354" s="15" t="s">
        <v>12469</v>
      </c>
      <c r="O2354" s="10">
        <v>-84.138000000000005</v>
      </c>
      <c r="P2354" s="10">
        <v>18</v>
      </c>
      <c r="Q2354" s="15" t="s">
        <v>12469</v>
      </c>
      <c r="R2354" s="10">
        <v>18</v>
      </c>
    </row>
    <row r="2355" spans="1:18" ht="17" customHeight="1" x14ac:dyDescent="0.15">
      <c r="A2355" s="11" t="s">
        <v>12566</v>
      </c>
      <c r="B2355" s="1" t="s">
        <v>12567</v>
      </c>
      <c r="C2355" s="11" t="s">
        <v>12568</v>
      </c>
      <c r="D2355" s="11" t="s">
        <v>12568</v>
      </c>
      <c r="E2355" s="11" t="s">
        <v>12569</v>
      </c>
      <c r="F2355" s="11" t="s">
        <v>12466</v>
      </c>
      <c r="G2355" s="11" t="s">
        <v>12570</v>
      </c>
      <c r="H2355" s="11" t="s">
        <v>12571</v>
      </c>
      <c r="I2355" s="11" t="str">
        <f>HYPERLINK("http://www.mariucciaofficial.com/","www.mariucciaofficial.com")</f>
        <v>www.mariucciaofficial.com</v>
      </c>
      <c r="J2355" s="12">
        <v>1880.7460000000001</v>
      </c>
      <c r="K2355" s="12">
        <v>1880.7460000000001</v>
      </c>
      <c r="L2355" s="13">
        <v>1798.232</v>
      </c>
      <c r="M2355" s="12">
        <v>55.188000000000002</v>
      </c>
      <c r="N2355" s="12">
        <v>55.188000000000002</v>
      </c>
      <c r="O2355" s="12">
        <v>57.902999999999999</v>
      </c>
      <c r="P2355" s="14" t="s">
        <v>12469</v>
      </c>
      <c r="Q2355" s="14" t="s">
        <v>12469</v>
      </c>
      <c r="R2355" s="14" t="s">
        <v>12469</v>
      </c>
    </row>
    <row r="2356" spans="1:18" ht="17" customHeight="1" x14ac:dyDescent="0.15">
      <c r="A2356" s="8" t="s">
        <v>12572</v>
      </c>
      <c r="B2356" s="9" t="s">
        <v>12573</v>
      </c>
      <c r="C2356" s="8" t="s">
        <v>12574</v>
      </c>
      <c r="D2356" s="8" t="s">
        <v>12574</v>
      </c>
      <c r="E2356" s="8" t="s">
        <v>12575</v>
      </c>
      <c r="F2356" s="8" t="s">
        <v>12502</v>
      </c>
      <c r="G2356" s="8" t="s">
        <v>12503</v>
      </c>
      <c r="H2356" s="8" t="s">
        <v>12482</v>
      </c>
      <c r="I2356" s="8" t="str">
        <f>HYPERLINK("http://www.cobrapelletterie.com/","www.cobrapelletterie.com")</f>
        <v>www.cobrapelletterie.com</v>
      </c>
      <c r="J2356" s="10">
        <v>1113.306</v>
      </c>
      <c r="K2356" s="10">
        <v>1113.306</v>
      </c>
      <c r="L2356" s="10">
        <v>1797.6769999999999</v>
      </c>
      <c r="M2356" s="10">
        <v>-190.345</v>
      </c>
      <c r="N2356" s="10">
        <v>-190.345</v>
      </c>
      <c r="O2356" s="10">
        <v>198.69</v>
      </c>
      <c r="P2356" s="10">
        <v>13</v>
      </c>
      <c r="Q2356" s="10">
        <v>13</v>
      </c>
      <c r="R2356" s="10">
        <v>12</v>
      </c>
    </row>
    <row r="2357" spans="1:18" ht="17" customHeight="1" x14ac:dyDescent="0.15">
      <c r="A2357" s="11" t="s">
        <v>12576</v>
      </c>
      <c r="B2357" s="1" t="s">
        <v>12577</v>
      </c>
      <c r="C2357" s="11" t="s">
        <v>12578</v>
      </c>
      <c r="D2357" s="11" t="s">
        <v>12578</v>
      </c>
      <c r="E2357" s="11" t="s">
        <v>12579</v>
      </c>
      <c r="F2357" s="11" t="s">
        <v>12466</v>
      </c>
      <c r="G2357" s="11" t="s">
        <v>12580</v>
      </c>
      <c r="H2357" s="11" t="s">
        <v>12581</v>
      </c>
      <c r="I2357" s="11" t="str">
        <f>HYPERLINK("http://www.greentex.it/","www.greentex.it")</f>
        <v>www.greentex.it</v>
      </c>
      <c r="J2357" s="12">
        <v>2530.2280000000001</v>
      </c>
      <c r="K2357" s="12">
        <v>2530.2280000000001</v>
      </c>
      <c r="L2357" s="13">
        <v>1795.454</v>
      </c>
      <c r="M2357" s="12">
        <v>114.107</v>
      </c>
      <c r="N2357" s="12">
        <v>114.107</v>
      </c>
      <c r="O2357" s="12">
        <v>47.328000000000003</v>
      </c>
      <c r="P2357" s="12">
        <v>4</v>
      </c>
      <c r="Q2357" s="12">
        <v>4</v>
      </c>
      <c r="R2357" s="12">
        <v>3</v>
      </c>
    </row>
    <row r="2358" spans="1:18" ht="17" customHeight="1" x14ac:dyDescent="0.15">
      <c r="A2358" s="8" t="s">
        <v>12582</v>
      </c>
      <c r="B2358" s="9" t="s">
        <v>12583</v>
      </c>
      <c r="C2358" s="8" t="s">
        <v>12584</v>
      </c>
      <c r="D2358" s="8" t="s">
        <v>12584</v>
      </c>
      <c r="E2358" s="8" t="s">
        <v>12585</v>
      </c>
      <c r="F2358" s="8" t="s">
        <v>12586</v>
      </c>
      <c r="G2358" s="8" t="s">
        <v>12587</v>
      </c>
      <c r="H2358" s="8" t="s">
        <v>12514</v>
      </c>
      <c r="I2358" s="8" t="str">
        <f>HYPERLINK("http://www.paolodaponte.it/","www.paolodaponte.it")</f>
        <v>www.paolodaponte.it</v>
      </c>
      <c r="J2358" s="10">
        <v>1852.703</v>
      </c>
      <c r="K2358" s="10">
        <v>1852.703</v>
      </c>
      <c r="L2358" s="10">
        <v>1794.7270000000001</v>
      </c>
      <c r="M2358" s="10">
        <v>51.222000000000001</v>
      </c>
      <c r="N2358" s="10">
        <v>51.222000000000001</v>
      </c>
      <c r="O2358" s="10">
        <v>65.206000000000003</v>
      </c>
      <c r="P2358" s="10">
        <v>14</v>
      </c>
      <c r="Q2358" s="10">
        <v>14</v>
      </c>
      <c r="R2358" s="10">
        <v>12</v>
      </c>
    </row>
    <row r="2359" spans="1:18" ht="17" customHeight="1" x14ac:dyDescent="0.15">
      <c r="A2359" s="11" t="s">
        <v>12588</v>
      </c>
      <c r="B2359" s="1" t="s">
        <v>12589</v>
      </c>
      <c r="C2359" s="11" t="s">
        <v>12590</v>
      </c>
      <c r="D2359" s="11" t="s">
        <v>12590</v>
      </c>
      <c r="E2359" s="11" t="s">
        <v>12591</v>
      </c>
      <c r="F2359" s="11" t="s">
        <v>12586</v>
      </c>
      <c r="G2359" s="11" t="s">
        <v>12467</v>
      </c>
      <c r="H2359" s="11" t="s">
        <v>12468</v>
      </c>
      <c r="I2359" s="11" t="str">
        <f>HYPERLINK("http://leblu.it/","leblu.it")</f>
        <v>leblu.it</v>
      </c>
      <c r="J2359" s="12">
        <v>1833.133</v>
      </c>
      <c r="K2359" s="12">
        <v>1833.133</v>
      </c>
      <c r="L2359" s="13">
        <v>1791.5150000000001</v>
      </c>
      <c r="M2359" s="12">
        <v>347.65899999999999</v>
      </c>
      <c r="N2359" s="12">
        <v>347.65899999999999</v>
      </c>
      <c r="O2359" s="12">
        <v>253.84399999999999</v>
      </c>
      <c r="P2359" s="14" t="s">
        <v>12469</v>
      </c>
      <c r="Q2359" s="14" t="s">
        <v>12469</v>
      </c>
      <c r="R2359" s="12">
        <v>6</v>
      </c>
    </row>
    <row r="2360" spans="1:18" ht="17" customHeight="1" x14ac:dyDescent="0.15">
      <c r="A2360" s="8" t="s">
        <v>12592</v>
      </c>
      <c r="B2360" s="9" t="s">
        <v>12593</v>
      </c>
      <c r="C2360" s="8" t="s">
        <v>12594</v>
      </c>
      <c r="D2360" s="8" t="s">
        <v>12594</v>
      </c>
      <c r="E2360" s="8" t="s">
        <v>12595</v>
      </c>
      <c r="F2360" s="8" t="s">
        <v>12596</v>
      </c>
      <c r="G2360" s="8" t="s">
        <v>12597</v>
      </c>
      <c r="H2360" s="8" t="s">
        <v>12514</v>
      </c>
      <c r="I2360" s="8" t="str">
        <f>HYPERLINK("http://www.taleabyperini.it/","www.taleabyperini.it")</f>
        <v>www.taleabyperini.it</v>
      </c>
      <c r="J2360" s="10">
        <v>1736.182</v>
      </c>
      <c r="K2360" s="10">
        <v>1736.182</v>
      </c>
      <c r="L2360" s="10">
        <v>1789.068</v>
      </c>
      <c r="M2360" s="10">
        <v>24.009</v>
      </c>
      <c r="N2360" s="10">
        <v>24.009</v>
      </c>
      <c r="O2360" s="10">
        <v>41.606000000000002</v>
      </c>
      <c r="P2360" s="15" t="s">
        <v>12469</v>
      </c>
      <c r="Q2360" s="15" t="s">
        <v>12469</v>
      </c>
      <c r="R2360" s="10">
        <v>6</v>
      </c>
    </row>
    <row r="2361" spans="1:18" ht="17" customHeight="1" x14ac:dyDescent="0.15">
      <c r="A2361" s="11" t="s">
        <v>12598</v>
      </c>
      <c r="B2361" s="1" t="s">
        <v>12599</v>
      </c>
      <c r="C2361" s="11" t="s">
        <v>12600</v>
      </c>
      <c r="D2361" s="11" t="s">
        <v>12600</v>
      </c>
      <c r="E2361" s="11" t="s">
        <v>12601</v>
      </c>
      <c r="F2361" s="11" t="s">
        <v>12586</v>
      </c>
      <c r="G2361" s="11" t="s">
        <v>12497</v>
      </c>
      <c r="H2361" s="11" t="s">
        <v>12468</v>
      </c>
      <c r="I2361" s="11" t="str">
        <f>HYPERLINK("http://www.hatsebrothers.it/","www.hatsebrothers.it")</f>
        <v>www.hatsebrothers.it</v>
      </c>
      <c r="J2361" s="12">
        <v>2254.41</v>
      </c>
      <c r="K2361" s="12">
        <v>2254.41</v>
      </c>
      <c r="L2361" s="13">
        <v>1788.8389999999999</v>
      </c>
      <c r="M2361" s="12">
        <v>4.548</v>
      </c>
      <c r="N2361" s="12">
        <v>4.548</v>
      </c>
      <c r="O2361" s="12">
        <v>26.17</v>
      </c>
      <c r="P2361" s="12">
        <v>23</v>
      </c>
      <c r="Q2361" s="12">
        <v>23</v>
      </c>
      <c r="R2361" s="12">
        <v>25</v>
      </c>
    </row>
    <row r="2362" spans="1:18" ht="55.75" customHeight="1" x14ac:dyDescent="0.15">
      <c r="A2362" s="8" t="s">
        <v>12602</v>
      </c>
      <c r="B2362" s="9" t="s">
        <v>12603</v>
      </c>
      <c r="C2362" s="8" t="s">
        <v>12604</v>
      </c>
      <c r="D2362" s="8" t="s">
        <v>12604</v>
      </c>
      <c r="E2362" s="8" t="s">
        <v>12605</v>
      </c>
      <c r="F2362" s="8" t="s">
        <v>12466</v>
      </c>
      <c r="G2362" s="8" t="s">
        <v>12606</v>
      </c>
      <c r="H2362" s="8" t="s">
        <v>12607</v>
      </c>
      <c r="I2362" s="8" t="str">
        <f>HYPERLINK("http://www.blancaluzmilano.it/","www.blancaluzmilano.it")</f>
        <v>www.blancaluzmilano.it</v>
      </c>
      <c r="J2362" s="10">
        <v>1880.193</v>
      </c>
      <c r="K2362" s="10">
        <v>1880.193</v>
      </c>
      <c r="L2362" s="10">
        <v>1785.8820000000001</v>
      </c>
      <c r="M2362" s="10">
        <v>45.289000000000001</v>
      </c>
      <c r="N2362" s="10">
        <v>45.289000000000001</v>
      </c>
      <c r="O2362" s="10">
        <v>38.066000000000003</v>
      </c>
      <c r="P2362" s="10">
        <v>11</v>
      </c>
      <c r="Q2362" s="10">
        <v>11</v>
      </c>
      <c r="R2362" s="10">
        <v>11</v>
      </c>
    </row>
    <row r="2363" spans="1:18" ht="17" customHeight="1" x14ac:dyDescent="0.15">
      <c r="A2363" s="11" t="s">
        <v>12608</v>
      </c>
      <c r="B2363" s="1" t="s">
        <v>12609</v>
      </c>
      <c r="C2363" s="11" t="s">
        <v>12610</v>
      </c>
      <c r="D2363" s="11" t="s">
        <v>12610</v>
      </c>
      <c r="E2363" s="11" t="s">
        <v>12611</v>
      </c>
      <c r="F2363" s="11" t="s">
        <v>12555</v>
      </c>
      <c r="G2363" s="11" t="s">
        <v>12587</v>
      </c>
      <c r="H2363" s="11" t="s">
        <v>12514</v>
      </c>
      <c r="I2363" s="11" t="str">
        <f>HYPERLINK("http://www.plus-pell.it/","www.plus-pell.it")</f>
        <v>www.plus-pell.it</v>
      </c>
      <c r="J2363" s="12">
        <v>1617.1179999999999</v>
      </c>
      <c r="K2363" s="12">
        <v>1617.1179999999999</v>
      </c>
      <c r="L2363" s="13">
        <v>1780.412</v>
      </c>
      <c r="M2363" s="12">
        <v>330.68099999999998</v>
      </c>
      <c r="N2363" s="12">
        <v>330.68099999999998</v>
      </c>
      <c r="O2363" s="12">
        <v>399.60300000000001</v>
      </c>
      <c r="P2363" s="12">
        <v>11</v>
      </c>
      <c r="Q2363" s="12">
        <v>11</v>
      </c>
      <c r="R2363" s="12">
        <v>10</v>
      </c>
    </row>
    <row r="2364" spans="1:18" ht="17" customHeight="1" x14ac:dyDescent="0.15">
      <c r="A2364" s="8" t="s">
        <v>12612</v>
      </c>
      <c r="B2364" s="9" t="s">
        <v>12613</v>
      </c>
      <c r="C2364" s="8" t="s">
        <v>12614</v>
      </c>
      <c r="D2364" s="8" t="s">
        <v>12614</v>
      </c>
      <c r="E2364" s="8" t="s">
        <v>12615</v>
      </c>
      <c r="F2364" s="8" t="s">
        <v>12596</v>
      </c>
      <c r="G2364" s="8" t="s">
        <v>12616</v>
      </c>
      <c r="H2364" s="8" t="s">
        <v>12571</v>
      </c>
      <c r="I2364" s="8" t="str">
        <f>HYPERLINK("http://mimisol.com/","mimisol.com")</f>
        <v>mimisol.com</v>
      </c>
      <c r="J2364" s="10">
        <v>2032.7090000000001</v>
      </c>
      <c r="K2364" s="10">
        <v>2032.7090000000001</v>
      </c>
      <c r="L2364" s="10">
        <v>1779.4880000000001</v>
      </c>
      <c r="M2364" s="10">
        <v>11.112</v>
      </c>
      <c r="N2364" s="10">
        <v>11.112</v>
      </c>
      <c r="O2364" s="10">
        <v>-91.572999999999993</v>
      </c>
      <c r="P2364" s="10">
        <v>9</v>
      </c>
      <c r="Q2364" s="10">
        <v>9</v>
      </c>
      <c r="R2364" s="10">
        <v>9</v>
      </c>
    </row>
    <row r="2365" spans="1:18" ht="17" customHeight="1" x14ac:dyDescent="0.15">
      <c r="A2365" s="11" t="s">
        <v>12617</v>
      </c>
      <c r="B2365" s="1" t="s">
        <v>12618</v>
      </c>
      <c r="C2365" s="11" t="s">
        <v>12619</v>
      </c>
      <c r="D2365" s="11" t="s">
        <v>12619</v>
      </c>
      <c r="E2365" s="11" t="s">
        <v>12620</v>
      </c>
      <c r="F2365" s="11" t="s">
        <v>12539</v>
      </c>
      <c r="G2365" s="11" t="s">
        <v>12528</v>
      </c>
      <c r="H2365" s="11" t="s">
        <v>12475</v>
      </c>
      <c r="I2365" s="11" t="str">
        <f>HYPERLINK("http://www.suolificiogbc.it/","www.suolificiogbc.it")</f>
        <v>www.suolificiogbc.it</v>
      </c>
      <c r="J2365" s="12">
        <v>1478.307</v>
      </c>
      <c r="K2365" s="12">
        <v>1478.307</v>
      </c>
      <c r="L2365" s="13">
        <v>1779.462</v>
      </c>
      <c r="M2365" s="12">
        <v>71.825999999999993</v>
      </c>
      <c r="N2365" s="12">
        <v>71.825999999999993</v>
      </c>
      <c r="O2365" s="12">
        <v>105.452</v>
      </c>
      <c r="P2365" s="14" t="s">
        <v>12469</v>
      </c>
      <c r="Q2365" s="14" t="s">
        <v>12469</v>
      </c>
      <c r="R2365" s="12">
        <v>9</v>
      </c>
    </row>
    <row r="2366" spans="1:18" ht="17" customHeight="1" x14ac:dyDescent="0.15">
      <c r="A2366" s="8" t="s">
        <v>12621</v>
      </c>
      <c r="B2366" s="9" t="s">
        <v>12622</v>
      </c>
      <c r="C2366" s="8" t="s">
        <v>12623</v>
      </c>
      <c r="D2366" s="8" t="s">
        <v>12623</v>
      </c>
      <c r="E2366" s="8" t="s">
        <v>12624</v>
      </c>
      <c r="F2366" s="8" t="s">
        <v>12488</v>
      </c>
      <c r="G2366" s="8" t="s">
        <v>12625</v>
      </c>
      <c r="H2366" s="8" t="s">
        <v>12475</v>
      </c>
      <c r="I2366" s="8" t="str">
        <f>HYPERLINK("http://www.hollystyle.it/","www.hollystyle.it")</f>
        <v>www.hollystyle.it</v>
      </c>
      <c r="J2366" s="10">
        <v>1383.7139999999999</v>
      </c>
      <c r="K2366" s="10">
        <v>1383.7139999999999</v>
      </c>
      <c r="L2366" s="10">
        <v>1774.33</v>
      </c>
      <c r="M2366" s="10">
        <v>7.8609999999999998</v>
      </c>
      <c r="N2366" s="10">
        <v>7.8609999999999998</v>
      </c>
      <c r="O2366" s="10">
        <v>6.5359999999999996</v>
      </c>
      <c r="P2366" s="10">
        <v>10</v>
      </c>
      <c r="Q2366" s="10">
        <v>10</v>
      </c>
      <c r="R2366" s="10">
        <v>12</v>
      </c>
    </row>
    <row r="2367" spans="1:18" ht="17" customHeight="1" x14ac:dyDescent="0.15">
      <c r="A2367" s="11" t="s">
        <v>12626</v>
      </c>
      <c r="B2367" s="1" t="s">
        <v>12627</v>
      </c>
      <c r="C2367" s="11" t="s">
        <v>12628</v>
      </c>
      <c r="D2367" s="11" t="s">
        <v>12628</v>
      </c>
      <c r="E2367" s="11" t="s">
        <v>12629</v>
      </c>
      <c r="F2367" s="11" t="s">
        <v>12488</v>
      </c>
      <c r="G2367" s="11" t="s">
        <v>12625</v>
      </c>
      <c r="H2367" s="11" t="s">
        <v>12475</v>
      </c>
      <c r="I2367" s="11" t="str">
        <f>HYPERLINK("http://www.lunellaweb.it/","www.lunellaweb.it")</f>
        <v>www.lunellaweb.it</v>
      </c>
      <c r="J2367" s="12">
        <v>1522.4839999999999</v>
      </c>
      <c r="K2367" s="12">
        <v>1522.4839999999999</v>
      </c>
      <c r="L2367" s="13">
        <v>1774.0160000000001</v>
      </c>
      <c r="M2367" s="12">
        <v>-16.545000000000002</v>
      </c>
      <c r="N2367" s="12">
        <v>-16.545000000000002</v>
      </c>
      <c r="O2367" s="12">
        <v>54.497</v>
      </c>
      <c r="P2367" s="12">
        <v>1</v>
      </c>
      <c r="Q2367" s="12">
        <v>1</v>
      </c>
      <c r="R2367" s="12">
        <v>11</v>
      </c>
    </row>
    <row r="2368" spans="1:18" ht="29.5" customHeight="1" x14ac:dyDescent="0.15">
      <c r="A2368" s="8" t="s">
        <v>12630</v>
      </c>
      <c r="B2368" s="9" t="s">
        <v>12631</v>
      </c>
      <c r="C2368" s="8" t="s">
        <v>12632</v>
      </c>
      <c r="D2368" s="8" t="s">
        <v>12632</v>
      </c>
      <c r="E2368" s="8" t="s">
        <v>12633</v>
      </c>
      <c r="F2368" s="8" t="s">
        <v>12488</v>
      </c>
      <c r="G2368" s="8" t="s">
        <v>12528</v>
      </c>
      <c r="H2368" s="8" t="s">
        <v>12475</v>
      </c>
      <c r="I2368" s="8" t="str">
        <f>HYPERLINK("http://mensshoes.it/","mensshoes.it")</f>
        <v>mensshoes.it</v>
      </c>
      <c r="J2368" s="10">
        <v>2258.846</v>
      </c>
      <c r="K2368" s="10">
        <v>2258.846</v>
      </c>
      <c r="L2368" s="10">
        <v>1768.9359999999999</v>
      </c>
      <c r="M2368" s="10">
        <v>19.670000000000002</v>
      </c>
      <c r="N2368" s="10">
        <v>19.670000000000002</v>
      </c>
      <c r="O2368" s="10">
        <v>6.68</v>
      </c>
      <c r="P2368" s="10">
        <v>14</v>
      </c>
      <c r="Q2368" s="10">
        <v>14</v>
      </c>
      <c r="R2368" s="10">
        <v>12</v>
      </c>
    </row>
    <row r="2369" spans="1:18" ht="17" customHeight="1" x14ac:dyDescent="0.15">
      <c r="A2369" s="11" t="s">
        <v>12634</v>
      </c>
      <c r="B2369" s="1" t="s">
        <v>12635</v>
      </c>
      <c r="C2369" s="11" t="s">
        <v>12636</v>
      </c>
      <c r="D2369" s="11" t="s">
        <v>12636</v>
      </c>
      <c r="E2369" s="11" t="s">
        <v>12637</v>
      </c>
      <c r="F2369" s="11" t="s">
        <v>12638</v>
      </c>
      <c r="G2369" s="11" t="s">
        <v>12639</v>
      </c>
      <c r="H2369" s="11" t="s">
        <v>12640</v>
      </c>
      <c r="I2369" s="11" t="str">
        <f>HYPERLINK("http://www.bestcalze.com/","http://www.bestcalze.com")</f>
        <v>http://www.bestcalze.com</v>
      </c>
      <c r="J2369" s="12">
        <v>1911.452</v>
      </c>
      <c r="K2369" s="12">
        <v>1911.452</v>
      </c>
      <c r="L2369" s="13">
        <v>1768.8810000000001</v>
      </c>
      <c r="M2369" s="12">
        <v>5.39</v>
      </c>
      <c r="N2369" s="12">
        <v>5.39</v>
      </c>
      <c r="O2369" s="12">
        <v>-76.968000000000004</v>
      </c>
      <c r="P2369" s="14" t="s">
        <v>12641</v>
      </c>
      <c r="Q2369" s="14" t="s">
        <v>12641</v>
      </c>
      <c r="R2369" s="12">
        <v>24</v>
      </c>
    </row>
    <row r="2370" spans="1:18" ht="17" customHeight="1" x14ac:dyDescent="0.15">
      <c r="A2370" s="8" t="s">
        <v>12642</v>
      </c>
      <c r="B2370" s="9" t="s">
        <v>12643</v>
      </c>
      <c r="C2370" s="8" t="s">
        <v>12644</v>
      </c>
      <c r="D2370" s="8" t="s">
        <v>12644</v>
      </c>
      <c r="E2370" s="8" t="s">
        <v>12645</v>
      </c>
      <c r="F2370" s="8" t="s">
        <v>12646</v>
      </c>
      <c r="G2370" s="8" t="s">
        <v>12647</v>
      </c>
      <c r="H2370" s="8" t="s">
        <v>12648</v>
      </c>
      <c r="I2370" s="8" t="str">
        <f>HYPERLINK("http://www.latinojeans.it/","www.latinojeans.it")</f>
        <v>www.latinojeans.it</v>
      </c>
      <c r="J2370" s="10">
        <v>1683.5450000000001</v>
      </c>
      <c r="K2370" s="10">
        <v>1683.5450000000001</v>
      </c>
      <c r="L2370" s="10">
        <v>1768.4190000000001</v>
      </c>
      <c r="M2370" s="10">
        <v>84.741</v>
      </c>
      <c r="N2370" s="10">
        <v>84.741</v>
      </c>
      <c r="O2370" s="10">
        <v>-25.076000000000001</v>
      </c>
      <c r="P2370" s="10">
        <v>8</v>
      </c>
      <c r="Q2370" s="10">
        <v>8</v>
      </c>
      <c r="R2370" s="10">
        <v>8</v>
      </c>
    </row>
    <row r="2371" spans="1:18" ht="29.5" customHeight="1" x14ac:dyDescent="0.15">
      <c r="A2371" s="11" t="s">
        <v>12649</v>
      </c>
      <c r="B2371" s="1" t="s">
        <v>12650</v>
      </c>
      <c r="C2371" s="11" t="s">
        <v>12651</v>
      </c>
      <c r="D2371" s="11" t="s">
        <v>12651</v>
      </c>
      <c r="E2371" s="11" t="s">
        <v>12652</v>
      </c>
      <c r="F2371" s="11" t="s">
        <v>12653</v>
      </c>
      <c r="G2371" s="11" t="s">
        <v>12654</v>
      </c>
      <c r="H2371" s="11" t="s">
        <v>12655</v>
      </c>
      <c r="I2371" s="11" t="str">
        <f>HYPERLINK("http://www.ruetrentatre.com/","www.ruetrentatre.com")</f>
        <v>www.ruetrentatre.com</v>
      </c>
      <c r="J2371" s="12">
        <v>1705.261</v>
      </c>
      <c r="K2371" s="12">
        <v>1705.261</v>
      </c>
      <c r="L2371" s="13">
        <v>1766.848</v>
      </c>
      <c r="M2371" s="12">
        <v>15.097</v>
      </c>
      <c r="N2371" s="12">
        <v>15.097</v>
      </c>
      <c r="O2371" s="12">
        <v>13.439</v>
      </c>
      <c r="P2371" s="14" t="s">
        <v>12641</v>
      </c>
      <c r="Q2371" s="14" t="s">
        <v>12641</v>
      </c>
      <c r="R2371" s="12">
        <v>1</v>
      </c>
    </row>
    <row r="2372" spans="1:18" ht="17" customHeight="1" x14ac:dyDescent="0.15">
      <c r="A2372" s="8" t="s">
        <v>12656</v>
      </c>
      <c r="B2372" s="9" t="s">
        <v>12657</v>
      </c>
      <c r="C2372" s="8" t="s">
        <v>12658</v>
      </c>
      <c r="D2372" s="8" t="s">
        <v>12658</v>
      </c>
      <c r="E2372" s="8" t="s">
        <v>12659</v>
      </c>
      <c r="F2372" s="8" t="s">
        <v>12646</v>
      </c>
      <c r="G2372" s="8" t="s">
        <v>12660</v>
      </c>
      <c r="H2372" s="8" t="s">
        <v>12640</v>
      </c>
      <c r="I2372" s="8" t="str">
        <f>HYPERLINK("http://www.gecofashion.it/","www.gecofashion.it")</f>
        <v>www.gecofashion.it</v>
      </c>
      <c r="J2372" s="10">
        <v>1772.8910000000001</v>
      </c>
      <c r="K2372" s="10">
        <v>1772.8910000000001</v>
      </c>
      <c r="L2372" s="10">
        <v>1765.701</v>
      </c>
      <c r="M2372" s="10">
        <v>9.1110000000000007</v>
      </c>
      <c r="N2372" s="10">
        <v>9.1110000000000007</v>
      </c>
      <c r="O2372" s="10">
        <v>24.393000000000001</v>
      </c>
      <c r="P2372" s="15" t="s">
        <v>12641</v>
      </c>
      <c r="Q2372" s="15" t="s">
        <v>12641</v>
      </c>
      <c r="R2372" s="10">
        <v>15</v>
      </c>
    </row>
    <row r="2373" spans="1:18" ht="17" customHeight="1" x14ac:dyDescent="0.15">
      <c r="A2373" s="11" t="s">
        <v>12661</v>
      </c>
      <c r="B2373" s="1" t="s">
        <v>12662</v>
      </c>
      <c r="C2373" s="11" t="s">
        <v>12663</v>
      </c>
      <c r="D2373" s="11" t="s">
        <v>12663</v>
      </c>
      <c r="E2373" s="11" t="s">
        <v>12664</v>
      </c>
      <c r="F2373" s="11" t="s">
        <v>12665</v>
      </c>
      <c r="G2373" s="11" t="s">
        <v>12666</v>
      </c>
      <c r="H2373" s="11" t="s">
        <v>12667</v>
      </c>
      <c r="I2373" s="11" t="str">
        <f>HYPERLINK("http://www.futura-srl.net/","www.futura-srl.net")</f>
        <v>www.futura-srl.net</v>
      </c>
      <c r="J2373" s="12">
        <v>1282.8130000000001</v>
      </c>
      <c r="K2373" s="12">
        <v>1282.8130000000001</v>
      </c>
      <c r="L2373" s="13">
        <v>1764.5409999999999</v>
      </c>
      <c r="M2373" s="12">
        <v>-1.633</v>
      </c>
      <c r="N2373" s="12">
        <v>-1.633</v>
      </c>
      <c r="O2373" s="12">
        <v>164.96199999999999</v>
      </c>
      <c r="P2373" s="12">
        <v>10</v>
      </c>
      <c r="Q2373" s="12">
        <v>10</v>
      </c>
      <c r="R2373" s="12">
        <v>11</v>
      </c>
    </row>
    <row r="2374" spans="1:18" ht="17" customHeight="1" x14ac:dyDescent="0.15">
      <c r="A2374" s="8" t="s">
        <v>12668</v>
      </c>
      <c r="B2374" s="9" t="s">
        <v>12669</v>
      </c>
      <c r="C2374" s="8" t="s">
        <v>12670</v>
      </c>
      <c r="D2374" s="8" t="s">
        <v>12671</v>
      </c>
      <c r="E2374" s="8" t="s">
        <v>12672</v>
      </c>
      <c r="F2374" s="8" t="s">
        <v>12673</v>
      </c>
      <c r="G2374" s="8" t="s">
        <v>12674</v>
      </c>
      <c r="H2374" s="8" t="s">
        <v>12675</v>
      </c>
      <c r="I2374" s="8" t="str">
        <f>HYPERLINK("http://schulthess.it/","schulthess.it")</f>
        <v>schulthess.it</v>
      </c>
      <c r="J2374" s="10">
        <v>1897.0989999999999</v>
      </c>
      <c r="K2374" s="10">
        <v>1897.0989999999999</v>
      </c>
      <c r="L2374" s="10">
        <v>1764.4359999999999</v>
      </c>
      <c r="M2374" s="10">
        <v>302.98200000000003</v>
      </c>
      <c r="N2374" s="10">
        <v>302.98200000000003</v>
      </c>
      <c r="O2374" s="10">
        <v>83.350999999999999</v>
      </c>
      <c r="P2374" s="10">
        <v>25</v>
      </c>
      <c r="Q2374" s="10">
        <v>25</v>
      </c>
      <c r="R2374" s="10">
        <v>22</v>
      </c>
    </row>
    <row r="2375" spans="1:18" ht="17" customHeight="1" x14ac:dyDescent="0.15">
      <c r="A2375" s="11" t="s">
        <v>12676</v>
      </c>
      <c r="B2375" s="1" t="s">
        <v>12677</v>
      </c>
      <c r="C2375" s="11" t="s">
        <v>12678</v>
      </c>
      <c r="D2375" s="11" t="s">
        <v>12678</v>
      </c>
      <c r="E2375" s="11" t="s">
        <v>12679</v>
      </c>
      <c r="F2375" s="11" t="s">
        <v>12680</v>
      </c>
      <c r="G2375" s="11" t="s">
        <v>12681</v>
      </c>
      <c r="H2375" s="11" t="s">
        <v>12667</v>
      </c>
      <c r="I2375" s="11" t="str">
        <f>HYPERLINK("http://latorrefasciature.it/","latorrefasciature.it")</f>
        <v>latorrefasciature.it</v>
      </c>
      <c r="J2375" s="12">
        <v>1683.788</v>
      </c>
      <c r="K2375" s="12">
        <v>1683.788</v>
      </c>
      <c r="L2375" s="13">
        <v>1764.338</v>
      </c>
      <c r="M2375" s="12">
        <v>71.838999999999999</v>
      </c>
      <c r="N2375" s="12">
        <v>71.838999999999999</v>
      </c>
      <c r="O2375" s="12">
        <v>32.822000000000003</v>
      </c>
      <c r="P2375" s="12">
        <v>15</v>
      </c>
      <c r="Q2375" s="12">
        <v>15</v>
      </c>
      <c r="R2375" s="12">
        <v>16</v>
      </c>
    </row>
    <row r="2376" spans="1:18" ht="17" customHeight="1" x14ac:dyDescent="0.15">
      <c r="A2376" s="8" t="s">
        <v>12682</v>
      </c>
      <c r="B2376" s="9" t="s">
        <v>12683</v>
      </c>
      <c r="C2376" s="8" t="s">
        <v>12684</v>
      </c>
      <c r="D2376" s="8" t="s">
        <v>12684</v>
      </c>
      <c r="E2376" s="8" t="s">
        <v>12685</v>
      </c>
      <c r="F2376" s="8" t="s">
        <v>12680</v>
      </c>
      <c r="G2376" s="8" t="s">
        <v>12686</v>
      </c>
      <c r="H2376" s="8" t="s">
        <v>12687</v>
      </c>
      <c r="I2376" s="8" t="str">
        <f>HYPERLINK("http://www.riccienrico.it/","www.riccienrico.it")</f>
        <v>www.riccienrico.it</v>
      </c>
      <c r="J2376" s="10">
        <v>1668.28</v>
      </c>
      <c r="K2376" s="10">
        <v>1668.28</v>
      </c>
      <c r="L2376" s="10">
        <v>1763.1790000000001</v>
      </c>
      <c r="M2376" s="10">
        <v>-55.356999999999999</v>
      </c>
      <c r="N2376" s="10">
        <v>-55.356999999999999</v>
      </c>
      <c r="O2376" s="10">
        <v>80.292000000000002</v>
      </c>
      <c r="P2376" s="10">
        <v>27</v>
      </c>
      <c r="Q2376" s="10">
        <v>27</v>
      </c>
      <c r="R2376" s="10">
        <v>26</v>
      </c>
    </row>
    <row r="2377" spans="1:18" ht="17" customHeight="1" x14ac:dyDescent="0.15">
      <c r="A2377" s="11" t="s">
        <v>12688</v>
      </c>
      <c r="B2377" s="1" t="s">
        <v>12689</v>
      </c>
      <c r="C2377" s="11" t="s">
        <v>12690</v>
      </c>
      <c r="D2377" s="11" t="s">
        <v>12690</v>
      </c>
      <c r="E2377" s="11" t="s">
        <v>12691</v>
      </c>
      <c r="F2377" s="11" t="s">
        <v>12692</v>
      </c>
      <c r="G2377" s="11" t="s">
        <v>12674</v>
      </c>
      <c r="H2377" s="11" t="s">
        <v>12675</v>
      </c>
      <c r="I2377" s="11" t="str">
        <f>HYPERLINK("http://www.metiki.it/","www.metiki.it")</f>
        <v>www.metiki.it</v>
      </c>
      <c r="J2377" s="12">
        <v>2788.7080000000001</v>
      </c>
      <c r="K2377" s="12">
        <v>2788.7080000000001</v>
      </c>
      <c r="L2377" s="13">
        <v>1762.365</v>
      </c>
      <c r="M2377" s="12">
        <v>11.731</v>
      </c>
      <c r="N2377" s="12">
        <v>11.731</v>
      </c>
      <c r="O2377" s="12">
        <v>1.736</v>
      </c>
      <c r="P2377" s="14" t="s">
        <v>12641</v>
      </c>
      <c r="Q2377" s="14" t="s">
        <v>12641</v>
      </c>
      <c r="R2377" s="12">
        <v>9</v>
      </c>
    </row>
    <row r="2378" spans="1:18" ht="43" customHeight="1" x14ac:dyDescent="0.15">
      <c r="A2378" s="8" t="s">
        <v>12693</v>
      </c>
      <c r="B2378" s="9" t="s">
        <v>12694</v>
      </c>
      <c r="C2378" s="8" t="s">
        <v>12695</v>
      </c>
      <c r="D2378" s="8" t="s">
        <v>12695</v>
      </c>
      <c r="E2378" s="8" t="s">
        <v>12696</v>
      </c>
      <c r="F2378" s="8" t="s">
        <v>12680</v>
      </c>
      <c r="G2378" s="8" t="s">
        <v>12697</v>
      </c>
      <c r="H2378" s="8" t="s">
        <v>12698</v>
      </c>
      <c r="I2378" s="8" t="str">
        <f>HYPERLINK("http://www.leta.it/","www.leta.it")</f>
        <v>www.leta.it</v>
      </c>
      <c r="J2378" s="10">
        <v>1831.3219999999999</v>
      </c>
      <c r="K2378" s="10">
        <v>1831.3219999999999</v>
      </c>
      <c r="L2378" s="10">
        <v>1760.9739999999999</v>
      </c>
      <c r="M2378" s="10">
        <v>54.567</v>
      </c>
      <c r="N2378" s="10">
        <v>54.567</v>
      </c>
      <c r="O2378" s="10">
        <v>24.114999999999998</v>
      </c>
      <c r="P2378" s="15" t="s">
        <v>12641</v>
      </c>
      <c r="Q2378" s="15" t="s">
        <v>12641</v>
      </c>
      <c r="R2378" s="10">
        <v>19</v>
      </c>
    </row>
    <row r="2379" spans="1:18" ht="17" customHeight="1" x14ac:dyDescent="0.15">
      <c r="A2379" s="11" t="s">
        <v>12699</v>
      </c>
      <c r="B2379" s="1" t="s">
        <v>12700</v>
      </c>
      <c r="C2379" s="11" t="s">
        <v>12701</v>
      </c>
      <c r="D2379" s="11" t="s">
        <v>12701</v>
      </c>
      <c r="E2379" s="11" t="s">
        <v>12702</v>
      </c>
      <c r="F2379" s="11" t="s">
        <v>12703</v>
      </c>
      <c r="G2379" s="11" t="s">
        <v>12704</v>
      </c>
      <c r="H2379" s="11" t="s">
        <v>12705</v>
      </c>
      <c r="I2379" s="11" t="str">
        <f>HYPERLINK("http://www.nerogiardini.it/","www.nerogiardini.it")</f>
        <v>www.nerogiardini.it</v>
      </c>
      <c r="J2379" s="12">
        <v>1698.8969999999999</v>
      </c>
      <c r="K2379" s="12">
        <v>1698.8969999999999</v>
      </c>
      <c r="L2379" s="13">
        <v>1759.251</v>
      </c>
      <c r="M2379" s="12">
        <v>-28.591000000000001</v>
      </c>
      <c r="N2379" s="12">
        <v>-28.591000000000001</v>
      </c>
      <c r="O2379" s="12">
        <v>25.742999999999999</v>
      </c>
      <c r="P2379" s="12">
        <v>40</v>
      </c>
      <c r="Q2379" s="12">
        <v>40</v>
      </c>
      <c r="R2379" s="12">
        <v>39</v>
      </c>
    </row>
    <row r="2380" spans="1:18" ht="17" customHeight="1" x14ac:dyDescent="0.15">
      <c r="A2380" s="8" t="s">
        <v>12706</v>
      </c>
      <c r="B2380" s="9" t="s">
        <v>12707</v>
      </c>
      <c r="C2380" s="8" t="s">
        <v>12708</v>
      </c>
      <c r="D2380" s="8" t="s">
        <v>12708</v>
      </c>
      <c r="E2380" s="8" t="s">
        <v>12709</v>
      </c>
      <c r="F2380" s="8" t="s">
        <v>12646</v>
      </c>
      <c r="G2380" s="8" t="s">
        <v>12710</v>
      </c>
      <c r="H2380" s="8" t="s">
        <v>12687</v>
      </c>
      <c r="I2380" s="8" t="str">
        <f>HYPERLINK("http://www.maglificiotreci.it/","www.maglificiotreci.it")</f>
        <v>www.maglificiotreci.it</v>
      </c>
      <c r="J2380" s="10">
        <v>1305.308</v>
      </c>
      <c r="K2380" s="10">
        <v>1305.308</v>
      </c>
      <c r="L2380" s="10">
        <v>1759.335</v>
      </c>
      <c r="M2380" s="10">
        <v>4.7030000000000003</v>
      </c>
      <c r="N2380" s="10">
        <v>4.7030000000000003</v>
      </c>
      <c r="O2380" s="10">
        <v>-11.404999999999999</v>
      </c>
      <c r="P2380" s="10">
        <v>5</v>
      </c>
      <c r="Q2380" s="10">
        <v>5</v>
      </c>
      <c r="R2380" s="10">
        <v>6</v>
      </c>
    </row>
    <row r="2381" spans="1:18" ht="29.5" customHeight="1" x14ac:dyDescent="0.15">
      <c r="A2381" s="11" t="s">
        <v>12711</v>
      </c>
      <c r="B2381" s="1" t="s">
        <v>12712</v>
      </c>
      <c r="C2381" s="11" t="s">
        <v>12713</v>
      </c>
      <c r="D2381" s="11" t="s">
        <v>12713</v>
      </c>
      <c r="E2381" s="11" t="s">
        <v>12714</v>
      </c>
      <c r="F2381" s="11" t="s">
        <v>12703</v>
      </c>
      <c r="G2381" s="11" t="s">
        <v>12715</v>
      </c>
      <c r="H2381" s="11" t="s">
        <v>12667</v>
      </c>
      <c r="I2381" s="11" t="str">
        <f>HYPERLINK("http://www.robertodelcarlo.it/","www.robertodelcarlo.it")</f>
        <v>www.robertodelcarlo.it</v>
      </c>
      <c r="J2381" s="12">
        <v>1719.163</v>
      </c>
      <c r="K2381" s="12">
        <v>1719.163</v>
      </c>
      <c r="L2381" s="13">
        <v>1755.402</v>
      </c>
      <c r="M2381" s="12">
        <v>-385.93099999999998</v>
      </c>
      <c r="N2381" s="12">
        <v>-385.93099999999998</v>
      </c>
      <c r="O2381" s="12">
        <v>-301.94799999999998</v>
      </c>
      <c r="P2381" s="12">
        <v>13</v>
      </c>
      <c r="Q2381" s="12">
        <v>13</v>
      </c>
      <c r="R2381" s="12">
        <v>14</v>
      </c>
    </row>
    <row r="2382" spans="1:18" ht="17" customHeight="1" x14ac:dyDescent="0.15">
      <c r="A2382" s="8" t="s">
        <v>12716</v>
      </c>
      <c r="B2382" s="9" t="s">
        <v>12717</v>
      </c>
      <c r="C2382" s="8" t="s">
        <v>12718</v>
      </c>
      <c r="D2382" s="8" t="s">
        <v>12718</v>
      </c>
      <c r="E2382" s="8" t="s">
        <v>12719</v>
      </c>
      <c r="F2382" s="8" t="s">
        <v>12720</v>
      </c>
      <c r="G2382" s="8" t="s">
        <v>12721</v>
      </c>
      <c r="H2382" s="8" t="s">
        <v>12722</v>
      </c>
      <c r="I2382" s="8" t="str">
        <f>HYPERLINK("http://www.gpmgenova.it/","www.gpmgenova.it")</f>
        <v>www.gpmgenova.it</v>
      </c>
      <c r="J2382" s="10">
        <v>2005.806</v>
      </c>
      <c r="K2382" s="10">
        <v>2005.806</v>
      </c>
      <c r="L2382" s="10">
        <v>1754.7950000000001</v>
      </c>
      <c r="M2382" s="10">
        <v>91.578000000000003</v>
      </c>
      <c r="N2382" s="10">
        <v>91.578000000000003</v>
      </c>
      <c r="O2382" s="10">
        <v>60.570999999999998</v>
      </c>
      <c r="P2382" s="15" t="s">
        <v>12641</v>
      </c>
      <c r="Q2382" s="15" t="s">
        <v>12641</v>
      </c>
      <c r="R2382" s="10">
        <v>7</v>
      </c>
    </row>
    <row r="2383" spans="1:18" ht="17" customHeight="1" x14ac:dyDescent="0.15">
      <c r="A2383" s="11" t="s">
        <v>12723</v>
      </c>
      <c r="B2383" s="1" t="s">
        <v>12724</v>
      </c>
      <c r="C2383" s="11" t="s">
        <v>12725</v>
      </c>
      <c r="D2383" s="11" t="s">
        <v>12725</v>
      </c>
      <c r="E2383" s="11" t="s">
        <v>12726</v>
      </c>
      <c r="F2383" s="11" t="s">
        <v>12727</v>
      </c>
      <c r="G2383" s="11" t="s">
        <v>12660</v>
      </c>
      <c r="H2383" s="11" t="s">
        <v>12640</v>
      </c>
      <c r="I2383" s="11" t="str">
        <f>HYPERLINK("http://www.tuttoserrature.it/","www.tuttoserrature.it")</f>
        <v>www.tuttoserrature.it</v>
      </c>
      <c r="J2383" s="12">
        <v>2390.2820000000002</v>
      </c>
      <c r="K2383" s="12">
        <v>2390.2820000000002</v>
      </c>
      <c r="L2383" s="13">
        <v>1753.8009999999999</v>
      </c>
      <c r="M2383" s="12">
        <v>38.073</v>
      </c>
      <c r="N2383" s="12">
        <v>38.073</v>
      </c>
      <c r="O2383" s="12">
        <v>21.934000000000001</v>
      </c>
      <c r="P2383" s="12">
        <v>37</v>
      </c>
      <c r="Q2383" s="12">
        <v>37</v>
      </c>
      <c r="R2383" s="12">
        <v>35</v>
      </c>
    </row>
    <row r="2384" spans="1:18" ht="17" customHeight="1" x14ac:dyDescent="0.15">
      <c r="A2384" s="8" t="s">
        <v>12728</v>
      </c>
      <c r="B2384" s="9" t="s">
        <v>12729</v>
      </c>
      <c r="C2384" s="8" t="s">
        <v>12730</v>
      </c>
      <c r="D2384" s="8" t="s">
        <v>12730</v>
      </c>
      <c r="E2384" s="8" t="s">
        <v>12731</v>
      </c>
      <c r="F2384" s="8" t="s">
        <v>12680</v>
      </c>
      <c r="G2384" s="8" t="s">
        <v>12704</v>
      </c>
      <c r="H2384" s="8" t="s">
        <v>12705</v>
      </c>
      <c r="I2384" s="8" t="str">
        <f>HYPERLINK("http://www.solettificiotris.it/","www.solettificiotris.it")</f>
        <v>www.solettificiotris.it</v>
      </c>
      <c r="J2384" s="10">
        <v>1504.596</v>
      </c>
      <c r="K2384" s="10">
        <v>1504.596</v>
      </c>
      <c r="L2384" s="10">
        <v>1747.9359999999999</v>
      </c>
      <c r="M2384" s="10">
        <v>64.682000000000002</v>
      </c>
      <c r="N2384" s="10">
        <v>64.682000000000002</v>
      </c>
      <c r="O2384" s="10">
        <v>162.73699999999999</v>
      </c>
      <c r="P2384" s="10">
        <v>10</v>
      </c>
      <c r="Q2384" s="10">
        <v>10</v>
      </c>
      <c r="R2384" s="10">
        <v>10</v>
      </c>
    </row>
    <row r="2385" spans="1:18" ht="17" customHeight="1" x14ac:dyDescent="0.15">
      <c r="A2385" s="11" t="s">
        <v>12732</v>
      </c>
      <c r="B2385" s="1" t="s">
        <v>12733</v>
      </c>
      <c r="C2385" s="11" t="s">
        <v>12734</v>
      </c>
      <c r="D2385" s="11" t="s">
        <v>12734</v>
      </c>
      <c r="E2385" s="11" t="s">
        <v>12735</v>
      </c>
      <c r="F2385" s="11" t="s">
        <v>12673</v>
      </c>
      <c r="G2385" s="11" t="s">
        <v>12736</v>
      </c>
      <c r="H2385" s="11" t="s">
        <v>12737</v>
      </c>
      <c r="I2385" s="11" t="str">
        <f>HYPERLINK("http://www.alessandroangelozzicouture.it/","www.alessandroangelozzicouture.it")</f>
        <v>www.alessandroangelozzicouture.it</v>
      </c>
      <c r="J2385" s="12">
        <v>1708.595</v>
      </c>
      <c r="K2385" s="12">
        <v>1708.595</v>
      </c>
      <c r="L2385" s="13">
        <v>1742.96</v>
      </c>
      <c r="M2385" s="12">
        <v>20.600999999999999</v>
      </c>
      <c r="N2385" s="12">
        <v>20.600999999999999</v>
      </c>
      <c r="O2385" s="12">
        <v>222.584</v>
      </c>
      <c r="P2385" s="14" t="s">
        <v>12641</v>
      </c>
      <c r="Q2385" s="14" t="s">
        <v>12641</v>
      </c>
      <c r="R2385" s="12">
        <v>7</v>
      </c>
    </row>
    <row r="2386" spans="1:18" ht="17" customHeight="1" x14ac:dyDescent="0.15">
      <c r="A2386" s="8" t="s">
        <v>12738</v>
      </c>
      <c r="B2386" s="9" t="s">
        <v>12739</v>
      </c>
      <c r="C2386" s="8" t="s">
        <v>12740</v>
      </c>
      <c r="D2386" s="8" t="s">
        <v>12740</v>
      </c>
      <c r="E2386" s="8" t="s">
        <v>12741</v>
      </c>
      <c r="F2386" s="8" t="s">
        <v>12742</v>
      </c>
      <c r="G2386" s="8" t="s">
        <v>12743</v>
      </c>
      <c r="H2386" s="8" t="s">
        <v>12667</v>
      </c>
      <c r="I2386" s="8" t="str">
        <f>HYPERLINK("http://www.pierotucci.com/","www.pierotucci.com")</f>
        <v>www.pierotucci.com</v>
      </c>
      <c r="J2386" s="10">
        <v>3566.0970000000002</v>
      </c>
      <c r="K2386" s="10">
        <v>3566.0970000000002</v>
      </c>
      <c r="L2386" s="10">
        <v>1740.325</v>
      </c>
      <c r="M2386" s="10">
        <v>70.655000000000001</v>
      </c>
      <c r="N2386" s="10">
        <v>70.655000000000001</v>
      </c>
      <c r="O2386" s="10">
        <v>13.686999999999999</v>
      </c>
      <c r="P2386" s="10">
        <v>27</v>
      </c>
      <c r="Q2386" s="10">
        <v>27</v>
      </c>
      <c r="R2386" s="10">
        <v>20</v>
      </c>
    </row>
    <row r="2387" spans="1:18" ht="29.5" customHeight="1" x14ac:dyDescent="0.15">
      <c r="A2387" s="11" t="s">
        <v>12744</v>
      </c>
      <c r="B2387" s="1" t="s">
        <v>12745</v>
      </c>
      <c r="C2387" s="11" t="s">
        <v>12746</v>
      </c>
      <c r="D2387" s="11" t="s">
        <v>12746</v>
      </c>
      <c r="E2387" s="11" t="s">
        <v>12747</v>
      </c>
      <c r="F2387" s="11" t="s">
        <v>12646</v>
      </c>
      <c r="G2387" s="11" t="s">
        <v>12748</v>
      </c>
      <c r="H2387" s="11" t="s">
        <v>12749</v>
      </c>
      <c r="I2387" s="11" t="str">
        <f>HYPERLINK("http://www.castangia1850.com/","http://www.castangia1850.com/")</f>
        <v>http://www.castangia1850.com/</v>
      </c>
      <c r="J2387" s="12">
        <v>1739.4169999999999</v>
      </c>
      <c r="K2387" s="14" t="s">
        <v>12641</v>
      </c>
      <c r="L2387" s="13">
        <v>1739.4169999999999</v>
      </c>
      <c r="M2387" s="12">
        <v>-944.74800000000005</v>
      </c>
      <c r="N2387" s="14" t="s">
        <v>12641</v>
      </c>
      <c r="O2387" s="12">
        <v>-944.74800000000005</v>
      </c>
      <c r="P2387" s="14" t="s">
        <v>12641</v>
      </c>
      <c r="Q2387" s="14" t="s">
        <v>12641</v>
      </c>
      <c r="R2387" s="14" t="s">
        <v>12641</v>
      </c>
    </row>
    <row r="2388" spans="1:18" ht="29.5" customHeight="1" x14ac:dyDescent="0.15">
      <c r="A2388" s="8" t="s">
        <v>12750</v>
      </c>
      <c r="B2388" s="9" t="s">
        <v>12751</v>
      </c>
      <c r="C2388" s="8" t="s">
        <v>12752</v>
      </c>
      <c r="D2388" s="8" t="s">
        <v>12752</v>
      </c>
      <c r="E2388" s="8" t="s">
        <v>12753</v>
      </c>
      <c r="F2388" s="8" t="s">
        <v>12646</v>
      </c>
      <c r="G2388" s="8" t="s">
        <v>12754</v>
      </c>
      <c r="H2388" s="8" t="s">
        <v>12755</v>
      </c>
      <c r="I2388" s="8" t="str">
        <f>HYPERLINK("http://www.manifatturatessilecampana.it/","www.manifatturatessilecampana.it")</f>
        <v>www.manifatturatessilecampana.it</v>
      </c>
      <c r="J2388" s="10">
        <v>2107.5569999999998</v>
      </c>
      <c r="K2388" s="10">
        <v>2107.5569999999998</v>
      </c>
      <c r="L2388" s="10">
        <v>1738.268</v>
      </c>
      <c r="M2388" s="10">
        <v>152.92599999999999</v>
      </c>
      <c r="N2388" s="10">
        <v>152.92599999999999</v>
      </c>
      <c r="O2388" s="10">
        <v>69.620999999999995</v>
      </c>
      <c r="P2388" s="15" t="s">
        <v>12641</v>
      </c>
      <c r="Q2388" s="15" t="s">
        <v>12641</v>
      </c>
      <c r="R2388" s="10">
        <v>11</v>
      </c>
    </row>
    <row r="2389" spans="1:18" ht="17" customHeight="1" x14ac:dyDescent="0.15">
      <c r="A2389" s="11" t="s">
        <v>12756</v>
      </c>
      <c r="B2389" s="1" t="s">
        <v>12757</v>
      </c>
      <c r="C2389" s="11" t="s">
        <v>12758</v>
      </c>
      <c r="D2389" s="11" t="s">
        <v>12758</v>
      </c>
      <c r="E2389" s="11" t="s">
        <v>12759</v>
      </c>
      <c r="F2389" s="11" t="s">
        <v>12638</v>
      </c>
      <c r="G2389" s="11" t="s">
        <v>12760</v>
      </c>
      <c r="H2389" s="11" t="s">
        <v>12675</v>
      </c>
      <c r="I2389" s="11" t="str">
        <f>HYPERLINK("http://www.calzificiozeta.it/","www.calzificiozeta.it")</f>
        <v>www.calzificiozeta.it</v>
      </c>
      <c r="J2389" s="12">
        <v>1882.77</v>
      </c>
      <c r="K2389" s="12">
        <v>1882.77</v>
      </c>
      <c r="L2389" s="13">
        <v>1737.3589999999999</v>
      </c>
      <c r="M2389" s="12">
        <v>6.6790000000000003</v>
      </c>
      <c r="N2389" s="12">
        <v>6.6790000000000003</v>
      </c>
      <c r="O2389" s="12">
        <v>-0.54400000000000004</v>
      </c>
      <c r="P2389" s="12">
        <v>12</v>
      </c>
      <c r="Q2389" s="12">
        <v>12</v>
      </c>
      <c r="R2389" s="12">
        <v>13</v>
      </c>
    </row>
    <row r="2390" spans="1:18" ht="17" customHeight="1" x14ac:dyDescent="0.15">
      <c r="A2390" s="8" t="s">
        <v>12761</v>
      </c>
      <c r="B2390" s="9" t="s">
        <v>12762</v>
      </c>
      <c r="C2390" s="8" t="s">
        <v>12763</v>
      </c>
      <c r="D2390" s="8" t="s">
        <v>12763</v>
      </c>
      <c r="E2390" s="8" t="s">
        <v>12764</v>
      </c>
      <c r="F2390" s="8" t="s">
        <v>12673</v>
      </c>
      <c r="G2390" s="8" t="s">
        <v>12765</v>
      </c>
      <c r="H2390" s="8" t="s">
        <v>12640</v>
      </c>
      <c r="I2390" s="8" t="str">
        <f>HYPERLINK("http://www.luigiconvertini.it/","www.luigiconvertini.it")</f>
        <v>www.luigiconvertini.it</v>
      </c>
      <c r="J2390" s="10">
        <v>2020.2550000000001</v>
      </c>
      <c r="K2390" s="10">
        <v>2020.2550000000001</v>
      </c>
      <c r="L2390" s="10">
        <v>1736.039</v>
      </c>
      <c r="M2390" s="10">
        <v>110.761</v>
      </c>
      <c r="N2390" s="10">
        <v>110.761</v>
      </c>
      <c r="O2390" s="10">
        <v>98.394000000000005</v>
      </c>
      <c r="P2390" s="10">
        <v>9</v>
      </c>
      <c r="Q2390" s="10">
        <v>9</v>
      </c>
      <c r="R2390" s="10">
        <v>10</v>
      </c>
    </row>
    <row r="2391" spans="1:18" ht="17" customHeight="1" x14ac:dyDescent="0.15">
      <c r="A2391" s="11" t="s">
        <v>12766</v>
      </c>
      <c r="B2391" s="1" t="s">
        <v>12767</v>
      </c>
      <c r="C2391" s="11" t="s">
        <v>12768</v>
      </c>
      <c r="D2391" s="11" t="s">
        <v>12768</v>
      </c>
      <c r="E2391" s="11" t="s">
        <v>12769</v>
      </c>
      <c r="F2391" s="11" t="s">
        <v>12770</v>
      </c>
      <c r="G2391" s="11" t="s">
        <v>12660</v>
      </c>
      <c r="H2391" s="11" t="s">
        <v>12640</v>
      </c>
      <c r="I2391" s="11" t="str">
        <f>HYPERLINK("http://akep.it/","akep.it")</f>
        <v>akep.it</v>
      </c>
      <c r="J2391" s="12">
        <v>4121.1850000000004</v>
      </c>
      <c r="K2391" s="12">
        <v>4121.1850000000004</v>
      </c>
      <c r="L2391" s="13">
        <v>1735.16</v>
      </c>
      <c r="M2391" s="12">
        <v>108.88500000000001</v>
      </c>
      <c r="N2391" s="12">
        <v>108.88500000000001</v>
      </c>
      <c r="O2391" s="12">
        <v>96.808999999999997</v>
      </c>
      <c r="P2391" s="12">
        <v>13</v>
      </c>
      <c r="Q2391" s="12">
        <v>13</v>
      </c>
      <c r="R2391" s="12">
        <v>12</v>
      </c>
    </row>
    <row r="2392" spans="1:18" ht="17" customHeight="1" x14ac:dyDescent="0.15">
      <c r="A2392" s="8" t="s">
        <v>12771</v>
      </c>
      <c r="B2392" s="9" t="s">
        <v>12772</v>
      </c>
      <c r="C2392" s="8" t="s">
        <v>12773</v>
      </c>
      <c r="D2392" s="8" t="s">
        <v>12773</v>
      </c>
      <c r="E2392" s="8" t="s">
        <v>12774</v>
      </c>
      <c r="F2392" s="8" t="s">
        <v>12653</v>
      </c>
      <c r="G2392" s="8" t="s">
        <v>12754</v>
      </c>
      <c r="H2392" s="8" t="s">
        <v>12755</v>
      </c>
      <c r="I2392" s="8" t="str">
        <f>HYPERLINK("http://www.giadamarina.it/","http://www.giadamarina.it")</f>
        <v>http://www.giadamarina.it</v>
      </c>
      <c r="J2392" s="10">
        <v>2188.5929999999998</v>
      </c>
      <c r="K2392" s="10">
        <v>2188.5929999999998</v>
      </c>
      <c r="L2392" s="10">
        <v>1731.867</v>
      </c>
      <c r="M2392" s="10">
        <v>77.873000000000005</v>
      </c>
      <c r="N2392" s="10">
        <v>77.873000000000005</v>
      </c>
      <c r="O2392" s="10">
        <v>74.096999999999994</v>
      </c>
      <c r="P2392" s="15" t="s">
        <v>12641</v>
      </c>
      <c r="Q2392" s="15" t="s">
        <v>12641</v>
      </c>
      <c r="R2392" s="10">
        <v>14</v>
      </c>
    </row>
    <row r="2393" spans="1:18" ht="17" customHeight="1" x14ac:dyDescent="0.15">
      <c r="A2393" s="11" t="s">
        <v>12775</v>
      </c>
      <c r="B2393" s="1" t="s">
        <v>12776</v>
      </c>
      <c r="C2393" s="11" t="s">
        <v>12777</v>
      </c>
      <c r="D2393" s="11" t="s">
        <v>12777</v>
      </c>
      <c r="E2393" s="11" t="s">
        <v>12778</v>
      </c>
      <c r="F2393" s="11" t="s">
        <v>12653</v>
      </c>
      <c r="G2393" s="11" t="s">
        <v>12743</v>
      </c>
      <c r="H2393" s="11" t="s">
        <v>12667</v>
      </c>
      <c r="I2393" s="11" t="str">
        <f>HYPERLINK("http://www.gennarogorispa.com/","www.gennarogorispa.com")</f>
        <v>www.gennarogorispa.com</v>
      </c>
      <c r="J2393" s="12">
        <v>1578.9849999999999</v>
      </c>
      <c r="K2393" s="12">
        <v>1578.9849999999999</v>
      </c>
      <c r="L2393" s="13">
        <v>1728.4390000000001</v>
      </c>
      <c r="M2393" s="12">
        <v>40.863</v>
      </c>
      <c r="N2393" s="12">
        <v>40.863</v>
      </c>
      <c r="O2393" s="12">
        <v>243.38900000000001</v>
      </c>
      <c r="P2393" s="12">
        <v>7</v>
      </c>
      <c r="Q2393" s="12">
        <v>7</v>
      </c>
      <c r="R2393" s="12">
        <v>7</v>
      </c>
    </row>
    <row r="2394" spans="1:18" ht="17" customHeight="1" x14ac:dyDescent="0.15">
      <c r="A2394" s="8" t="s">
        <v>12779</v>
      </c>
      <c r="B2394" s="9" t="s">
        <v>12780</v>
      </c>
      <c r="C2394" s="8" t="s">
        <v>12781</v>
      </c>
      <c r="D2394" s="8" t="s">
        <v>12781</v>
      </c>
      <c r="E2394" s="8" t="s">
        <v>12782</v>
      </c>
      <c r="F2394" s="8" t="s">
        <v>12783</v>
      </c>
      <c r="G2394" s="8" t="s">
        <v>12784</v>
      </c>
      <c r="H2394" s="8" t="s">
        <v>12705</v>
      </c>
      <c r="I2394" s="8" t="str">
        <f>HYPERLINK("http://www.desireelupi.com/","www.desireelupi.com")</f>
        <v>www.desireelupi.com</v>
      </c>
      <c r="J2394" s="10">
        <v>1216.9100000000001</v>
      </c>
      <c r="K2394" s="10">
        <v>1216.9100000000001</v>
      </c>
      <c r="L2394" s="10">
        <v>1727.8230000000001</v>
      </c>
      <c r="M2394" s="10">
        <v>45.51</v>
      </c>
      <c r="N2394" s="10">
        <v>45.51</v>
      </c>
      <c r="O2394" s="10">
        <v>93.289000000000001</v>
      </c>
      <c r="P2394" s="10">
        <v>12</v>
      </c>
      <c r="Q2394" s="10">
        <v>12</v>
      </c>
      <c r="R2394" s="10">
        <v>8</v>
      </c>
    </row>
    <row r="2395" spans="1:18" ht="17" customHeight="1" x14ac:dyDescent="0.15">
      <c r="A2395" s="11" t="s">
        <v>12785</v>
      </c>
      <c r="B2395" s="1" t="s">
        <v>12786</v>
      </c>
      <c r="C2395" s="11" t="s">
        <v>12787</v>
      </c>
      <c r="D2395" s="11" t="s">
        <v>12787</v>
      </c>
      <c r="E2395" s="11" t="s">
        <v>12788</v>
      </c>
      <c r="F2395" s="11" t="s">
        <v>12789</v>
      </c>
      <c r="G2395" s="11" t="s">
        <v>12790</v>
      </c>
      <c r="H2395" s="11" t="s">
        <v>12667</v>
      </c>
      <c r="I2395" s="11" t="str">
        <f>HYPERLINK("http://www.eurocotton.eu/","www.eurocotton.eu")</f>
        <v>www.eurocotton.eu</v>
      </c>
      <c r="J2395" s="12">
        <v>2841.0720000000001</v>
      </c>
      <c r="K2395" s="12">
        <v>2841.0720000000001</v>
      </c>
      <c r="L2395" s="13">
        <v>1727.3140000000001</v>
      </c>
      <c r="M2395" s="12">
        <v>292.53699999999998</v>
      </c>
      <c r="N2395" s="12">
        <v>292.53699999999998</v>
      </c>
      <c r="O2395" s="12">
        <v>24.498999999999999</v>
      </c>
      <c r="P2395" s="12">
        <v>11</v>
      </c>
      <c r="Q2395" s="12">
        <v>11</v>
      </c>
      <c r="R2395" s="12">
        <v>10</v>
      </c>
    </row>
    <row r="2396" spans="1:18" ht="17" customHeight="1" x14ac:dyDescent="0.15">
      <c r="A2396" s="8" t="s">
        <v>12791</v>
      </c>
      <c r="B2396" s="9" t="s">
        <v>12792</v>
      </c>
      <c r="C2396" s="8" t="s">
        <v>12793</v>
      </c>
      <c r="D2396" s="8" t="s">
        <v>12793</v>
      </c>
      <c r="E2396" s="8" t="s">
        <v>12794</v>
      </c>
      <c r="F2396" s="8" t="s">
        <v>12789</v>
      </c>
      <c r="G2396" s="8" t="s">
        <v>12674</v>
      </c>
      <c r="H2396" s="8" t="s">
        <v>12675</v>
      </c>
      <c r="I2396" s="8" t="str">
        <f>HYPERLINK("http://www.trevallimaglieria.com/","www.trevallimaglieria.com")</f>
        <v>www.trevallimaglieria.com</v>
      </c>
      <c r="J2396" s="10">
        <v>1476.5170000000001</v>
      </c>
      <c r="K2396" s="10">
        <v>1476.5170000000001</v>
      </c>
      <c r="L2396" s="10">
        <v>1724.9580000000001</v>
      </c>
      <c r="M2396" s="10">
        <v>5.843</v>
      </c>
      <c r="N2396" s="10">
        <v>5.843</v>
      </c>
      <c r="O2396" s="10">
        <v>13.286</v>
      </c>
      <c r="P2396" s="10">
        <v>10</v>
      </c>
      <c r="Q2396" s="10">
        <v>10</v>
      </c>
      <c r="R2396" s="10">
        <v>10</v>
      </c>
    </row>
    <row r="2397" spans="1:18" ht="17" customHeight="1" x14ac:dyDescent="0.15">
      <c r="A2397" s="11" t="s">
        <v>12795</v>
      </c>
      <c r="B2397" s="1" t="s">
        <v>12796</v>
      </c>
      <c r="C2397" s="11" t="s">
        <v>12797</v>
      </c>
      <c r="D2397" s="11" t="s">
        <v>12797</v>
      </c>
      <c r="E2397" s="11" t="s">
        <v>12798</v>
      </c>
      <c r="F2397" s="11" t="s">
        <v>12653</v>
      </c>
      <c r="G2397" s="11" t="s">
        <v>12799</v>
      </c>
      <c r="H2397" s="11" t="s">
        <v>12675</v>
      </c>
      <c r="I2397" s="11" t="str">
        <f>HYPERLINK("http://www.valdi.it/","www.valdi.it")</f>
        <v>www.valdi.it</v>
      </c>
      <c r="J2397" s="12">
        <v>1708.0840000000001</v>
      </c>
      <c r="K2397" s="12">
        <v>1708.0840000000001</v>
      </c>
      <c r="L2397" s="13">
        <v>1724.8119999999999</v>
      </c>
      <c r="M2397" s="12">
        <v>36.167000000000002</v>
      </c>
      <c r="N2397" s="12">
        <v>36.167000000000002</v>
      </c>
      <c r="O2397" s="12">
        <v>44.503</v>
      </c>
      <c r="P2397" s="12">
        <v>4</v>
      </c>
      <c r="Q2397" s="12">
        <v>4</v>
      </c>
      <c r="R2397" s="12">
        <v>4</v>
      </c>
    </row>
    <row r="2398" spans="1:18" ht="17" customHeight="1" x14ac:dyDescent="0.15">
      <c r="A2398" s="8" t="s">
        <v>12800</v>
      </c>
      <c r="B2398" s="9" t="s">
        <v>12801</v>
      </c>
      <c r="C2398" s="8" t="s">
        <v>12802</v>
      </c>
      <c r="D2398" s="8" t="s">
        <v>12802</v>
      </c>
      <c r="E2398" s="8" t="s">
        <v>12803</v>
      </c>
      <c r="F2398" s="8" t="s">
        <v>12638</v>
      </c>
      <c r="G2398" s="8" t="s">
        <v>12760</v>
      </c>
      <c r="H2398" s="8" t="s">
        <v>12675</v>
      </c>
      <c r="I2398" s="8" t="str">
        <f>HYPERLINK("http://www.bellafonte.com/","www.bellafonte.com")</f>
        <v>www.bellafonte.com</v>
      </c>
      <c r="J2398" s="10">
        <v>2091.5189999999998</v>
      </c>
      <c r="K2398" s="10">
        <v>1733.5650000000001</v>
      </c>
      <c r="L2398" s="10">
        <v>1723.778</v>
      </c>
      <c r="M2398" s="10">
        <v>29.277999999999999</v>
      </c>
      <c r="N2398" s="10">
        <v>20.463000000000001</v>
      </c>
      <c r="O2398" s="10">
        <v>38.25</v>
      </c>
      <c r="P2398" s="10">
        <v>11</v>
      </c>
      <c r="Q2398" s="10">
        <v>11</v>
      </c>
      <c r="R2398" s="10">
        <v>11</v>
      </c>
    </row>
    <row r="2399" spans="1:18" ht="17" customHeight="1" x14ac:dyDescent="0.15">
      <c r="A2399" s="11" t="s">
        <v>12804</v>
      </c>
      <c r="B2399" s="1" t="s">
        <v>12805</v>
      </c>
      <c r="C2399" s="11" t="s">
        <v>12806</v>
      </c>
      <c r="D2399" s="11" t="s">
        <v>12806</v>
      </c>
      <c r="E2399" s="11" t="s">
        <v>12807</v>
      </c>
      <c r="F2399" s="11" t="s">
        <v>12646</v>
      </c>
      <c r="G2399" s="11" t="s">
        <v>12647</v>
      </c>
      <c r="H2399" s="11" t="s">
        <v>12648</v>
      </c>
      <c r="I2399" s="11" t="str">
        <f>HYPERLINK("http://www.2tsport.it/","www.2tsport.it")</f>
        <v>www.2tsport.it</v>
      </c>
      <c r="J2399" s="12">
        <v>1702.53</v>
      </c>
      <c r="K2399" s="12">
        <v>1702.53</v>
      </c>
      <c r="L2399" s="13">
        <v>1722.5640000000001</v>
      </c>
      <c r="M2399" s="12">
        <v>59.238999999999997</v>
      </c>
      <c r="N2399" s="12">
        <v>59.238999999999997</v>
      </c>
      <c r="O2399" s="12">
        <v>30.66</v>
      </c>
      <c r="P2399" s="12">
        <v>15</v>
      </c>
      <c r="Q2399" s="12">
        <v>15</v>
      </c>
      <c r="R2399" s="12">
        <v>12</v>
      </c>
    </row>
    <row r="2400" spans="1:18" ht="17" customHeight="1" x14ac:dyDescent="0.15">
      <c r="A2400" s="8" t="s">
        <v>12808</v>
      </c>
      <c r="B2400" s="9" t="s">
        <v>12809</v>
      </c>
      <c r="C2400" s="8" t="s">
        <v>12810</v>
      </c>
      <c r="D2400" s="8" t="s">
        <v>12810</v>
      </c>
      <c r="E2400" s="8" t="s">
        <v>12811</v>
      </c>
      <c r="F2400" s="8" t="s">
        <v>12703</v>
      </c>
      <c r="G2400" s="8" t="s">
        <v>12660</v>
      </c>
      <c r="H2400" s="8" t="s">
        <v>12640</v>
      </c>
      <c r="I2400" s="8" t="str">
        <f>HYPERLINK("http://edershoes.it/","edershoes.it")</f>
        <v>edershoes.it</v>
      </c>
      <c r="J2400" s="10">
        <v>2045.1489999999999</v>
      </c>
      <c r="K2400" s="10">
        <v>2045.1489999999999</v>
      </c>
      <c r="L2400" s="10">
        <v>1722.288</v>
      </c>
      <c r="M2400" s="10">
        <v>5.1239999999999997</v>
      </c>
      <c r="N2400" s="10">
        <v>5.1239999999999997</v>
      </c>
      <c r="O2400" s="10">
        <v>22.300999999999998</v>
      </c>
      <c r="P2400" s="15" t="s">
        <v>12641</v>
      </c>
      <c r="Q2400" s="15" t="s">
        <v>12641</v>
      </c>
      <c r="R2400" s="10">
        <v>19</v>
      </c>
    </row>
    <row r="2401" spans="1:18" ht="17" customHeight="1" x14ac:dyDescent="0.15">
      <c r="A2401" s="11" t="s">
        <v>12812</v>
      </c>
      <c r="B2401" s="1" t="s">
        <v>12813</v>
      </c>
      <c r="C2401" s="11" t="s">
        <v>12814</v>
      </c>
      <c r="D2401" s="11" t="s">
        <v>12814</v>
      </c>
      <c r="E2401" s="11" t="s">
        <v>12815</v>
      </c>
      <c r="F2401" s="11" t="s">
        <v>12816</v>
      </c>
      <c r="G2401" s="11" t="s">
        <v>12817</v>
      </c>
      <c r="H2401" s="11" t="s">
        <v>12818</v>
      </c>
      <c r="I2401" s="11" t="str">
        <f>HYPERLINK("http://www.donnedasogno.it/","http://www.donnedasogno.it")</f>
        <v>http://www.donnedasogno.it</v>
      </c>
      <c r="J2401" s="12">
        <v>2093.5230000000001</v>
      </c>
      <c r="K2401" s="12">
        <v>2093.5230000000001</v>
      </c>
      <c r="L2401" s="13">
        <v>1719.348</v>
      </c>
      <c r="M2401" s="12">
        <v>11.708</v>
      </c>
      <c r="N2401" s="12">
        <v>11.708</v>
      </c>
      <c r="O2401" s="12">
        <v>2.3860000000000001</v>
      </c>
      <c r="P2401" s="12">
        <v>6</v>
      </c>
      <c r="Q2401" s="12">
        <v>6</v>
      </c>
      <c r="R2401" s="12">
        <v>7</v>
      </c>
    </row>
    <row r="2402" spans="1:18" ht="17" customHeight="1" x14ac:dyDescent="0.15">
      <c r="A2402" s="8" t="s">
        <v>12819</v>
      </c>
      <c r="B2402" s="9" t="s">
        <v>12820</v>
      </c>
      <c r="C2402" s="8" t="s">
        <v>12821</v>
      </c>
      <c r="D2402" s="8" t="s">
        <v>12821</v>
      </c>
      <c r="E2402" s="8" t="s">
        <v>12822</v>
      </c>
      <c r="F2402" s="8" t="s">
        <v>12823</v>
      </c>
      <c r="G2402" s="8" t="s">
        <v>12824</v>
      </c>
      <c r="H2402" s="8" t="s">
        <v>12825</v>
      </c>
      <c r="I2402" s="8" t="str">
        <f>HYPERLINK("http://www.iopelleitalia.com/","www.iopelleitalia.com")</f>
        <v>www.iopelleitalia.com</v>
      </c>
      <c r="J2402" s="10">
        <v>456.61099999999999</v>
      </c>
      <c r="K2402" s="10">
        <v>456.61099999999999</v>
      </c>
      <c r="L2402" s="10">
        <v>1711.856</v>
      </c>
      <c r="M2402" s="10">
        <v>10.263999999999999</v>
      </c>
      <c r="N2402" s="10">
        <v>10.263999999999999</v>
      </c>
      <c r="O2402" s="10">
        <v>120.56399999999999</v>
      </c>
      <c r="P2402" s="15" t="s">
        <v>12826</v>
      </c>
      <c r="Q2402" s="15" t="s">
        <v>12826</v>
      </c>
      <c r="R2402" s="10">
        <v>15</v>
      </c>
    </row>
    <row r="2403" spans="1:18" ht="17" customHeight="1" x14ac:dyDescent="0.15">
      <c r="A2403" s="11" t="s">
        <v>12827</v>
      </c>
      <c r="B2403" s="1" t="s">
        <v>12828</v>
      </c>
      <c r="C2403" s="11" t="s">
        <v>12829</v>
      </c>
      <c r="D2403" s="11" t="s">
        <v>12830</v>
      </c>
      <c r="E2403" s="11" t="s">
        <v>12831</v>
      </c>
      <c r="F2403" s="11" t="s">
        <v>12832</v>
      </c>
      <c r="G2403" s="11" t="s">
        <v>12824</v>
      </c>
      <c r="H2403" s="11" t="s">
        <v>12825</v>
      </c>
      <c r="I2403" s="11" t="str">
        <f>HYPERLINK("http://www.lcasrl.it/","www.lcasrl.it")</f>
        <v>www.lcasrl.it</v>
      </c>
      <c r="J2403" s="12">
        <v>1660.2439999999999</v>
      </c>
      <c r="K2403" s="12">
        <v>1660.2439999999999</v>
      </c>
      <c r="L2403" s="13">
        <v>1710.576</v>
      </c>
      <c r="M2403" s="12">
        <v>5.0549999999999997</v>
      </c>
      <c r="N2403" s="12">
        <v>5.0549999999999997</v>
      </c>
      <c r="O2403" s="12">
        <v>0.378</v>
      </c>
      <c r="P2403" s="12">
        <v>10</v>
      </c>
      <c r="Q2403" s="12">
        <v>10</v>
      </c>
      <c r="R2403" s="12">
        <v>11</v>
      </c>
    </row>
    <row r="2404" spans="1:18" ht="17" customHeight="1" x14ac:dyDescent="0.15">
      <c r="A2404" s="8" t="s">
        <v>12833</v>
      </c>
      <c r="B2404" s="9" t="s">
        <v>12834</v>
      </c>
      <c r="C2404" s="8" t="s">
        <v>12835</v>
      </c>
      <c r="D2404" s="8" t="s">
        <v>12835</v>
      </c>
      <c r="E2404" s="8" t="s">
        <v>12836</v>
      </c>
      <c r="F2404" s="8" t="s">
        <v>12837</v>
      </c>
      <c r="G2404" s="8" t="s">
        <v>12838</v>
      </c>
      <c r="H2404" s="8" t="s">
        <v>12839</v>
      </c>
      <c r="I2404" s="8" t="str">
        <f>HYPERLINK("http://www.faconitaliana.it/","www.faconitaliana.it")</f>
        <v>www.faconitaliana.it</v>
      </c>
      <c r="J2404" s="10">
        <v>1709.6790000000001</v>
      </c>
      <c r="K2404" s="15" t="s">
        <v>12826</v>
      </c>
      <c r="L2404" s="10">
        <v>1709.6790000000001</v>
      </c>
      <c r="M2404" s="10">
        <v>198.999</v>
      </c>
      <c r="N2404" s="15" t="s">
        <v>12826</v>
      </c>
      <c r="O2404" s="10">
        <v>198.999</v>
      </c>
      <c r="P2404" s="10">
        <v>3</v>
      </c>
      <c r="Q2404" s="15" t="s">
        <v>12826</v>
      </c>
      <c r="R2404" s="10">
        <v>3</v>
      </c>
    </row>
    <row r="2405" spans="1:18" ht="17" customHeight="1" x14ac:dyDescent="0.15">
      <c r="A2405" s="11" t="s">
        <v>12840</v>
      </c>
      <c r="B2405" s="1" t="s">
        <v>12841</v>
      </c>
      <c r="C2405" s="11" t="s">
        <v>12842</v>
      </c>
      <c r="D2405" s="11" t="s">
        <v>12842</v>
      </c>
      <c r="E2405" s="11" t="s">
        <v>12843</v>
      </c>
      <c r="F2405" s="11" t="s">
        <v>12844</v>
      </c>
      <c r="G2405" s="11" t="s">
        <v>12845</v>
      </c>
      <c r="H2405" s="11" t="s">
        <v>12846</v>
      </c>
      <c r="I2405" s="11" t="str">
        <f>HYPERLINK("http://www.newstepsrl.it/","www.newstepsrl.it")</f>
        <v>www.newstepsrl.it</v>
      </c>
      <c r="J2405" s="12">
        <v>1042.633</v>
      </c>
      <c r="K2405" s="12">
        <v>1042.633</v>
      </c>
      <c r="L2405" s="13">
        <v>1709.5229999999999</v>
      </c>
      <c r="M2405" s="12">
        <v>-45.75</v>
      </c>
      <c r="N2405" s="12">
        <v>-45.75</v>
      </c>
      <c r="O2405" s="12">
        <v>128.29400000000001</v>
      </c>
      <c r="P2405" s="12">
        <v>11</v>
      </c>
      <c r="Q2405" s="12">
        <v>11</v>
      </c>
      <c r="R2405" s="12">
        <v>12</v>
      </c>
    </row>
    <row r="2406" spans="1:18" ht="17" customHeight="1" x14ac:dyDescent="0.15">
      <c r="A2406" s="8" t="s">
        <v>12847</v>
      </c>
      <c r="B2406" s="9" t="s">
        <v>12848</v>
      </c>
      <c r="C2406" s="8" t="s">
        <v>12849</v>
      </c>
      <c r="D2406" s="8" t="s">
        <v>12849</v>
      </c>
      <c r="E2406" s="8" t="s">
        <v>12850</v>
      </c>
      <c r="F2406" s="8" t="s">
        <v>12851</v>
      </c>
      <c r="G2406" s="8" t="s">
        <v>12824</v>
      </c>
      <c r="H2406" s="8" t="s">
        <v>12825</v>
      </c>
      <c r="I2406" s="8" t="str">
        <f>HYPERLINK("http://www.borriellonapoli.com/","www.borriellonapoli.com")</f>
        <v>www.borriellonapoli.com</v>
      </c>
      <c r="J2406" s="10">
        <v>1787.8309999999999</v>
      </c>
      <c r="K2406" s="10">
        <v>1787.8309999999999</v>
      </c>
      <c r="L2406" s="10">
        <v>1709.434</v>
      </c>
      <c r="M2406" s="10">
        <v>173.52</v>
      </c>
      <c r="N2406" s="10">
        <v>173.52</v>
      </c>
      <c r="O2406" s="10">
        <v>135.88999999999999</v>
      </c>
      <c r="P2406" s="15" t="s">
        <v>12826</v>
      </c>
      <c r="Q2406" s="15" t="s">
        <v>12826</v>
      </c>
      <c r="R2406" s="10">
        <v>22</v>
      </c>
    </row>
    <row r="2407" spans="1:18" ht="29.5" customHeight="1" x14ac:dyDescent="0.15">
      <c r="A2407" s="11" t="s">
        <v>12852</v>
      </c>
      <c r="B2407" s="1" t="s">
        <v>12853</v>
      </c>
      <c r="C2407" s="11" t="s">
        <v>12854</v>
      </c>
      <c r="D2407" s="11" t="s">
        <v>12854</v>
      </c>
      <c r="E2407" s="11" t="s">
        <v>12855</v>
      </c>
      <c r="F2407" s="11" t="s">
        <v>12837</v>
      </c>
      <c r="G2407" s="11" t="s">
        <v>12856</v>
      </c>
      <c r="H2407" s="11" t="s">
        <v>12857</v>
      </c>
      <c r="I2407" s="11" t="str">
        <f>HYPERLINK("http://spallineperconfezioni.com/","spallineperconfezioni.com")</f>
        <v>spallineperconfezioni.com</v>
      </c>
      <c r="J2407" s="12">
        <v>1998.3589999999999</v>
      </c>
      <c r="K2407" s="12">
        <v>1998.3589999999999</v>
      </c>
      <c r="L2407" s="13">
        <v>1708.539</v>
      </c>
      <c r="M2407" s="12">
        <v>32.942999999999998</v>
      </c>
      <c r="N2407" s="12">
        <v>32.942999999999998</v>
      </c>
      <c r="O2407" s="12">
        <v>2.3180000000000001</v>
      </c>
      <c r="P2407" s="12">
        <v>14</v>
      </c>
      <c r="Q2407" s="12">
        <v>14</v>
      </c>
      <c r="R2407" s="12">
        <v>11</v>
      </c>
    </row>
    <row r="2408" spans="1:18" ht="68" customHeight="1" x14ac:dyDescent="0.15">
      <c r="A2408" s="8" t="s">
        <v>12858</v>
      </c>
      <c r="B2408" s="9" t="s">
        <v>12859</v>
      </c>
      <c r="C2408" s="8" t="s">
        <v>12860</v>
      </c>
      <c r="D2408" s="8" t="s">
        <v>12860</v>
      </c>
      <c r="E2408" s="8" t="s">
        <v>12861</v>
      </c>
      <c r="F2408" s="8" t="s">
        <v>12862</v>
      </c>
      <c r="G2408" s="8" t="s">
        <v>12863</v>
      </c>
      <c r="H2408" s="8" t="s">
        <v>12864</v>
      </c>
      <c r="I2408" s="8" t="str">
        <f>HYPERLINK("http://www.guardolificiolucchese.com/","www.guardolificiolucchese.com")</f>
        <v>www.guardolificiolucchese.com</v>
      </c>
      <c r="J2408" s="10">
        <v>1656.2470000000001</v>
      </c>
      <c r="K2408" s="10">
        <v>1656.2470000000001</v>
      </c>
      <c r="L2408" s="10">
        <v>1705.521</v>
      </c>
      <c r="M2408" s="10">
        <v>20.826000000000001</v>
      </c>
      <c r="N2408" s="10">
        <v>20.826000000000001</v>
      </c>
      <c r="O2408" s="10">
        <v>14.829000000000001</v>
      </c>
      <c r="P2408" s="10">
        <v>31</v>
      </c>
      <c r="Q2408" s="10">
        <v>31</v>
      </c>
      <c r="R2408" s="10">
        <v>31</v>
      </c>
    </row>
    <row r="2409" spans="1:18" ht="17" customHeight="1" x14ac:dyDescent="0.15">
      <c r="A2409" s="11" t="s">
        <v>12865</v>
      </c>
      <c r="B2409" s="1" t="s">
        <v>12866</v>
      </c>
      <c r="C2409" s="11" t="s">
        <v>12867</v>
      </c>
      <c r="D2409" s="11" t="s">
        <v>12867</v>
      </c>
      <c r="E2409" s="11" t="s">
        <v>12868</v>
      </c>
      <c r="F2409" s="11" t="s">
        <v>12869</v>
      </c>
      <c r="G2409" s="11" t="s">
        <v>12870</v>
      </c>
      <c r="H2409" s="11" t="s">
        <v>12864</v>
      </c>
      <c r="I2409" s="11" t="str">
        <f>HYPERLINK("http://www.beby.it/","www.beby.it")</f>
        <v>www.beby.it</v>
      </c>
      <c r="J2409" s="12">
        <v>2226.8429999999998</v>
      </c>
      <c r="K2409" s="12">
        <v>2226.8429999999998</v>
      </c>
      <c r="L2409" s="13">
        <v>1701.585</v>
      </c>
      <c r="M2409" s="12">
        <v>10.593999999999999</v>
      </c>
      <c r="N2409" s="12">
        <v>10.593999999999999</v>
      </c>
      <c r="O2409" s="12">
        <v>11.298999999999999</v>
      </c>
      <c r="P2409" s="12">
        <v>30</v>
      </c>
      <c r="Q2409" s="12">
        <v>30</v>
      </c>
      <c r="R2409" s="12">
        <v>25</v>
      </c>
    </row>
    <row r="2410" spans="1:18" ht="17" customHeight="1" x14ac:dyDescent="0.15">
      <c r="A2410" s="8" t="s">
        <v>12871</v>
      </c>
      <c r="B2410" s="9" t="s">
        <v>12872</v>
      </c>
      <c r="C2410" s="8" t="s">
        <v>12873</v>
      </c>
      <c r="D2410" s="8" t="s">
        <v>12873</v>
      </c>
      <c r="E2410" s="8" t="s">
        <v>12874</v>
      </c>
      <c r="F2410" s="8" t="s">
        <v>12875</v>
      </c>
      <c r="G2410" s="8" t="s">
        <v>12876</v>
      </c>
      <c r="H2410" s="8" t="s">
        <v>12877</v>
      </c>
      <c r="I2410" s="8" t="str">
        <f>HYPERLINK("http://www.taglieriafast.com/","www.taglieriafast.com")</f>
        <v>www.taglieriafast.com</v>
      </c>
      <c r="J2410" s="10">
        <v>1947.36</v>
      </c>
      <c r="K2410" s="10">
        <v>1947.36</v>
      </c>
      <c r="L2410" s="10">
        <v>1690.41</v>
      </c>
      <c r="M2410" s="10">
        <v>93.683999999999997</v>
      </c>
      <c r="N2410" s="10">
        <v>93.683999999999997</v>
      </c>
      <c r="O2410" s="10">
        <v>118.038</v>
      </c>
      <c r="P2410" s="10">
        <v>20</v>
      </c>
      <c r="Q2410" s="10">
        <v>20</v>
      </c>
      <c r="R2410" s="10">
        <v>20</v>
      </c>
    </row>
    <row r="2411" spans="1:18" ht="17" customHeight="1" x14ac:dyDescent="0.15">
      <c r="A2411" s="11" t="s">
        <v>12878</v>
      </c>
      <c r="B2411" s="1" t="s">
        <v>12879</v>
      </c>
      <c r="C2411" s="11" t="s">
        <v>12880</v>
      </c>
      <c r="D2411" s="11" t="s">
        <v>12881</v>
      </c>
      <c r="E2411" s="11" t="s">
        <v>12882</v>
      </c>
      <c r="F2411" s="11" t="s">
        <v>12862</v>
      </c>
      <c r="G2411" s="11" t="s">
        <v>12883</v>
      </c>
      <c r="H2411" s="11" t="s">
        <v>12864</v>
      </c>
      <c r="I2411" s="11" t="str">
        <f>HYPERLINK("http://www.tacchificiogiorgio.it/","www.tacchificiogiorgio.it")</f>
        <v>www.tacchificiogiorgio.it</v>
      </c>
      <c r="J2411" s="12">
        <v>1875.2819999999999</v>
      </c>
      <c r="K2411" s="12">
        <v>1875.2819999999999</v>
      </c>
      <c r="L2411" s="13">
        <v>1689.354</v>
      </c>
      <c r="M2411" s="12">
        <v>138.74100000000001</v>
      </c>
      <c r="N2411" s="12">
        <v>138.74100000000001</v>
      </c>
      <c r="O2411" s="12">
        <v>133.38499999999999</v>
      </c>
      <c r="P2411" s="12">
        <v>7</v>
      </c>
      <c r="Q2411" s="12">
        <v>7</v>
      </c>
      <c r="R2411" s="12">
        <v>7</v>
      </c>
    </row>
    <row r="2412" spans="1:18" ht="17" customHeight="1" x14ac:dyDescent="0.15">
      <c r="A2412" s="8" t="s">
        <v>12884</v>
      </c>
      <c r="B2412" s="9" t="s">
        <v>12885</v>
      </c>
      <c r="C2412" s="8" t="s">
        <v>12886</v>
      </c>
      <c r="D2412" s="8" t="s">
        <v>12886</v>
      </c>
      <c r="E2412" s="8" t="s">
        <v>12887</v>
      </c>
      <c r="F2412" s="8" t="s">
        <v>12844</v>
      </c>
      <c r="G2412" s="8" t="s">
        <v>12888</v>
      </c>
      <c r="H2412" s="8" t="s">
        <v>12846</v>
      </c>
      <c r="I2412" s="8" t="str">
        <f>HYPERLINK("http://www.lilimill.com/","www.lilimill.com")</f>
        <v>www.lilimill.com</v>
      </c>
      <c r="J2412" s="10">
        <v>138.928</v>
      </c>
      <c r="K2412" s="10">
        <v>138.928</v>
      </c>
      <c r="L2412" s="10">
        <v>1688.5319999999999</v>
      </c>
      <c r="M2412" s="10">
        <v>-260.43400000000003</v>
      </c>
      <c r="N2412" s="10">
        <v>-260.43400000000003</v>
      </c>
      <c r="O2412" s="10">
        <v>-65.906000000000006</v>
      </c>
      <c r="P2412" s="15" t="s">
        <v>12826</v>
      </c>
      <c r="Q2412" s="15" t="s">
        <v>12826</v>
      </c>
      <c r="R2412" s="10">
        <v>20</v>
      </c>
    </row>
    <row r="2413" spans="1:18" ht="17" customHeight="1" x14ac:dyDescent="0.15">
      <c r="A2413" s="11" t="s">
        <v>12889</v>
      </c>
      <c r="B2413" s="1" t="s">
        <v>12890</v>
      </c>
      <c r="C2413" s="11" t="s">
        <v>12891</v>
      </c>
      <c r="D2413" s="11" t="s">
        <v>12891</v>
      </c>
      <c r="E2413" s="11" t="s">
        <v>12892</v>
      </c>
      <c r="F2413" s="11" t="s">
        <v>12893</v>
      </c>
      <c r="G2413" s="11" t="s">
        <v>12894</v>
      </c>
      <c r="H2413" s="11" t="s">
        <v>12877</v>
      </c>
      <c r="I2413" s="11" t="str">
        <f>HYPERLINK("http://www.bioneuma.com/","www.bioneuma.com")</f>
        <v>www.bioneuma.com</v>
      </c>
      <c r="J2413" s="12">
        <v>1795.828</v>
      </c>
      <c r="K2413" s="12">
        <v>1795.828</v>
      </c>
      <c r="L2413" s="13">
        <v>1687.8030000000001</v>
      </c>
      <c r="M2413" s="12">
        <v>53.045000000000002</v>
      </c>
      <c r="N2413" s="12">
        <v>53.045000000000002</v>
      </c>
      <c r="O2413" s="12">
        <v>44.963999999999999</v>
      </c>
      <c r="P2413" s="12">
        <v>6</v>
      </c>
      <c r="Q2413" s="12">
        <v>6</v>
      </c>
      <c r="R2413" s="12">
        <v>4</v>
      </c>
    </row>
    <row r="2414" spans="1:18" ht="17" customHeight="1" x14ac:dyDescent="0.15">
      <c r="A2414" s="8" t="s">
        <v>12895</v>
      </c>
      <c r="B2414" s="9" t="s">
        <v>12896</v>
      </c>
      <c r="C2414" s="8" t="s">
        <v>12897</v>
      </c>
      <c r="D2414" s="8" t="s">
        <v>12897</v>
      </c>
      <c r="E2414" s="8" t="s">
        <v>12898</v>
      </c>
      <c r="F2414" s="8" t="s">
        <v>12816</v>
      </c>
      <c r="G2414" s="8" t="s">
        <v>12899</v>
      </c>
      <c r="H2414" s="8" t="s">
        <v>12900</v>
      </c>
      <c r="I2414" s="8" t="str">
        <f>HYPERLINK("http://www.insidersrl.it/","www.insidersrl.it")</f>
        <v>www.insidersrl.it</v>
      </c>
      <c r="J2414" s="10">
        <v>2339.643</v>
      </c>
      <c r="K2414" s="10">
        <v>2339.643</v>
      </c>
      <c r="L2414" s="10">
        <v>1680.12</v>
      </c>
      <c r="M2414" s="10">
        <v>288.89100000000002</v>
      </c>
      <c r="N2414" s="10">
        <v>288.89100000000002</v>
      </c>
      <c r="O2414" s="10">
        <v>108.562</v>
      </c>
      <c r="P2414" s="15" t="s">
        <v>12826</v>
      </c>
      <c r="Q2414" s="15" t="s">
        <v>12826</v>
      </c>
      <c r="R2414" s="10">
        <v>3</v>
      </c>
    </row>
    <row r="2415" spans="1:18" ht="17" customHeight="1" x14ac:dyDescent="0.15">
      <c r="A2415" s="11" t="s">
        <v>12901</v>
      </c>
      <c r="B2415" s="1" t="s">
        <v>12902</v>
      </c>
      <c r="C2415" s="11" t="s">
        <v>12903</v>
      </c>
      <c r="D2415" s="11" t="s">
        <v>12903</v>
      </c>
      <c r="E2415" s="11" t="s">
        <v>12904</v>
      </c>
      <c r="F2415" s="11" t="s">
        <v>12823</v>
      </c>
      <c r="G2415" s="11" t="s">
        <v>12905</v>
      </c>
      <c r="H2415" s="11" t="s">
        <v>12877</v>
      </c>
      <c r="I2415" s="11" t="str">
        <f>HYPERLINK("http://www.martinicabelts.it/","www.martinicabelts.it")</f>
        <v>www.martinicabelts.it</v>
      </c>
      <c r="J2415" s="12">
        <v>1601.7629999999999</v>
      </c>
      <c r="K2415" s="12">
        <v>1601.7629999999999</v>
      </c>
      <c r="L2415" s="13">
        <v>1679.0419999999999</v>
      </c>
      <c r="M2415" s="12">
        <v>143.429</v>
      </c>
      <c r="N2415" s="12">
        <v>143.429</v>
      </c>
      <c r="O2415" s="12">
        <v>101.95399999999999</v>
      </c>
      <c r="P2415" s="12">
        <v>10</v>
      </c>
      <c r="Q2415" s="12">
        <v>10</v>
      </c>
      <c r="R2415" s="12">
        <v>10</v>
      </c>
    </row>
    <row r="2416" spans="1:18" ht="17" customHeight="1" x14ac:dyDescent="0.15">
      <c r="A2416" s="8" t="s">
        <v>12906</v>
      </c>
      <c r="B2416" s="9" t="s">
        <v>12907</v>
      </c>
      <c r="C2416" s="8" t="s">
        <v>12908</v>
      </c>
      <c r="D2416" s="8" t="s">
        <v>12909</v>
      </c>
      <c r="E2416" s="8" t="s">
        <v>12910</v>
      </c>
      <c r="F2416" s="8" t="s">
        <v>12911</v>
      </c>
      <c r="G2416" s="8" t="s">
        <v>12824</v>
      </c>
      <c r="H2416" s="8" t="s">
        <v>12825</v>
      </c>
      <c r="I2416" s="8" t="str">
        <f>HYPERLINK("http://tacchificiopalma.it/","tacchificiopalma.it")</f>
        <v>tacchificiopalma.it</v>
      </c>
      <c r="J2416" s="10">
        <v>1670.0740000000001</v>
      </c>
      <c r="K2416" s="10">
        <v>1670.0740000000001</v>
      </c>
      <c r="L2416" s="10">
        <v>1676.3330000000001</v>
      </c>
      <c r="M2416" s="10">
        <v>184.815</v>
      </c>
      <c r="N2416" s="10">
        <v>184.815</v>
      </c>
      <c r="O2416" s="10">
        <v>90.858000000000004</v>
      </c>
      <c r="P2416" s="10">
        <v>8</v>
      </c>
      <c r="Q2416" s="10">
        <v>8</v>
      </c>
      <c r="R2416" s="10">
        <v>7</v>
      </c>
    </row>
    <row r="2417" spans="1:18" ht="17" customHeight="1" x14ac:dyDescent="0.15">
      <c r="A2417" s="11" t="s">
        <v>12912</v>
      </c>
      <c r="B2417" s="1" t="s">
        <v>12913</v>
      </c>
      <c r="C2417" s="11" t="s">
        <v>12914</v>
      </c>
      <c r="D2417" s="11" t="s">
        <v>12914</v>
      </c>
      <c r="E2417" s="11" t="s">
        <v>12915</v>
      </c>
      <c r="F2417" s="11" t="s">
        <v>12816</v>
      </c>
      <c r="G2417" s="11" t="s">
        <v>12916</v>
      </c>
      <c r="H2417" s="11" t="s">
        <v>12846</v>
      </c>
      <c r="I2417" s="11" t="str">
        <f>HYPERLINK("http://www.confezionieuropa.it/","www.confezionieuropa.it")</f>
        <v>www.confezionieuropa.it</v>
      </c>
      <c r="J2417" s="12">
        <v>1748.3209999999999</v>
      </c>
      <c r="K2417" s="12">
        <v>1748.3209999999999</v>
      </c>
      <c r="L2417" s="13">
        <v>1674.51</v>
      </c>
      <c r="M2417" s="12">
        <v>35.380000000000003</v>
      </c>
      <c r="N2417" s="12">
        <v>35.380000000000003</v>
      </c>
      <c r="O2417" s="12">
        <v>-50.512</v>
      </c>
      <c r="P2417" s="12">
        <v>45</v>
      </c>
      <c r="Q2417" s="12">
        <v>45</v>
      </c>
      <c r="R2417" s="12">
        <v>47</v>
      </c>
    </row>
    <row r="2418" spans="1:18" ht="29.5" customHeight="1" x14ac:dyDescent="0.15">
      <c r="A2418" s="8" t="s">
        <v>12917</v>
      </c>
      <c r="B2418" s="9" t="s">
        <v>12918</v>
      </c>
      <c r="C2418" s="8" t="s">
        <v>12919</v>
      </c>
      <c r="D2418" s="8" t="s">
        <v>12919</v>
      </c>
      <c r="E2418" s="8" t="s">
        <v>12920</v>
      </c>
      <c r="F2418" s="8" t="s">
        <v>12921</v>
      </c>
      <c r="G2418" s="8" t="s">
        <v>12922</v>
      </c>
      <c r="H2418" s="8" t="s">
        <v>12877</v>
      </c>
      <c r="I2418" s="8" t="str">
        <f>HYPERLINK("http://ancilotto.com/","ancilotto.com")</f>
        <v>ancilotto.com</v>
      </c>
      <c r="J2418" s="10">
        <v>1811.67</v>
      </c>
      <c r="K2418" s="10">
        <v>1811.67</v>
      </c>
      <c r="L2418" s="10">
        <v>1674.3979999999999</v>
      </c>
      <c r="M2418" s="10">
        <v>19.036999999999999</v>
      </c>
      <c r="N2418" s="10">
        <v>19.036999999999999</v>
      </c>
      <c r="O2418" s="10">
        <v>17.37</v>
      </c>
      <c r="P2418" s="10">
        <v>5</v>
      </c>
      <c r="Q2418" s="10">
        <v>5</v>
      </c>
      <c r="R2418" s="10">
        <v>4</v>
      </c>
    </row>
    <row r="2419" spans="1:18" ht="17" customHeight="1" x14ac:dyDescent="0.15">
      <c r="A2419" s="11" t="s">
        <v>12923</v>
      </c>
      <c r="B2419" s="1" t="s">
        <v>12924</v>
      </c>
      <c r="C2419" s="11" t="s">
        <v>12925</v>
      </c>
      <c r="D2419" s="11" t="s">
        <v>12925</v>
      </c>
      <c r="E2419" s="11" t="s">
        <v>12926</v>
      </c>
      <c r="F2419" s="11" t="s">
        <v>12823</v>
      </c>
      <c r="G2419" s="11" t="s">
        <v>12927</v>
      </c>
      <c r="H2419" s="11" t="s">
        <v>12928</v>
      </c>
      <c r="I2419" s="11" t="str">
        <f>HYPERLINK("http://reptileshouse.net/","reptileshouse.net")</f>
        <v>reptileshouse.net</v>
      </c>
      <c r="J2419" s="12">
        <v>1927.326</v>
      </c>
      <c r="K2419" s="12">
        <v>1927.326</v>
      </c>
      <c r="L2419" s="13">
        <v>1672.3989999999999</v>
      </c>
      <c r="M2419" s="12">
        <v>27.472000000000001</v>
      </c>
      <c r="N2419" s="12">
        <v>27.472000000000001</v>
      </c>
      <c r="O2419" s="12">
        <v>-1.552</v>
      </c>
      <c r="P2419" s="14" t="s">
        <v>12826</v>
      </c>
      <c r="Q2419" s="14" t="s">
        <v>12826</v>
      </c>
      <c r="R2419" s="12">
        <v>10</v>
      </c>
    </row>
    <row r="2420" spans="1:18" ht="17" customHeight="1" x14ac:dyDescent="0.15">
      <c r="A2420" s="8" t="s">
        <v>12929</v>
      </c>
      <c r="B2420" s="9" t="s">
        <v>12930</v>
      </c>
      <c r="C2420" s="8" t="s">
        <v>12931</v>
      </c>
      <c r="D2420" s="8" t="s">
        <v>12931</v>
      </c>
      <c r="E2420" s="8" t="s">
        <v>12932</v>
      </c>
      <c r="F2420" s="8" t="s">
        <v>12844</v>
      </c>
      <c r="G2420" s="8" t="s">
        <v>12933</v>
      </c>
      <c r="H2420" s="8" t="s">
        <v>12877</v>
      </c>
      <c r="I2420" s="8" t="str">
        <f>HYPERLINK("http://www.baccarogroup.com/","www.baccarogroup.com")</f>
        <v>www.baccarogroup.com</v>
      </c>
      <c r="J2420" s="10">
        <v>2129.81</v>
      </c>
      <c r="K2420" s="10">
        <v>2129.81</v>
      </c>
      <c r="L2420" s="10">
        <v>1671.473</v>
      </c>
      <c r="M2420" s="10">
        <v>17.622</v>
      </c>
      <c r="N2420" s="10">
        <v>17.622</v>
      </c>
      <c r="O2420" s="10">
        <v>13.481999999999999</v>
      </c>
      <c r="P2420" s="10">
        <v>9</v>
      </c>
      <c r="Q2420" s="10">
        <v>9</v>
      </c>
      <c r="R2420" s="10">
        <v>10</v>
      </c>
    </row>
    <row r="2421" spans="1:18" ht="29.5" customHeight="1" x14ac:dyDescent="0.15">
      <c r="A2421" s="11" t="s">
        <v>12934</v>
      </c>
      <c r="B2421" s="1" t="s">
        <v>12935</v>
      </c>
      <c r="C2421" s="11" t="s">
        <v>12936</v>
      </c>
      <c r="D2421" s="11" t="s">
        <v>12936</v>
      </c>
      <c r="E2421" s="11" t="s">
        <v>12937</v>
      </c>
      <c r="F2421" s="11" t="s">
        <v>12938</v>
      </c>
      <c r="G2421" s="11" t="s">
        <v>12939</v>
      </c>
      <c r="H2421" s="11" t="s">
        <v>12928</v>
      </c>
      <c r="I2421" s="11" t="str">
        <f>HYPERLINK("http://www.calzificiocdm.it/","www.calzificiocdm.it")</f>
        <v>www.calzificiocdm.it</v>
      </c>
      <c r="J2421" s="12">
        <v>1887.462</v>
      </c>
      <c r="K2421" s="12">
        <v>1887.462</v>
      </c>
      <c r="L2421" s="13">
        <v>1671.3240000000001</v>
      </c>
      <c r="M2421" s="12">
        <v>16.849</v>
      </c>
      <c r="N2421" s="12">
        <v>16.849</v>
      </c>
      <c r="O2421" s="12">
        <v>13.73</v>
      </c>
      <c r="P2421" s="12">
        <v>10</v>
      </c>
      <c r="Q2421" s="12">
        <v>10</v>
      </c>
      <c r="R2421" s="12">
        <v>7</v>
      </c>
    </row>
    <row r="2422" spans="1:18" ht="29.5" customHeight="1" x14ac:dyDescent="0.15">
      <c r="A2422" s="8" t="s">
        <v>12940</v>
      </c>
      <c r="B2422" s="9" t="s">
        <v>12941</v>
      </c>
      <c r="C2422" s="8" t="s">
        <v>12942</v>
      </c>
      <c r="D2422" s="8" t="s">
        <v>12942</v>
      </c>
      <c r="E2422" s="8" t="s">
        <v>12943</v>
      </c>
      <c r="F2422" s="8" t="s">
        <v>12944</v>
      </c>
      <c r="G2422" s="8" t="s">
        <v>12883</v>
      </c>
      <c r="H2422" s="8" t="s">
        <v>12864</v>
      </c>
      <c r="I2422" s="8" t="str">
        <f>HYPERLINK("http://virgilioconceriaartigiana.it/","virgilioconceriaartigiana.it")</f>
        <v>virgilioconceriaartigiana.it</v>
      </c>
      <c r="J2422" s="10">
        <v>1810.3019999999999</v>
      </c>
      <c r="K2422" s="10">
        <v>1810.3019999999999</v>
      </c>
      <c r="L2422" s="10">
        <v>1670.836</v>
      </c>
      <c r="M2422" s="10">
        <v>137.33600000000001</v>
      </c>
      <c r="N2422" s="10">
        <v>137.33600000000001</v>
      </c>
      <c r="O2422" s="10">
        <v>23.927</v>
      </c>
      <c r="P2422" s="10">
        <v>4</v>
      </c>
      <c r="Q2422" s="10">
        <v>4</v>
      </c>
      <c r="R2422" s="10">
        <v>4</v>
      </c>
    </row>
    <row r="2423" spans="1:18" ht="17" customHeight="1" x14ac:dyDescent="0.15">
      <c r="A2423" s="11" t="s">
        <v>12945</v>
      </c>
      <c r="B2423" s="1" t="s">
        <v>12946</v>
      </c>
      <c r="C2423" s="11" t="s">
        <v>12947</v>
      </c>
      <c r="D2423" s="11" t="s">
        <v>12947</v>
      </c>
      <c r="E2423" s="11" t="s">
        <v>12948</v>
      </c>
      <c r="F2423" s="11" t="s">
        <v>12816</v>
      </c>
      <c r="G2423" s="11" t="s">
        <v>12817</v>
      </c>
      <c r="H2423" s="11" t="s">
        <v>12818</v>
      </c>
      <c r="I2423" s="11" t="str">
        <f>HYPERLINK("http://www.mou.it/","www.mou.it")</f>
        <v>www.mou.it</v>
      </c>
      <c r="J2423" s="12">
        <v>1760.261</v>
      </c>
      <c r="K2423" s="12">
        <v>1760.261</v>
      </c>
      <c r="L2423" s="13">
        <v>1669.6130000000001</v>
      </c>
      <c r="M2423" s="12">
        <v>17.64</v>
      </c>
      <c r="N2423" s="12">
        <v>17.64</v>
      </c>
      <c r="O2423" s="12">
        <v>-0.85799999999999998</v>
      </c>
      <c r="P2423" s="12">
        <v>6</v>
      </c>
      <c r="Q2423" s="12">
        <v>6</v>
      </c>
      <c r="R2423" s="12">
        <v>6</v>
      </c>
    </row>
    <row r="2424" spans="1:18" ht="43" customHeight="1" x14ac:dyDescent="0.15">
      <c r="A2424" s="8" t="s">
        <v>12949</v>
      </c>
      <c r="B2424" s="9" t="s">
        <v>12950</v>
      </c>
      <c r="C2424" s="8" t="s">
        <v>12951</v>
      </c>
      <c r="D2424" s="8" t="s">
        <v>12951</v>
      </c>
      <c r="E2424" s="8" t="s">
        <v>12952</v>
      </c>
      <c r="F2424" s="8" t="s">
        <v>12823</v>
      </c>
      <c r="G2424" s="8" t="s">
        <v>12824</v>
      </c>
      <c r="H2424" s="8" t="s">
        <v>12825</v>
      </c>
      <c r="I2424" s="8" t="str">
        <f>HYPERLINK("http://www.8project.it/","www.8project.it")</f>
        <v>www.8project.it</v>
      </c>
      <c r="J2424" s="10">
        <v>2222.4749999999999</v>
      </c>
      <c r="K2424" s="10">
        <v>2104.2739999999999</v>
      </c>
      <c r="L2424" s="10">
        <v>1668.4259999999999</v>
      </c>
      <c r="M2424" s="10">
        <v>63.981000000000002</v>
      </c>
      <c r="N2424" s="10">
        <v>88.287999999999997</v>
      </c>
      <c r="O2424" s="10">
        <v>45.808999999999997</v>
      </c>
      <c r="P2424" s="15" t="s">
        <v>12826</v>
      </c>
      <c r="Q2424" s="15" t="s">
        <v>12826</v>
      </c>
      <c r="R2424" s="10">
        <v>12</v>
      </c>
    </row>
    <row r="2425" spans="1:18" ht="17" customHeight="1" x14ac:dyDescent="0.15">
      <c r="A2425" s="11" t="s">
        <v>12953</v>
      </c>
      <c r="B2425" s="1" t="s">
        <v>12954</v>
      </c>
      <c r="C2425" s="11" t="s">
        <v>12955</v>
      </c>
      <c r="D2425" s="11" t="s">
        <v>12955</v>
      </c>
      <c r="E2425" s="11" t="s">
        <v>12956</v>
      </c>
      <c r="F2425" s="11" t="s">
        <v>12837</v>
      </c>
      <c r="G2425" s="11" t="s">
        <v>12905</v>
      </c>
      <c r="H2425" s="11" t="s">
        <v>12877</v>
      </c>
      <c r="I2425" s="11" t="str">
        <f>HYPERLINK("http://www.cabanromantic.it/","www.cabanromantic.it")</f>
        <v>www.cabanromantic.it</v>
      </c>
      <c r="J2425" s="12">
        <v>1358.6949999999999</v>
      </c>
      <c r="K2425" s="12">
        <v>1358.6949999999999</v>
      </c>
      <c r="L2425" s="13">
        <v>1664.14</v>
      </c>
      <c r="M2425" s="12">
        <v>-9.4280000000000008</v>
      </c>
      <c r="N2425" s="12">
        <v>-9.4280000000000008</v>
      </c>
      <c r="O2425" s="12">
        <v>62.77</v>
      </c>
      <c r="P2425" s="12">
        <v>6</v>
      </c>
      <c r="Q2425" s="12">
        <v>6</v>
      </c>
      <c r="R2425" s="12">
        <v>6</v>
      </c>
    </row>
    <row r="2426" spans="1:18" ht="17" customHeight="1" x14ac:dyDescent="0.15">
      <c r="A2426" s="8" t="s">
        <v>12957</v>
      </c>
      <c r="B2426" s="9" t="s">
        <v>12958</v>
      </c>
      <c r="C2426" s="8" t="s">
        <v>12959</v>
      </c>
      <c r="D2426" s="8" t="s">
        <v>12959</v>
      </c>
      <c r="E2426" s="8" t="s">
        <v>12960</v>
      </c>
      <c r="F2426" s="8" t="s">
        <v>12875</v>
      </c>
      <c r="G2426" s="8" t="s">
        <v>12961</v>
      </c>
      <c r="H2426" s="8" t="s">
        <v>12825</v>
      </c>
      <c r="I2426" s="8" t="str">
        <f>HYPERLINK("http://helenaurbanbride.com/","helenaurbanbride.com")</f>
        <v>helenaurbanbride.com</v>
      </c>
      <c r="J2426" s="10">
        <v>2538.3870000000002</v>
      </c>
      <c r="K2426" s="10">
        <v>2538.3870000000002</v>
      </c>
      <c r="L2426" s="10">
        <v>1663.787</v>
      </c>
      <c r="M2426" s="10">
        <v>19.518000000000001</v>
      </c>
      <c r="N2426" s="10">
        <v>19.518000000000001</v>
      </c>
      <c r="O2426" s="10">
        <v>24.998999999999999</v>
      </c>
      <c r="P2426" s="15" t="s">
        <v>12826</v>
      </c>
      <c r="Q2426" s="15" t="s">
        <v>12826</v>
      </c>
      <c r="R2426" s="10">
        <v>18</v>
      </c>
    </row>
    <row r="2427" spans="1:18" ht="17" customHeight="1" x14ac:dyDescent="0.15">
      <c r="A2427" s="11" t="s">
        <v>12962</v>
      </c>
      <c r="B2427" s="1" t="s">
        <v>12963</v>
      </c>
      <c r="C2427" s="11" t="s">
        <v>12964</v>
      </c>
      <c r="D2427" s="11" t="s">
        <v>12964</v>
      </c>
      <c r="E2427" s="11" t="s">
        <v>12965</v>
      </c>
      <c r="F2427" s="11" t="s">
        <v>12938</v>
      </c>
      <c r="G2427" s="11" t="s">
        <v>12966</v>
      </c>
      <c r="H2427" s="11" t="s">
        <v>12928</v>
      </c>
      <c r="I2427" s="11" t="str">
        <f>HYPERLINK("http://www.calzificiococcoli.com/","www.calzificiococcoli.com")</f>
        <v>www.calzificiococcoli.com</v>
      </c>
      <c r="J2427" s="12">
        <v>1673.797</v>
      </c>
      <c r="K2427" s="12">
        <v>1673.797</v>
      </c>
      <c r="L2427" s="13">
        <v>1663.5119999999999</v>
      </c>
      <c r="M2427" s="12">
        <v>159.81700000000001</v>
      </c>
      <c r="N2427" s="12">
        <v>159.81700000000001</v>
      </c>
      <c r="O2427" s="12">
        <v>61.305999999999997</v>
      </c>
      <c r="P2427" s="12">
        <v>20</v>
      </c>
      <c r="Q2427" s="12">
        <v>20</v>
      </c>
      <c r="R2427" s="12">
        <v>16</v>
      </c>
    </row>
    <row r="2428" spans="1:18" ht="17" customHeight="1" x14ac:dyDescent="0.15">
      <c r="A2428" s="8" t="s">
        <v>12967</v>
      </c>
      <c r="B2428" s="9" t="s">
        <v>12968</v>
      </c>
      <c r="C2428" s="8" t="s">
        <v>12969</v>
      </c>
      <c r="D2428" s="8" t="s">
        <v>12969</v>
      </c>
      <c r="E2428" s="8" t="s">
        <v>12970</v>
      </c>
      <c r="F2428" s="8" t="s">
        <v>12844</v>
      </c>
      <c r="G2428" s="8" t="s">
        <v>12863</v>
      </c>
      <c r="H2428" s="8" t="s">
        <v>12864</v>
      </c>
      <c r="I2428" s="8" t="str">
        <f>HYPERLINK("http://www.fadel.it/","www.fadel.it")</f>
        <v>www.fadel.it</v>
      </c>
      <c r="J2428" s="10">
        <v>1391.663</v>
      </c>
      <c r="K2428" s="10">
        <v>1391.663</v>
      </c>
      <c r="L2428" s="10">
        <v>1663.412</v>
      </c>
      <c r="M2428" s="10">
        <v>0.77</v>
      </c>
      <c r="N2428" s="10">
        <v>0.77</v>
      </c>
      <c r="O2428" s="10">
        <v>18.312999999999999</v>
      </c>
      <c r="P2428" s="15" t="s">
        <v>12826</v>
      </c>
      <c r="Q2428" s="15" t="s">
        <v>12826</v>
      </c>
      <c r="R2428" s="10">
        <v>14</v>
      </c>
    </row>
    <row r="2429" spans="1:18" ht="17" customHeight="1" x14ac:dyDescent="0.15">
      <c r="A2429" s="11" t="s">
        <v>12971</v>
      </c>
      <c r="B2429" s="1" t="s">
        <v>12972</v>
      </c>
      <c r="C2429" s="11" t="s">
        <v>12973</v>
      </c>
      <c r="D2429" s="11" t="s">
        <v>12973</v>
      </c>
      <c r="E2429" s="11" t="s">
        <v>12974</v>
      </c>
      <c r="F2429" s="11" t="s">
        <v>12832</v>
      </c>
      <c r="G2429" s="11" t="s">
        <v>12824</v>
      </c>
      <c r="H2429" s="11" t="s">
        <v>12825</v>
      </c>
      <c r="I2429" s="11" t="str">
        <f>HYPERLINK("http://www.mgmfashionsrl.it/","www.mgmfashionsrl.it")</f>
        <v>www.mgmfashionsrl.it</v>
      </c>
      <c r="J2429" s="12">
        <v>1889.26</v>
      </c>
      <c r="K2429" s="12">
        <v>1889.26</v>
      </c>
      <c r="L2429" s="13">
        <v>1663.3150000000001</v>
      </c>
      <c r="M2429" s="12">
        <v>-35.975000000000001</v>
      </c>
      <c r="N2429" s="12">
        <v>-35.975000000000001</v>
      </c>
      <c r="O2429" s="12">
        <v>14.647</v>
      </c>
      <c r="P2429" s="12">
        <v>6</v>
      </c>
      <c r="Q2429" s="12">
        <v>6</v>
      </c>
      <c r="R2429" s="12">
        <v>3</v>
      </c>
    </row>
    <row r="2430" spans="1:18" ht="17" customHeight="1" x14ac:dyDescent="0.15">
      <c r="A2430" s="8" t="s">
        <v>12975</v>
      </c>
      <c r="B2430" s="9" t="s">
        <v>12976</v>
      </c>
      <c r="C2430" s="8" t="s">
        <v>12977</v>
      </c>
      <c r="D2430" s="8" t="s">
        <v>12977</v>
      </c>
      <c r="E2430" s="8" t="s">
        <v>12978</v>
      </c>
      <c r="F2430" s="8" t="s">
        <v>12979</v>
      </c>
      <c r="G2430" s="8" t="s">
        <v>12817</v>
      </c>
      <c r="H2430" s="8" t="s">
        <v>12818</v>
      </c>
      <c r="I2430" s="8" t="str">
        <f>HYPERLINK("http://www.greencoast.it/","www.greencoast.it")</f>
        <v>www.greencoast.it</v>
      </c>
      <c r="J2430" s="10">
        <v>2139.4780000000001</v>
      </c>
      <c r="K2430" s="10">
        <v>2139.4780000000001</v>
      </c>
      <c r="L2430" s="10">
        <v>1663.1610000000001</v>
      </c>
      <c r="M2430" s="10">
        <v>10.054</v>
      </c>
      <c r="N2430" s="10">
        <v>10.054</v>
      </c>
      <c r="O2430" s="10">
        <v>14.689</v>
      </c>
      <c r="P2430" s="10">
        <v>4</v>
      </c>
      <c r="Q2430" s="10">
        <v>4</v>
      </c>
      <c r="R2430" s="10">
        <v>4</v>
      </c>
    </row>
    <row r="2431" spans="1:18" ht="17" customHeight="1" x14ac:dyDescent="0.15">
      <c r="A2431" s="11" t="s">
        <v>12980</v>
      </c>
      <c r="B2431" s="1" t="s">
        <v>12981</v>
      </c>
      <c r="C2431" s="11" t="s">
        <v>12982</v>
      </c>
      <c r="D2431" s="11" t="s">
        <v>12982</v>
      </c>
      <c r="E2431" s="11" t="s">
        <v>12983</v>
      </c>
      <c r="F2431" s="11" t="s">
        <v>12938</v>
      </c>
      <c r="G2431" s="11" t="s">
        <v>12984</v>
      </c>
      <c r="H2431" s="11" t="s">
        <v>12877</v>
      </c>
      <c r="I2431" s="11" t="str">
        <f>HYPERLINK("http://www.mafer.it/","www.mafer.it")</f>
        <v>www.mafer.it</v>
      </c>
      <c r="J2431" s="12">
        <v>1486.5920000000001</v>
      </c>
      <c r="K2431" s="12">
        <v>1486.5920000000001</v>
      </c>
      <c r="L2431" s="13">
        <v>1663.201</v>
      </c>
      <c r="M2431" s="12">
        <v>11.551</v>
      </c>
      <c r="N2431" s="12">
        <v>11.551</v>
      </c>
      <c r="O2431" s="12">
        <v>-332.36700000000002</v>
      </c>
      <c r="P2431" s="14" t="s">
        <v>12826</v>
      </c>
      <c r="Q2431" s="14" t="s">
        <v>12826</v>
      </c>
      <c r="R2431" s="12">
        <v>7</v>
      </c>
    </row>
    <row r="2432" spans="1:18" ht="17" customHeight="1" x14ac:dyDescent="0.15">
      <c r="A2432" s="8" t="s">
        <v>12985</v>
      </c>
      <c r="B2432" s="9" t="s">
        <v>12986</v>
      </c>
      <c r="C2432" s="8" t="s">
        <v>12987</v>
      </c>
      <c r="D2432" s="8" t="s">
        <v>12987</v>
      </c>
      <c r="E2432" s="8" t="s">
        <v>12988</v>
      </c>
      <c r="F2432" s="8" t="s">
        <v>12832</v>
      </c>
      <c r="G2432" s="8" t="s">
        <v>12856</v>
      </c>
      <c r="H2432" s="8" t="s">
        <v>12857</v>
      </c>
      <c r="I2432" s="8" t="str">
        <f>HYPERLINK("http://www.twentyonesrl.it/","www.twentyonesrl.it")</f>
        <v>www.twentyonesrl.it</v>
      </c>
      <c r="J2432" s="10">
        <v>2089.654</v>
      </c>
      <c r="K2432" s="10">
        <v>2089.654</v>
      </c>
      <c r="L2432" s="10">
        <v>1659.539</v>
      </c>
      <c r="M2432" s="10">
        <v>43.295999999999999</v>
      </c>
      <c r="N2432" s="10">
        <v>43.295999999999999</v>
      </c>
      <c r="O2432" s="10">
        <v>41.079000000000001</v>
      </c>
      <c r="P2432" s="10">
        <v>10</v>
      </c>
      <c r="Q2432" s="10">
        <v>10</v>
      </c>
      <c r="R2432" s="10">
        <v>12</v>
      </c>
    </row>
    <row r="2433" spans="1:18" ht="17" customHeight="1" x14ac:dyDescent="0.15">
      <c r="A2433" s="11" t="s">
        <v>12989</v>
      </c>
      <c r="B2433" s="1" t="s">
        <v>12990</v>
      </c>
      <c r="C2433" s="11" t="s">
        <v>12991</v>
      </c>
      <c r="D2433" s="11" t="s">
        <v>12991</v>
      </c>
      <c r="E2433" s="11" t="s">
        <v>12992</v>
      </c>
      <c r="F2433" s="11" t="s">
        <v>12993</v>
      </c>
      <c r="G2433" s="11" t="s">
        <v>12994</v>
      </c>
      <c r="H2433" s="11" t="s">
        <v>12995</v>
      </c>
      <c r="I2433" s="11" t="str">
        <f>HYPERLINK("http://www.elisabettapolignano.com/","www.elisabettapolignano.com")</f>
        <v>www.elisabettapolignano.com</v>
      </c>
      <c r="J2433" s="12">
        <v>1639.9970000000001</v>
      </c>
      <c r="K2433" s="12">
        <v>1639.9970000000001</v>
      </c>
      <c r="L2433" s="13">
        <v>1659.125</v>
      </c>
      <c r="M2433" s="12">
        <v>34.451000000000001</v>
      </c>
      <c r="N2433" s="12">
        <v>34.451000000000001</v>
      </c>
      <c r="O2433" s="12">
        <v>23.233000000000001</v>
      </c>
      <c r="P2433" s="12">
        <v>7</v>
      </c>
      <c r="Q2433" s="12">
        <v>7</v>
      </c>
      <c r="R2433" s="12">
        <v>7</v>
      </c>
    </row>
    <row r="2434" spans="1:18" ht="17" customHeight="1" x14ac:dyDescent="0.15">
      <c r="A2434" s="8" t="s">
        <v>12996</v>
      </c>
      <c r="B2434" s="9" t="s">
        <v>12997</v>
      </c>
      <c r="C2434" s="8" t="s">
        <v>12998</v>
      </c>
      <c r="D2434" s="8" t="s">
        <v>12998</v>
      </c>
      <c r="E2434" s="8" t="s">
        <v>12999</v>
      </c>
      <c r="F2434" s="8" t="s">
        <v>13000</v>
      </c>
      <c r="G2434" s="8" t="s">
        <v>13001</v>
      </c>
      <c r="H2434" s="8" t="s">
        <v>13002</v>
      </c>
      <c r="I2434" s="8" t="str">
        <f>HYPERLINK("http://www.pelletterietoscane.net/","www.pelletterietoscane.net")</f>
        <v>www.pelletterietoscane.net</v>
      </c>
      <c r="J2434" s="10">
        <v>2013.9770000000001</v>
      </c>
      <c r="K2434" s="10">
        <v>2013.9770000000001</v>
      </c>
      <c r="L2434" s="10">
        <v>1656.81</v>
      </c>
      <c r="M2434" s="10">
        <v>316.81599999999997</v>
      </c>
      <c r="N2434" s="10">
        <v>316.81599999999997</v>
      </c>
      <c r="O2434" s="10">
        <v>118.851</v>
      </c>
      <c r="P2434" s="10">
        <v>10</v>
      </c>
      <c r="Q2434" s="10">
        <v>10</v>
      </c>
      <c r="R2434" s="10">
        <v>10</v>
      </c>
    </row>
    <row r="2435" spans="1:18" ht="17" customHeight="1" x14ac:dyDescent="0.15">
      <c r="A2435" s="11" t="s">
        <v>13003</v>
      </c>
      <c r="B2435" s="1" t="s">
        <v>13004</v>
      </c>
      <c r="C2435" s="11" t="s">
        <v>13005</v>
      </c>
      <c r="D2435" s="11" t="s">
        <v>13005</v>
      </c>
      <c r="E2435" s="11" t="s">
        <v>13006</v>
      </c>
      <c r="F2435" s="11" t="s">
        <v>13007</v>
      </c>
      <c r="G2435" s="11" t="s">
        <v>13008</v>
      </c>
      <c r="H2435" s="11" t="s">
        <v>13009</v>
      </c>
      <c r="I2435" s="11" t="str">
        <f>HYPERLINK("http://www.maxcompany.it/","www.maxcompany.it")</f>
        <v>www.maxcompany.it</v>
      </c>
      <c r="J2435" s="12">
        <v>3267.1210000000001</v>
      </c>
      <c r="K2435" s="12">
        <v>3267.1210000000001</v>
      </c>
      <c r="L2435" s="13">
        <v>1653.9190000000001</v>
      </c>
      <c r="M2435" s="12">
        <v>395.59199999999998</v>
      </c>
      <c r="N2435" s="12">
        <v>395.59199999999998</v>
      </c>
      <c r="O2435" s="12">
        <v>30.332999999999998</v>
      </c>
      <c r="P2435" s="12">
        <v>19</v>
      </c>
      <c r="Q2435" s="12">
        <v>19</v>
      </c>
      <c r="R2435" s="12">
        <v>19</v>
      </c>
    </row>
    <row r="2436" spans="1:18" ht="17" customHeight="1" x14ac:dyDescent="0.15">
      <c r="A2436" s="8" t="s">
        <v>13010</v>
      </c>
      <c r="B2436" s="9" t="s">
        <v>13011</v>
      </c>
      <c r="C2436" s="8" t="s">
        <v>13012</v>
      </c>
      <c r="D2436" s="8" t="s">
        <v>13012</v>
      </c>
      <c r="E2436" s="8" t="s">
        <v>13013</v>
      </c>
      <c r="F2436" s="8" t="s">
        <v>13014</v>
      </c>
      <c r="G2436" s="8" t="s">
        <v>13015</v>
      </c>
      <c r="H2436" s="8" t="s">
        <v>13016</v>
      </c>
      <c r="I2436" s="8" t="str">
        <f>HYPERLINK("http://www.andreadamico.com/","www.andreadamico.com")</f>
        <v>www.andreadamico.com</v>
      </c>
      <c r="J2436" s="10">
        <v>1418.8040000000001</v>
      </c>
      <c r="K2436" s="10">
        <v>1418.8040000000001</v>
      </c>
      <c r="L2436" s="10">
        <v>1651.3779999999999</v>
      </c>
      <c r="M2436" s="10">
        <v>-14.337</v>
      </c>
      <c r="N2436" s="10">
        <v>-14.337</v>
      </c>
      <c r="O2436" s="10">
        <v>-103.309</v>
      </c>
      <c r="P2436" s="15" t="s">
        <v>13017</v>
      </c>
      <c r="Q2436" s="15" t="s">
        <v>13017</v>
      </c>
      <c r="R2436" s="10">
        <v>6</v>
      </c>
    </row>
    <row r="2437" spans="1:18" ht="17" customHeight="1" x14ac:dyDescent="0.15">
      <c r="A2437" s="11" t="s">
        <v>13018</v>
      </c>
      <c r="B2437" s="1" t="s">
        <v>13019</v>
      </c>
      <c r="C2437" s="11" t="s">
        <v>13020</v>
      </c>
      <c r="D2437" s="11" t="s">
        <v>13020</v>
      </c>
      <c r="E2437" s="11" t="s">
        <v>13021</v>
      </c>
      <c r="F2437" s="11" t="s">
        <v>13022</v>
      </c>
      <c r="G2437" s="11" t="s">
        <v>13023</v>
      </c>
      <c r="H2437" s="11" t="s">
        <v>13024</v>
      </c>
      <c r="I2437" s="11" t="str">
        <f>HYPERLINK("http://m.looksrlproduction.com/","m.looksrlproduction.com")</f>
        <v>m.looksrlproduction.com</v>
      </c>
      <c r="J2437" s="12">
        <v>1390.2190000000001</v>
      </c>
      <c r="K2437" s="12">
        <v>1390.2190000000001</v>
      </c>
      <c r="L2437" s="13">
        <v>1648.95</v>
      </c>
      <c r="M2437" s="12">
        <v>11.439</v>
      </c>
      <c r="N2437" s="12">
        <v>11.439</v>
      </c>
      <c r="O2437" s="12">
        <v>34.271000000000001</v>
      </c>
      <c r="P2437" s="12">
        <v>7</v>
      </c>
      <c r="Q2437" s="12">
        <v>7</v>
      </c>
      <c r="R2437" s="12">
        <v>7</v>
      </c>
    </row>
    <row r="2438" spans="1:18" ht="17" customHeight="1" x14ac:dyDescent="0.15">
      <c r="A2438" s="8" t="s">
        <v>13025</v>
      </c>
      <c r="B2438" s="9" t="s">
        <v>13026</v>
      </c>
      <c r="C2438" s="8" t="s">
        <v>13027</v>
      </c>
      <c r="D2438" s="8" t="s">
        <v>13027</v>
      </c>
      <c r="E2438" s="8" t="s">
        <v>13028</v>
      </c>
      <c r="F2438" s="8" t="s">
        <v>13007</v>
      </c>
      <c r="G2438" s="8" t="s">
        <v>13029</v>
      </c>
      <c r="H2438" s="8" t="s">
        <v>13009</v>
      </c>
      <c r="I2438" s="8" t="str">
        <f>HYPERLINK("http://www.wet-paint.it/","www.wet-paint.it")</f>
        <v>www.wet-paint.it</v>
      </c>
      <c r="J2438" s="10">
        <v>2324.998</v>
      </c>
      <c r="K2438" s="10">
        <v>2324.998</v>
      </c>
      <c r="L2438" s="10">
        <v>1648.0709999999999</v>
      </c>
      <c r="M2438" s="10">
        <v>194.68899999999999</v>
      </c>
      <c r="N2438" s="10">
        <v>194.68899999999999</v>
      </c>
      <c r="O2438" s="10">
        <v>75.353999999999999</v>
      </c>
      <c r="P2438" s="15" t="s">
        <v>13017</v>
      </c>
      <c r="Q2438" s="15" t="s">
        <v>13017</v>
      </c>
      <c r="R2438" s="10">
        <v>10</v>
      </c>
    </row>
    <row r="2439" spans="1:18" ht="17" customHeight="1" x14ac:dyDescent="0.15">
      <c r="A2439" s="11" t="s">
        <v>13030</v>
      </c>
      <c r="B2439" s="1" t="s">
        <v>13031</v>
      </c>
      <c r="C2439" s="11" t="s">
        <v>13032</v>
      </c>
      <c r="D2439" s="11" t="s">
        <v>13032</v>
      </c>
      <c r="E2439" s="11" t="s">
        <v>13033</v>
      </c>
      <c r="F2439" s="11" t="s">
        <v>13014</v>
      </c>
      <c r="G2439" s="11" t="s">
        <v>13034</v>
      </c>
      <c r="H2439" s="11" t="s">
        <v>13009</v>
      </c>
      <c r="I2439" s="11" t="str">
        <f>HYPERLINK("http://www.michaelsoho.com/","www.michaelsoho.com")</f>
        <v>www.michaelsoho.com</v>
      </c>
      <c r="J2439" s="12">
        <v>1813.4090000000001</v>
      </c>
      <c r="K2439" s="12">
        <v>1813.4090000000001</v>
      </c>
      <c r="L2439" s="13">
        <v>1646.7370000000001</v>
      </c>
      <c r="M2439" s="12">
        <v>56.210999999999999</v>
      </c>
      <c r="N2439" s="12">
        <v>56.210999999999999</v>
      </c>
      <c r="O2439" s="12">
        <v>63.241999999999997</v>
      </c>
      <c r="P2439" s="12">
        <v>27</v>
      </c>
      <c r="Q2439" s="12">
        <v>27</v>
      </c>
      <c r="R2439" s="12">
        <v>25</v>
      </c>
    </row>
    <row r="2440" spans="1:18" ht="17" customHeight="1" x14ac:dyDescent="0.15">
      <c r="A2440" s="8" t="s">
        <v>13035</v>
      </c>
      <c r="B2440" s="9" t="s">
        <v>13036</v>
      </c>
      <c r="C2440" s="8" t="s">
        <v>13037</v>
      </c>
      <c r="D2440" s="8" t="s">
        <v>13037</v>
      </c>
      <c r="E2440" s="8" t="s">
        <v>13038</v>
      </c>
      <c r="F2440" s="8" t="s">
        <v>13039</v>
      </c>
      <c r="G2440" s="8" t="s">
        <v>13040</v>
      </c>
      <c r="H2440" s="8" t="s">
        <v>13041</v>
      </c>
      <c r="I2440" s="8" t="str">
        <f>HYPERLINK("http://www.suolificiodecarolis.com/","www.suolificiodecarolis.com")</f>
        <v>www.suolificiodecarolis.com</v>
      </c>
      <c r="J2440" s="10">
        <v>2096.59</v>
      </c>
      <c r="K2440" s="10">
        <v>2096.59</v>
      </c>
      <c r="L2440" s="10">
        <v>1646.5740000000001</v>
      </c>
      <c r="M2440" s="10">
        <v>290.33100000000002</v>
      </c>
      <c r="N2440" s="10">
        <v>290.33100000000002</v>
      </c>
      <c r="O2440" s="10">
        <v>158.46100000000001</v>
      </c>
      <c r="P2440" s="10">
        <v>16</v>
      </c>
      <c r="Q2440" s="10">
        <v>16</v>
      </c>
      <c r="R2440" s="10">
        <v>12</v>
      </c>
    </row>
    <row r="2441" spans="1:18" ht="17" customHeight="1" x14ac:dyDescent="0.15">
      <c r="A2441" s="11" t="s">
        <v>13042</v>
      </c>
      <c r="B2441" s="1" t="s">
        <v>13043</v>
      </c>
      <c r="C2441" s="11" t="s">
        <v>13044</v>
      </c>
      <c r="D2441" s="11" t="s">
        <v>13044</v>
      </c>
      <c r="E2441" s="11" t="s">
        <v>13045</v>
      </c>
      <c r="F2441" s="11" t="s">
        <v>12993</v>
      </c>
      <c r="G2441" s="11" t="s">
        <v>13046</v>
      </c>
      <c r="H2441" s="11" t="s">
        <v>13024</v>
      </c>
      <c r="I2441" s="11" t="str">
        <f>HYPERLINK("http://www.aerrepiumini.it/","www.aerrepiumini.it")</f>
        <v>www.aerrepiumini.it</v>
      </c>
      <c r="J2441" s="12">
        <v>1583.2370000000001</v>
      </c>
      <c r="K2441" s="12">
        <v>1583.2370000000001</v>
      </c>
      <c r="L2441" s="13">
        <v>1643.5029999999999</v>
      </c>
      <c r="M2441" s="12">
        <v>163.23500000000001</v>
      </c>
      <c r="N2441" s="12">
        <v>163.23500000000001</v>
      </c>
      <c r="O2441" s="12">
        <v>123.789</v>
      </c>
      <c r="P2441" s="12">
        <v>4</v>
      </c>
      <c r="Q2441" s="12">
        <v>4</v>
      </c>
      <c r="R2441" s="12">
        <v>4</v>
      </c>
    </row>
    <row r="2442" spans="1:18" ht="17" customHeight="1" x14ac:dyDescent="0.15">
      <c r="A2442" s="8" t="s">
        <v>13047</v>
      </c>
      <c r="B2442" s="9" t="s">
        <v>13048</v>
      </c>
      <c r="C2442" s="8" t="s">
        <v>13049</v>
      </c>
      <c r="D2442" s="8" t="s">
        <v>13049</v>
      </c>
      <c r="E2442" s="8" t="s">
        <v>13050</v>
      </c>
      <c r="F2442" s="8" t="s">
        <v>13022</v>
      </c>
      <c r="G2442" s="8" t="s">
        <v>13051</v>
      </c>
      <c r="H2442" s="8" t="s">
        <v>13002</v>
      </c>
      <c r="I2442" s="8" t="str">
        <f>HYPERLINK("http://www.prontomodajulia.com/","www.prontomodajulia.com")</f>
        <v>www.prontomodajulia.com</v>
      </c>
      <c r="J2442" s="10">
        <v>1048.018</v>
      </c>
      <c r="K2442" s="10">
        <v>1048.018</v>
      </c>
      <c r="L2442" s="10">
        <v>1641.6489999999999</v>
      </c>
      <c r="M2442" s="10">
        <v>34.57</v>
      </c>
      <c r="N2442" s="10">
        <v>34.57</v>
      </c>
      <c r="O2442" s="10">
        <v>43.329000000000001</v>
      </c>
      <c r="P2442" s="10">
        <v>3</v>
      </c>
      <c r="Q2442" s="10">
        <v>3</v>
      </c>
      <c r="R2442" s="10">
        <v>4</v>
      </c>
    </row>
    <row r="2443" spans="1:18" ht="17" customHeight="1" x14ac:dyDescent="0.15">
      <c r="A2443" s="11" t="s">
        <v>13052</v>
      </c>
      <c r="B2443" s="1" t="s">
        <v>13053</v>
      </c>
      <c r="C2443" s="11" t="s">
        <v>13054</v>
      </c>
      <c r="D2443" s="11" t="s">
        <v>13054</v>
      </c>
      <c r="E2443" s="11" t="s">
        <v>13055</v>
      </c>
      <c r="F2443" s="11" t="s">
        <v>13014</v>
      </c>
      <c r="G2443" s="11" t="s">
        <v>13029</v>
      </c>
      <c r="H2443" s="11" t="s">
        <v>13009</v>
      </c>
      <c r="I2443" s="11" t="str">
        <f>HYPERLINK("http://www.bottegaquadra.com/","www.bottegaquadra.com")</f>
        <v>www.bottegaquadra.com</v>
      </c>
      <c r="J2443" s="12">
        <v>2414.982</v>
      </c>
      <c r="K2443" s="12">
        <v>2414.982</v>
      </c>
      <c r="L2443" s="13">
        <v>1640.8779999999999</v>
      </c>
      <c r="M2443" s="12">
        <v>71.994</v>
      </c>
      <c r="N2443" s="12">
        <v>71.994</v>
      </c>
      <c r="O2443" s="12">
        <v>35.457000000000001</v>
      </c>
      <c r="P2443" s="14" t="s">
        <v>13017</v>
      </c>
      <c r="Q2443" s="14" t="s">
        <v>13017</v>
      </c>
      <c r="R2443" s="12">
        <v>11</v>
      </c>
    </row>
    <row r="2444" spans="1:18" ht="17" customHeight="1" x14ac:dyDescent="0.15">
      <c r="A2444" s="8" t="s">
        <v>13056</v>
      </c>
      <c r="B2444" s="9" t="s">
        <v>13057</v>
      </c>
      <c r="C2444" s="8" t="s">
        <v>13058</v>
      </c>
      <c r="D2444" s="8" t="s">
        <v>13058</v>
      </c>
      <c r="E2444" s="8" t="s">
        <v>13059</v>
      </c>
      <c r="F2444" s="8" t="s">
        <v>13022</v>
      </c>
      <c r="G2444" s="8" t="s">
        <v>13029</v>
      </c>
      <c r="H2444" s="8" t="s">
        <v>13009</v>
      </c>
      <c r="I2444" s="8" t="str">
        <f>HYPERLINK("http://www.piuepiu.it/","www.piuepiu.it")</f>
        <v>www.piuepiu.it</v>
      </c>
      <c r="J2444" s="10">
        <v>1819.5809999999999</v>
      </c>
      <c r="K2444" s="10">
        <v>1819.5809999999999</v>
      </c>
      <c r="L2444" s="10">
        <v>1640.097</v>
      </c>
      <c r="M2444" s="10">
        <v>-181.435</v>
      </c>
      <c r="N2444" s="10">
        <v>-181.435</v>
      </c>
      <c r="O2444" s="10">
        <v>11.333</v>
      </c>
      <c r="P2444" s="10">
        <v>7</v>
      </c>
      <c r="Q2444" s="10">
        <v>7</v>
      </c>
      <c r="R2444" s="10">
        <v>8</v>
      </c>
    </row>
    <row r="2445" spans="1:18" ht="29.5" customHeight="1" x14ac:dyDescent="0.15">
      <c r="A2445" s="11" t="s">
        <v>13060</v>
      </c>
      <c r="B2445" s="1" t="s">
        <v>13061</v>
      </c>
      <c r="C2445" s="11" t="s">
        <v>13062</v>
      </c>
      <c r="D2445" s="11" t="s">
        <v>13062</v>
      </c>
      <c r="E2445" s="11" t="s">
        <v>13063</v>
      </c>
      <c r="F2445" s="11" t="s">
        <v>12993</v>
      </c>
      <c r="G2445" s="11" t="s">
        <v>13064</v>
      </c>
      <c r="H2445" s="11" t="s">
        <v>13065</v>
      </c>
      <c r="I2445" s="11" t="str">
        <f>HYPERLINK("http://www.tardia.it/","www.tardia.it")</f>
        <v>www.tardia.it</v>
      </c>
      <c r="J2445" s="12">
        <v>2064.4989999999998</v>
      </c>
      <c r="K2445" s="12">
        <v>2064.4989999999998</v>
      </c>
      <c r="L2445" s="13">
        <v>1636.884</v>
      </c>
      <c r="M2445" s="12">
        <v>2.3290000000000002</v>
      </c>
      <c r="N2445" s="12">
        <v>2.3290000000000002</v>
      </c>
      <c r="O2445" s="12">
        <v>2.0630000000000002</v>
      </c>
      <c r="P2445" s="12">
        <v>15</v>
      </c>
      <c r="Q2445" s="12">
        <v>15</v>
      </c>
      <c r="R2445" s="12">
        <v>15</v>
      </c>
    </row>
    <row r="2446" spans="1:18" ht="17" customHeight="1" x14ac:dyDescent="0.15">
      <c r="A2446" s="8" t="s">
        <v>13066</v>
      </c>
      <c r="B2446" s="9" t="s">
        <v>13067</v>
      </c>
      <c r="C2446" s="8" t="s">
        <v>13068</v>
      </c>
      <c r="D2446" s="8" t="s">
        <v>13069</v>
      </c>
      <c r="E2446" s="8" t="s">
        <v>13070</v>
      </c>
      <c r="F2446" s="8" t="s">
        <v>12993</v>
      </c>
      <c r="G2446" s="8" t="s">
        <v>13071</v>
      </c>
      <c r="H2446" s="8" t="s">
        <v>13024</v>
      </c>
      <c r="I2446" s="8" t="str">
        <f>HYPERLINK("http://www.drops.com/","www.drops.com")</f>
        <v>www.drops.com</v>
      </c>
      <c r="J2446" s="10">
        <v>2249.5549999999998</v>
      </c>
      <c r="K2446" s="10">
        <v>1926.9849999999999</v>
      </c>
      <c r="L2446" s="10">
        <v>1634.7059999999999</v>
      </c>
      <c r="M2446" s="10">
        <v>132.83099999999999</v>
      </c>
      <c r="N2446" s="10">
        <v>113.694</v>
      </c>
      <c r="O2446" s="10">
        <v>55.853000000000002</v>
      </c>
      <c r="P2446" s="10">
        <v>6</v>
      </c>
      <c r="Q2446" s="10">
        <v>7</v>
      </c>
      <c r="R2446" s="10">
        <v>6</v>
      </c>
    </row>
    <row r="2447" spans="1:18" ht="17" customHeight="1" x14ac:dyDescent="0.15">
      <c r="A2447" s="11" t="s">
        <v>13072</v>
      </c>
      <c r="B2447" s="1" t="s">
        <v>13073</v>
      </c>
      <c r="C2447" s="11" t="s">
        <v>13074</v>
      </c>
      <c r="D2447" s="11" t="s">
        <v>13074</v>
      </c>
      <c r="E2447" s="11" t="s">
        <v>13075</v>
      </c>
      <c r="F2447" s="11" t="s">
        <v>13022</v>
      </c>
      <c r="G2447" s="11" t="s">
        <v>13076</v>
      </c>
      <c r="H2447" s="11" t="s">
        <v>13065</v>
      </c>
      <c r="I2447" s="11" t="str">
        <f>HYPERLINK("http://www.colorichiari.it/","www.colorichiari.it")</f>
        <v>www.colorichiari.it</v>
      </c>
      <c r="J2447" s="12">
        <v>1955.3510000000001</v>
      </c>
      <c r="K2447" s="12">
        <v>1955.3510000000001</v>
      </c>
      <c r="L2447" s="13">
        <v>1634.7180000000001</v>
      </c>
      <c r="M2447" s="12">
        <v>16.381</v>
      </c>
      <c r="N2447" s="12">
        <v>16.381</v>
      </c>
      <c r="O2447" s="12">
        <v>15.715999999999999</v>
      </c>
      <c r="P2447" s="12">
        <v>5</v>
      </c>
      <c r="Q2447" s="12">
        <v>5</v>
      </c>
      <c r="R2447" s="12">
        <v>5</v>
      </c>
    </row>
    <row r="2448" spans="1:18" ht="17" customHeight="1" x14ac:dyDescent="0.15">
      <c r="A2448" s="8" t="s">
        <v>13077</v>
      </c>
      <c r="B2448" s="9" t="s">
        <v>13078</v>
      </c>
      <c r="C2448" s="8" t="s">
        <v>13079</v>
      </c>
      <c r="D2448" s="8" t="s">
        <v>13079</v>
      </c>
      <c r="E2448" s="8" t="s">
        <v>13080</v>
      </c>
      <c r="F2448" s="8" t="s">
        <v>13022</v>
      </c>
      <c r="G2448" s="8" t="s">
        <v>13023</v>
      </c>
      <c r="H2448" s="8" t="s">
        <v>13024</v>
      </c>
      <c r="I2448" s="8" t="str">
        <f>HYPERLINK("http://cotone.it/","cotone.it")</f>
        <v>cotone.it</v>
      </c>
      <c r="J2448" s="10">
        <v>1448.6990000000001</v>
      </c>
      <c r="K2448" s="10">
        <v>1448.6990000000001</v>
      </c>
      <c r="L2448" s="10">
        <v>1633.4559999999999</v>
      </c>
      <c r="M2448" s="10">
        <v>183.357</v>
      </c>
      <c r="N2448" s="10">
        <v>183.357</v>
      </c>
      <c r="O2448" s="10">
        <v>180.86699999999999</v>
      </c>
      <c r="P2448" s="10">
        <v>0</v>
      </c>
      <c r="Q2448" s="10">
        <v>0</v>
      </c>
      <c r="R2448" s="10">
        <v>0</v>
      </c>
    </row>
    <row r="2449" spans="1:18" ht="29.5" customHeight="1" x14ac:dyDescent="0.15">
      <c r="A2449" s="11" t="s">
        <v>13081</v>
      </c>
      <c r="B2449" s="1" t="s">
        <v>13082</v>
      </c>
      <c r="C2449" s="11" t="s">
        <v>13083</v>
      </c>
      <c r="D2449" s="11" t="s">
        <v>13083</v>
      </c>
      <c r="E2449" s="11" t="s">
        <v>13084</v>
      </c>
      <c r="F2449" s="11" t="s">
        <v>13085</v>
      </c>
      <c r="G2449" s="11" t="s">
        <v>13086</v>
      </c>
      <c r="H2449" s="11" t="s">
        <v>13002</v>
      </c>
      <c r="I2449" s="11" t="str">
        <f>HYPERLINK("http://www.gruppointimoitaliano.com/","http://www.gruppointimoitaliano.com")</f>
        <v>http://www.gruppointimoitaliano.com</v>
      </c>
      <c r="J2449" s="12">
        <v>1269.943</v>
      </c>
      <c r="K2449" s="12">
        <v>1269.943</v>
      </c>
      <c r="L2449" s="13">
        <v>1633.422</v>
      </c>
      <c r="M2449" s="12">
        <v>20.867000000000001</v>
      </c>
      <c r="N2449" s="12">
        <v>20.867000000000001</v>
      </c>
      <c r="O2449" s="12">
        <v>19.783999999999999</v>
      </c>
      <c r="P2449" s="12">
        <v>13</v>
      </c>
      <c r="Q2449" s="12">
        <v>13</v>
      </c>
      <c r="R2449" s="12">
        <v>15</v>
      </c>
    </row>
    <row r="2450" spans="1:18" ht="17" customHeight="1" x14ac:dyDescent="0.15">
      <c r="A2450" s="8" t="s">
        <v>13087</v>
      </c>
      <c r="B2450" s="9" t="s">
        <v>13088</v>
      </c>
      <c r="C2450" s="8" t="s">
        <v>13089</v>
      </c>
      <c r="D2450" s="8" t="s">
        <v>13089</v>
      </c>
      <c r="E2450" s="8" t="s">
        <v>13090</v>
      </c>
      <c r="F2450" s="8" t="s">
        <v>13091</v>
      </c>
      <c r="G2450" s="8" t="s">
        <v>13001</v>
      </c>
      <c r="H2450" s="8" t="s">
        <v>13002</v>
      </c>
      <c r="I2450" s="8" t="str">
        <f>HYPERLINK("http://tonilab25.it/","tonilab25.it")</f>
        <v>tonilab25.it</v>
      </c>
      <c r="J2450" s="10">
        <v>2428.7840000000001</v>
      </c>
      <c r="K2450" s="10">
        <v>2428.7840000000001</v>
      </c>
      <c r="L2450" s="10">
        <v>1633.3489999999999</v>
      </c>
      <c r="M2450" s="10">
        <v>335.226</v>
      </c>
      <c r="N2450" s="10">
        <v>335.226</v>
      </c>
      <c r="O2450" s="10">
        <v>-144.55099999999999</v>
      </c>
      <c r="P2450" s="10">
        <v>13</v>
      </c>
      <c r="Q2450" s="10">
        <v>13</v>
      </c>
      <c r="R2450" s="10">
        <v>14</v>
      </c>
    </row>
    <row r="2451" spans="1:18" ht="17" customHeight="1" x14ac:dyDescent="0.15">
      <c r="A2451" s="11" t="s">
        <v>13092</v>
      </c>
      <c r="B2451" s="1" t="s">
        <v>13093</v>
      </c>
      <c r="C2451" s="11" t="s">
        <v>13094</v>
      </c>
      <c r="D2451" s="11" t="s">
        <v>13094</v>
      </c>
      <c r="E2451" s="11" t="s">
        <v>13095</v>
      </c>
      <c r="F2451" s="11" t="s">
        <v>13022</v>
      </c>
      <c r="G2451" s="11" t="s">
        <v>13096</v>
      </c>
      <c r="H2451" s="11" t="s">
        <v>13097</v>
      </c>
      <c r="I2451" s="11" t="str">
        <f>HYPERLINK("http://www.confezionivalentina.it/","www.confezionivalentina.it")</f>
        <v>www.confezionivalentina.it</v>
      </c>
      <c r="J2451" s="12">
        <v>1827.4949999999999</v>
      </c>
      <c r="K2451" s="12">
        <v>1827.4949999999999</v>
      </c>
      <c r="L2451" s="13">
        <v>1632.347</v>
      </c>
      <c r="M2451" s="12">
        <v>488.60300000000001</v>
      </c>
      <c r="N2451" s="12">
        <v>488.60300000000001</v>
      </c>
      <c r="O2451" s="12">
        <v>97.5</v>
      </c>
      <c r="P2451" s="14" t="s">
        <v>13017</v>
      </c>
      <c r="Q2451" s="14" t="s">
        <v>13017</v>
      </c>
      <c r="R2451" s="12">
        <v>61</v>
      </c>
    </row>
    <row r="2452" spans="1:18" ht="17" customHeight="1" x14ac:dyDescent="0.15">
      <c r="A2452" s="8" t="s">
        <v>13098</v>
      </c>
      <c r="B2452" s="9" t="s">
        <v>13099</v>
      </c>
      <c r="C2452" s="8" t="s">
        <v>13100</v>
      </c>
      <c r="D2452" s="8" t="s">
        <v>13100</v>
      </c>
      <c r="E2452" s="8" t="s">
        <v>13101</v>
      </c>
      <c r="F2452" s="8" t="s">
        <v>13022</v>
      </c>
      <c r="G2452" s="8" t="s">
        <v>13102</v>
      </c>
      <c r="H2452" s="8" t="s">
        <v>13103</v>
      </c>
      <c r="I2452" s="8" t="str">
        <f>HYPERLINK("http://www.fimelsrl.it/","www.fimelsrl.it")</f>
        <v>www.fimelsrl.it</v>
      </c>
      <c r="J2452" s="10">
        <v>1987.9839999999999</v>
      </c>
      <c r="K2452" s="10">
        <v>1987.9839999999999</v>
      </c>
      <c r="L2452" s="10">
        <v>1631.778</v>
      </c>
      <c r="M2452" s="10">
        <v>74.866</v>
      </c>
      <c r="N2452" s="10">
        <v>74.866</v>
      </c>
      <c r="O2452" s="10">
        <v>49.826999999999998</v>
      </c>
      <c r="P2452" s="10">
        <v>16</v>
      </c>
      <c r="Q2452" s="10">
        <v>16</v>
      </c>
      <c r="R2452" s="10">
        <v>17</v>
      </c>
    </row>
    <row r="2453" spans="1:18" ht="17" customHeight="1" x14ac:dyDescent="0.15">
      <c r="A2453" s="11" t="s">
        <v>13104</v>
      </c>
      <c r="B2453" s="1" t="s">
        <v>13105</v>
      </c>
      <c r="C2453" s="11" t="s">
        <v>13106</v>
      </c>
      <c r="D2453" s="11" t="s">
        <v>13106</v>
      </c>
      <c r="E2453" s="11" t="s">
        <v>13107</v>
      </c>
      <c r="F2453" s="11" t="s">
        <v>13091</v>
      </c>
      <c r="G2453" s="11" t="s">
        <v>13108</v>
      </c>
      <c r="H2453" s="11" t="s">
        <v>13109</v>
      </c>
      <c r="I2453" s="11" t="str">
        <f>HYPERLINK("http://www.ripellsrl.com/","www.ripellsrl.com")</f>
        <v>www.ripellsrl.com</v>
      </c>
      <c r="J2453" s="12">
        <v>1331.152</v>
      </c>
      <c r="K2453" s="12">
        <v>1331.152</v>
      </c>
      <c r="L2453" s="13">
        <v>1629.3030000000001</v>
      </c>
      <c r="M2453" s="12">
        <v>11.567</v>
      </c>
      <c r="N2453" s="12">
        <v>11.567</v>
      </c>
      <c r="O2453" s="12">
        <v>43.579000000000001</v>
      </c>
      <c r="P2453" s="12">
        <v>8</v>
      </c>
      <c r="Q2453" s="12">
        <v>8</v>
      </c>
      <c r="R2453" s="12">
        <v>8</v>
      </c>
    </row>
    <row r="2454" spans="1:18" ht="17" customHeight="1" x14ac:dyDescent="0.15">
      <c r="A2454" s="8" t="s">
        <v>13110</v>
      </c>
      <c r="B2454" s="9" t="s">
        <v>13111</v>
      </c>
      <c r="C2454" s="8" t="s">
        <v>13112</v>
      </c>
      <c r="D2454" s="8" t="s">
        <v>13112</v>
      </c>
      <c r="E2454" s="8" t="s">
        <v>13113</v>
      </c>
      <c r="F2454" s="8" t="s">
        <v>13114</v>
      </c>
      <c r="G2454" s="8" t="s">
        <v>13115</v>
      </c>
      <c r="H2454" s="8" t="s">
        <v>13097</v>
      </c>
      <c r="I2454" s="8" t="str">
        <f>HYPERLINK("http://www.gianoliconfezioni.it/","www.gianoliconfezioni.it")</f>
        <v>www.gianoliconfezioni.it</v>
      </c>
      <c r="J2454" s="10">
        <v>2244.0619999999999</v>
      </c>
      <c r="K2454" s="10">
        <v>2244.0619999999999</v>
      </c>
      <c r="L2454" s="10">
        <v>1625.6030000000001</v>
      </c>
      <c r="M2454" s="10">
        <v>15.853</v>
      </c>
      <c r="N2454" s="10">
        <v>15.853</v>
      </c>
      <c r="O2454" s="10">
        <v>17.739999999999998</v>
      </c>
      <c r="P2454" s="15" t="s">
        <v>13017</v>
      </c>
      <c r="Q2454" s="15" t="s">
        <v>13017</v>
      </c>
      <c r="R2454" s="10">
        <v>33</v>
      </c>
    </row>
    <row r="2455" spans="1:18" ht="17" customHeight="1" x14ac:dyDescent="0.15">
      <c r="A2455" s="11" t="s">
        <v>13116</v>
      </c>
      <c r="B2455" s="1" t="s">
        <v>13117</v>
      </c>
      <c r="C2455" s="11" t="s">
        <v>13118</v>
      </c>
      <c r="D2455" s="11" t="s">
        <v>13118</v>
      </c>
      <c r="E2455" s="11" t="s">
        <v>13119</v>
      </c>
      <c r="F2455" s="11" t="s">
        <v>13039</v>
      </c>
      <c r="G2455" s="11" t="s">
        <v>13120</v>
      </c>
      <c r="H2455" s="11" t="s">
        <v>13065</v>
      </c>
      <c r="I2455" s="11" t="str">
        <f>HYPERLINK("http://www.revolutionshoes.it/","www.revolutionshoes.it")</f>
        <v>www.revolutionshoes.it</v>
      </c>
      <c r="J2455" s="12">
        <v>1354.0129999999999</v>
      </c>
      <c r="K2455" s="12">
        <v>1354.0129999999999</v>
      </c>
      <c r="L2455" s="13">
        <v>1624.867</v>
      </c>
      <c r="M2455" s="12">
        <v>139.554</v>
      </c>
      <c r="N2455" s="12">
        <v>139.554</v>
      </c>
      <c r="O2455" s="12">
        <v>138.53299999999999</v>
      </c>
      <c r="P2455" s="14" t="s">
        <v>13017</v>
      </c>
      <c r="Q2455" s="14" t="s">
        <v>13017</v>
      </c>
      <c r="R2455" s="12">
        <v>16</v>
      </c>
    </row>
    <row r="2456" spans="1:18" ht="17" customHeight="1" x14ac:dyDescent="0.15">
      <c r="A2456" s="8" t="s">
        <v>13121</v>
      </c>
      <c r="B2456" s="9" t="s">
        <v>13122</v>
      </c>
      <c r="C2456" s="8" t="s">
        <v>13123</v>
      </c>
      <c r="D2456" s="8" t="s">
        <v>13123</v>
      </c>
      <c r="E2456" s="8" t="s">
        <v>13124</v>
      </c>
      <c r="F2456" s="8" t="s">
        <v>13091</v>
      </c>
      <c r="G2456" s="8" t="s">
        <v>13029</v>
      </c>
      <c r="H2456" s="8" t="s">
        <v>13009</v>
      </c>
      <c r="I2456" s="8" t="str">
        <f>HYPERLINK("http://www.verapellami.it/","www.verapellami.it")</f>
        <v>www.verapellami.it</v>
      </c>
      <c r="J2456" s="10">
        <v>1198.6110000000001</v>
      </c>
      <c r="K2456" s="10">
        <v>1198.6110000000001</v>
      </c>
      <c r="L2456" s="10">
        <v>1624.432</v>
      </c>
      <c r="M2456" s="10">
        <v>20.977</v>
      </c>
      <c r="N2456" s="10">
        <v>20.977</v>
      </c>
      <c r="O2456" s="10">
        <v>-13.701000000000001</v>
      </c>
      <c r="P2456" s="10">
        <v>4</v>
      </c>
      <c r="Q2456" s="10">
        <v>4</v>
      </c>
      <c r="R2456" s="10">
        <v>4</v>
      </c>
    </row>
    <row r="2457" spans="1:18" ht="17" customHeight="1" x14ac:dyDescent="0.15">
      <c r="A2457" s="11" t="s">
        <v>13125</v>
      </c>
      <c r="B2457" s="1" t="s">
        <v>13126</v>
      </c>
      <c r="C2457" s="11" t="s">
        <v>13127</v>
      </c>
      <c r="D2457" s="11" t="s">
        <v>13127</v>
      </c>
      <c r="E2457" s="11" t="s">
        <v>13128</v>
      </c>
      <c r="F2457" s="11" t="s">
        <v>13129</v>
      </c>
      <c r="G2457" s="11" t="s">
        <v>13130</v>
      </c>
      <c r="H2457" s="11" t="s">
        <v>13002</v>
      </c>
      <c r="I2457" s="11" t="str">
        <f>HYPERLINK("http://www.lottinishoes.it/","www.lottinishoes.it")</f>
        <v>www.lottinishoes.it</v>
      </c>
      <c r="J2457" s="12">
        <v>1522.114</v>
      </c>
      <c r="K2457" s="12">
        <v>1522.114</v>
      </c>
      <c r="L2457" s="13">
        <v>1622.3779999999999</v>
      </c>
      <c r="M2457" s="12">
        <v>7.8559999999999999</v>
      </c>
      <c r="N2457" s="12">
        <v>7.8559999999999999</v>
      </c>
      <c r="O2457" s="12">
        <v>3.5939999999999999</v>
      </c>
      <c r="P2457" s="14" t="s">
        <v>13017</v>
      </c>
      <c r="Q2457" s="14" t="s">
        <v>13017</v>
      </c>
      <c r="R2457" s="12">
        <v>8</v>
      </c>
    </row>
    <row r="2458" spans="1:18" ht="17" customHeight="1" x14ac:dyDescent="0.15">
      <c r="A2458" s="8" t="s">
        <v>13131</v>
      </c>
      <c r="B2458" s="9" t="s">
        <v>13132</v>
      </c>
      <c r="C2458" s="8" t="s">
        <v>13133</v>
      </c>
      <c r="D2458" s="8" t="s">
        <v>13133</v>
      </c>
      <c r="E2458" s="8" t="s">
        <v>13134</v>
      </c>
      <c r="F2458" s="8" t="s">
        <v>13129</v>
      </c>
      <c r="G2458" s="8" t="s">
        <v>13008</v>
      </c>
      <c r="H2458" s="8" t="s">
        <v>13009</v>
      </c>
      <c r="I2458" s="8" t="str">
        <f>HYPERLINK("http://www.equick.it/","www.equick.it")</f>
        <v>www.equick.it</v>
      </c>
      <c r="J2458" s="10">
        <v>1403.06</v>
      </c>
      <c r="K2458" s="10">
        <v>1403.06</v>
      </c>
      <c r="L2458" s="10">
        <v>1622.0809999999999</v>
      </c>
      <c r="M2458" s="10">
        <v>34.366</v>
      </c>
      <c r="N2458" s="10">
        <v>34.366</v>
      </c>
      <c r="O2458" s="10">
        <v>74.156999999999996</v>
      </c>
      <c r="P2458" s="10">
        <v>14</v>
      </c>
      <c r="Q2458" s="10">
        <v>14</v>
      </c>
      <c r="R2458" s="10">
        <v>13</v>
      </c>
    </row>
    <row r="2459" spans="1:18" ht="29.5" customHeight="1" x14ac:dyDescent="0.15">
      <c r="A2459" s="11" t="s">
        <v>13135</v>
      </c>
      <c r="B2459" s="1" t="s">
        <v>13136</v>
      </c>
      <c r="C2459" s="11" t="s">
        <v>13137</v>
      </c>
      <c r="D2459" s="11" t="s">
        <v>13137</v>
      </c>
      <c r="E2459" s="11" t="s">
        <v>13138</v>
      </c>
      <c r="F2459" s="11" t="s">
        <v>13129</v>
      </c>
      <c r="G2459" s="11" t="s">
        <v>13139</v>
      </c>
      <c r="H2459" s="11" t="s">
        <v>13009</v>
      </c>
      <c r="I2459" s="11" t="str">
        <f>HYPERLINK("http://www.liverpoolshoes.it/","www.liverpoolshoes.it")</f>
        <v>www.liverpoolshoes.it</v>
      </c>
      <c r="J2459" s="12">
        <v>2060.085</v>
      </c>
      <c r="K2459" s="12">
        <v>2060.085</v>
      </c>
      <c r="L2459" s="13">
        <v>1621.7349999999999</v>
      </c>
      <c r="M2459" s="12">
        <v>2.3279999999999998</v>
      </c>
      <c r="N2459" s="12">
        <v>2.3279999999999998</v>
      </c>
      <c r="O2459" s="12">
        <v>1.98</v>
      </c>
      <c r="P2459" s="14" t="s">
        <v>13017</v>
      </c>
      <c r="Q2459" s="14" t="s">
        <v>13017</v>
      </c>
      <c r="R2459" s="12">
        <v>24</v>
      </c>
    </row>
    <row r="2460" spans="1:18" ht="29.5" customHeight="1" x14ac:dyDescent="0.15">
      <c r="A2460" s="8" t="s">
        <v>13140</v>
      </c>
      <c r="B2460" s="9" t="s">
        <v>13141</v>
      </c>
      <c r="C2460" s="8" t="s">
        <v>13142</v>
      </c>
      <c r="D2460" s="8" t="s">
        <v>13142</v>
      </c>
      <c r="E2460" s="8" t="s">
        <v>13143</v>
      </c>
      <c r="F2460" s="8" t="s">
        <v>13129</v>
      </c>
      <c r="G2460" s="8" t="s">
        <v>13144</v>
      </c>
      <c r="H2460" s="8" t="s">
        <v>13109</v>
      </c>
      <c r="I2460" s="8" t="str">
        <f>HYPERLINK("http://www.tavares.it/","www.tavares.it")</f>
        <v>www.tavares.it</v>
      </c>
      <c r="J2460" s="10">
        <v>1120.893</v>
      </c>
      <c r="K2460" s="10">
        <v>1120.893</v>
      </c>
      <c r="L2460" s="10">
        <v>1617.806</v>
      </c>
      <c r="M2460" s="10">
        <v>-85.353999999999999</v>
      </c>
      <c r="N2460" s="10">
        <v>-85.353999999999999</v>
      </c>
      <c r="O2460" s="10">
        <v>-246.04400000000001</v>
      </c>
      <c r="P2460" s="10">
        <v>17</v>
      </c>
      <c r="Q2460" s="10">
        <v>17</v>
      </c>
      <c r="R2460" s="10">
        <v>13</v>
      </c>
    </row>
    <row r="2461" spans="1:18" ht="17" customHeight="1" x14ac:dyDescent="0.15">
      <c r="A2461" s="11" t="s">
        <v>13145</v>
      </c>
      <c r="B2461" s="1" t="s">
        <v>13146</v>
      </c>
      <c r="C2461" s="11" t="s">
        <v>13147</v>
      </c>
      <c r="D2461" s="11" t="s">
        <v>13147</v>
      </c>
      <c r="E2461" s="11" t="s">
        <v>13148</v>
      </c>
      <c r="F2461" s="11" t="s">
        <v>13022</v>
      </c>
      <c r="G2461" s="11" t="s">
        <v>13149</v>
      </c>
      <c r="H2461" s="11" t="s">
        <v>13002</v>
      </c>
      <c r="I2461" s="11" t="str">
        <f>HYPERLINK("http://www.vegamanifatture.com/","www.vegamanifatture.com")</f>
        <v>www.vegamanifatture.com</v>
      </c>
      <c r="J2461" s="12">
        <v>2361.442</v>
      </c>
      <c r="K2461" s="12">
        <v>2361.442</v>
      </c>
      <c r="L2461" s="13">
        <v>1617.222</v>
      </c>
      <c r="M2461" s="12">
        <v>-116.63500000000001</v>
      </c>
      <c r="N2461" s="12">
        <v>-116.63500000000001</v>
      </c>
      <c r="O2461" s="12">
        <v>-92.653000000000006</v>
      </c>
      <c r="P2461" s="12">
        <v>50</v>
      </c>
      <c r="Q2461" s="12">
        <v>50</v>
      </c>
      <c r="R2461" s="12">
        <v>25</v>
      </c>
    </row>
    <row r="2462" spans="1:18" ht="17" customHeight="1" x14ac:dyDescent="0.15">
      <c r="A2462" s="8" t="s">
        <v>13150</v>
      </c>
      <c r="B2462" s="9" t="s">
        <v>13151</v>
      </c>
      <c r="C2462" s="8" t="s">
        <v>13152</v>
      </c>
      <c r="D2462" s="8" t="s">
        <v>13152</v>
      </c>
      <c r="E2462" s="8" t="s">
        <v>13153</v>
      </c>
      <c r="F2462" s="8" t="s">
        <v>12993</v>
      </c>
      <c r="G2462" s="8" t="s">
        <v>13034</v>
      </c>
      <c r="H2462" s="8" t="s">
        <v>13009</v>
      </c>
      <c r="I2462" s="8" t="str">
        <f>HYPERLINK("http://www.amethist.it/","www.amethist.it")</f>
        <v>www.amethist.it</v>
      </c>
      <c r="J2462" s="10">
        <v>1880.672</v>
      </c>
      <c r="K2462" s="10">
        <v>1880.672</v>
      </c>
      <c r="L2462" s="10">
        <v>1616.991</v>
      </c>
      <c r="M2462" s="10">
        <v>9.5510000000000002</v>
      </c>
      <c r="N2462" s="10">
        <v>9.5510000000000002</v>
      </c>
      <c r="O2462" s="10">
        <v>12.645</v>
      </c>
      <c r="P2462" s="10">
        <v>11</v>
      </c>
      <c r="Q2462" s="10">
        <v>11</v>
      </c>
      <c r="R2462" s="10">
        <v>9</v>
      </c>
    </row>
    <row r="2463" spans="1:18" ht="17" customHeight="1" x14ac:dyDescent="0.15">
      <c r="A2463" s="11" t="s">
        <v>13154</v>
      </c>
      <c r="B2463" s="1" t="s">
        <v>13155</v>
      </c>
      <c r="C2463" s="11" t="s">
        <v>13156</v>
      </c>
      <c r="D2463" s="11" t="s">
        <v>13156</v>
      </c>
      <c r="E2463" s="11" t="s">
        <v>13157</v>
      </c>
      <c r="F2463" s="11" t="s">
        <v>13129</v>
      </c>
      <c r="G2463" s="11" t="s">
        <v>13040</v>
      </c>
      <c r="H2463" s="11" t="s">
        <v>13041</v>
      </c>
      <c r="I2463" s="11" t="str">
        <f>HYPERLINK("http://www.lancio.net/","www.lancio.net")</f>
        <v>www.lancio.net</v>
      </c>
      <c r="J2463" s="12">
        <v>2065.9</v>
      </c>
      <c r="K2463" s="12">
        <v>2065.9</v>
      </c>
      <c r="L2463" s="13">
        <v>1614.8620000000001</v>
      </c>
      <c r="M2463" s="12">
        <v>40.869</v>
      </c>
      <c r="N2463" s="12">
        <v>40.869</v>
      </c>
      <c r="O2463" s="12">
        <v>3.133</v>
      </c>
      <c r="P2463" s="12">
        <v>15</v>
      </c>
      <c r="Q2463" s="12">
        <v>15</v>
      </c>
      <c r="R2463" s="12">
        <v>13</v>
      </c>
    </row>
    <row r="2464" spans="1:18" ht="17" customHeight="1" x14ac:dyDescent="0.15">
      <c r="A2464" s="8" t="s">
        <v>13158</v>
      </c>
      <c r="B2464" s="9" t="s">
        <v>13159</v>
      </c>
      <c r="C2464" s="8" t="s">
        <v>13160</v>
      </c>
      <c r="D2464" s="8" t="s">
        <v>13160</v>
      </c>
      <c r="E2464" s="8" t="s">
        <v>13161</v>
      </c>
      <c r="F2464" s="8" t="s">
        <v>13162</v>
      </c>
      <c r="G2464" s="8" t="s">
        <v>13163</v>
      </c>
      <c r="H2464" s="8" t="s">
        <v>13109</v>
      </c>
      <c r="I2464" s="8" t="str">
        <f>HYPERLINK("http://www.jerrykey.it/","www.jerrykey.it")</f>
        <v>www.jerrykey.it</v>
      </c>
      <c r="J2464" s="10">
        <v>1466.4860000000001</v>
      </c>
      <c r="K2464" s="10">
        <v>1466.4860000000001</v>
      </c>
      <c r="L2464" s="10">
        <v>1612.933</v>
      </c>
      <c r="M2464" s="10">
        <v>28.344999999999999</v>
      </c>
      <c r="N2464" s="10">
        <v>28.344999999999999</v>
      </c>
      <c r="O2464" s="10">
        <v>73.915999999999997</v>
      </c>
      <c r="P2464" s="10">
        <v>6</v>
      </c>
      <c r="Q2464" s="10">
        <v>6</v>
      </c>
      <c r="R2464" s="10">
        <v>4</v>
      </c>
    </row>
    <row r="2465" spans="1:18" ht="17" customHeight="1" x14ac:dyDescent="0.15">
      <c r="A2465" s="11" t="s">
        <v>13164</v>
      </c>
      <c r="B2465" s="1" t="s">
        <v>13165</v>
      </c>
      <c r="C2465" s="11" t="s">
        <v>13166</v>
      </c>
      <c r="D2465" s="11" t="s">
        <v>13166</v>
      </c>
      <c r="E2465" s="11" t="s">
        <v>13167</v>
      </c>
      <c r="F2465" s="11" t="s">
        <v>13168</v>
      </c>
      <c r="G2465" s="11" t="s">
        <v>13169</v>
      </c>
      <c r="H2465" s="11" t="s">
        <v>13170</v>
      </c>
      <c r="I2465" s="11" t="str">
        <f>HYPERLINK("http://www.oltreluna.com/","www.oltreluna.com")</f>
        <v>www.oltreluna.com</v>
      </c>
      <c r="J2465" s="12">
        <v>1512.8720000000001</v>
      </c>
      <c r="K2465" s="12">
        <v>1512.8720000000001</v>
      </c>
      <c r="L2465" s="13">
        <v>1608.6679999999999</v>
      </c>
      <c r="M2465" s="12">
        <v>35.902000000000001</v>
      </c>
      <c r="N2465" s="12">
        <v>35.902000000000001</v>
      </c>
      <c r="O2465" s="12">
        <v>69.572000000000003</v>
      </c>
      <c r="P2465" s="14" t="s">
        <v>13171</v>
      </c>
      <c r="Q2465" s="14" t="s">
        <v>13171</v>
      </c>
      <c r="R2465" s="12">
        <v>13</v>
      </c>
    </row>
    <row r="2466" spans="1:18" ht="17" customHeight="1" x14ac:dyDescent="0.15">
      <c r="A2466" s="8" t="s">
        <v>13172</v>
      </c>
      <c r="B2466" s="9" t="s">
        <v>13173</v>
      </c>
      <c r="C2466" s="8" t="s">
        <v>13174</v>
      </c>
      <c r="D2466" s="8" t="s">
        <v>13174</v>
      </c>
      <c r="E2466" s="8" t="s">
        <v>13175</v>
      </c>
      <c r="F2466" s="8" t="s">
        <v>13176</v>
      </c>
      <c r="G2466" s="8" t="s">
        <v>13177</v>
      </c>
      <c r="H2466" s="8" t="s">
        <v>13178</v>
      </c>
      <c r="I2466" s="8" t="str">
        <f>HYPERLINK("http://vestirebio.it/","vestirebio.it")</f>
        <v>vestirebio.it</v>
      </c>
      <c r="J2466" s="10">
        <v>1668.432</v>
      </c>
      <c r="K2466" s="10">
        <v>1668.432</v>
      </c>
      <c r="L2466" s="10">
        <v>1608.518</v>
      </c>
      <c r="M2466" s="10">
        <v>1.673</v>
      </c>
      <c r="N2466" s="10">
        <v>1.673</v>
      </c>
      <c r="O2466" s="10">
        <v>14.246</v>
      </c>
      <c r="P2466" s="10">
        <v>6</v>
      </c>
      <c r="Q2466" s="10">
        <v>6</v>
      </c>
      <c r="R2466" s="10">
        <v>8</v>
      </c>
    </row>
    <row r="2467" spans="1:18" ht="17" customHeight="1" x14ac:dyDescent="0.15">
      <c r="A2467" s="11" t="s">
        <v>13179</v>
      </c>
      <c r="B2467" s="1" t="s">
        <v>13180</v>
      </c>
      <c r="C2467" s="11" t="s">
        <v>13181</v>
      </c>
      <c r="D2467" s="11" t="s">
        <v>13181</v>
      </c>
      <c r="E2467" s="11" t="s">
        <v>13182</v>
      </c>
      <c r="F2467" s="11" t="s">
        <v>13183</v>
      </c>
      <c r="G2467" s="11" t="s">
        <v>13184</v>
      </c>
      <c r="H2467" s="11" t="s">
        <v>13178</v>
      </c>
      <c r="I2467" s="11" t="str">
        <f>HYPERLINK("http://www.socen.it/","www.socen.it")</f>
        <v>www.socen.it</v>
      </c>
      <c r="J2467" s="12">
        <v>1844.23</v>
      </c>
      <c r="K2467" s="12">
        <v>1844.23</v>
      </c>
      <c r="L2467" s="13">
        <v>1601.4010000000001</v>
      </c>
      <c r="M2467" s="12">
        <v>99.352999999999994</v>
      </c>
      <c r="N2467" s="12">
        <v>99.352999999999994</v>
      </c>
      <c r="O2467" s="12">
        <v>52.61</v>
      </c>
      <c r="P2467" s="12">
        <v>14</v>
      </c>
      <c r="Q2467" s="12">
        <v>14</v>
      </c>
      <c r="R2467" s="12">
        <v>16</v>
      </c>
    </row>
    <row r="2468" spans="1:18" ht="17" customHeight="1" x14ac:dyDescent="0.15">
      <c r="A2468" s="8" t="s">
        <v>13185</v>
      </c>
      <c r="B2468" s="9" t="s">
        <v>13186</v>
      </c>
      <c r="C2468" s="8" t="s">
        <v>13187</v>
      </c>
      <c r="D2468" s="8" t="s">
        <v>13188</v>
      </c>
      <c r="E2468" s="8" t="s">
        <v>13189</v>
      </c>
      <c r="F2468" s="8" t="s">
        <v>13190</v>
      </c>
      <c r="G2468" s="8" t="s">
        <v>13191</v>
      </c>
      <c r="H2468" s="8" t="s">
        <v>13192</v>
      </c>
      <c r="I2468" s="8" t="str">
        <f>HYPERLINK("http://www.maglificiopisani.it/","www.maglificiopisani.it")</f>
        <v>www.maglificiopisani.it</v>
      </c>
      <c r="J2468" s="10">
        <v>1323.634</v>
      </c>
      <c r="K2468" s="10">
        <v>1323.634</v>
      </c>
      <c r="L2468" s="10">
        <v>1600.9659999999999</v>
      </c>
      <c r="M2468" s="10">
        <v>4.1470000000000002</v>
      </c>
      <c r="N2468" s="10">
        <v>4.1470000000000002</v>
      </c>
      <c r="O2468" s="10">
        <v>52.948999999999998</v>
      </c>
      <c r="P2468" s="10">
        <v>26</v>
      </c>
      <c r="Q2468" s="10">
        <v>26</v>
      </c>
      <c r="R2468" s="10">
        <v>23</v>
      </c>
    </row>
    <row r="2469" spans="1:18" ht="17" customHeight="1" x14ac:dyDescent="0.15">
      <c r="A2469" s="11" t="s">
        <v>13193</v>
      </c>
      <c r="B2469" s="1" t="s">
        <v>13194</v>
      </c>
      <c r="C2469" s="11" t="s">
        <v>13195</v>
      </c>
      <c r="D2469" s="11" t="s">
        <v>13195</v>
      </c>
      <c r="E2469" s="11" t="s">
        <v>13196</v>
      </c>
      <c r="F2469" s="11" t="s">
        <v>13190</v>
      </c>
      <c r="G2469" s="11" t="s">
        <v>13197</v>
      </c>
      <c r="H2469" s="11" t="s">
        <v>13170</v>
      </c>
      <c r="I2469" s="11" t="str">
        <f>HYPERLINK("http://www.ftmmaglierie.it/","www.ftmmaglierie.it")</f>
        <v>www.ftmmaglierie.it</v>
      </c>
      <c r="J2469" s="12">
        <v>1043.491</v>
      </c>
      <c r="K2469" s="12">
        <v>1043.491</v>
      </c>
      <c r="L2469" s="13">
        <v>1600.585</v>
      </c>
      <c r="M2469" s="12">
        <v>132.595</v>
      </c>
      <c r="N2469" s="12">
        <v>132.595</v>
      </c>
      <c r="O2469" s="12">
        <v>79.997</v>
      </c>
      <c r="P2469" s="12">
        <v>3</v>
      </c>
      <c r="Q2469" s="12">
        <v>3</v>
      </c>
      <c r="R2469" s="12">
        <v>4</v>
      </c>
    </row>
    <row r="2470" spans="1:18" ht="29.5" customHeight="1" x14ac:dyDescent="0.15">
      <c r="A2470" s="8" t="s">
        <v>13198</v>
      </c>
      <c r="B2470" s="9" t="s">
        <v>13199</v>
      </c>
      <c r="C2470" s="8" t="s">
        <v>13200</v>
      </c>
      <c r="D2470" s="8" t="s">
        <v>13200</v>
      </c>
      <c r="E2470" s="8" t="s">
        <v>13201</v>
      </c>
      <c r="F2470" s="8" t="s">
        <v>13202</v>
      </c>
      <c r="G2470" s="8" t="s">
        <v>13203</v>
      </c>
      <c r="H2470" s="8" t="s">
        <v>13204</v>
      </c>
      <c r="I2470" s="8" t="str">
        <f>HYPERLINK("http://www.elenap.it/","www.elenap.it")</f>
        <v>www.elenap.it</v>
      </c>
      <c r="J2470" s="10">
        <v>1715.124</v>
      </c>
      <c r="K2470" s="10">
        <v>1715.124</v>
      </c>
      <c r="L2470" s="10">
        <v>1599.7239999999999</v>
      </c>
      <c r="M2470" s="10">
        <v>80.938000000000002</v>
      </c>
      <c r="N2470" s="10">
        <v>80.938000000000002</v>
      </c>
      <c r="O2470" s="10">
        <v>77.561000000000007</v>
      </c>
      <c r="P2470" s="10">
        <v>20</v>
      </c>
      <c r="Q2470" s="10">
        <v>20</v>
      </c>
      <c r="R2470" s="10">
        <v>16</v>
      </c>
    </row>
    <row r="2471" spans="1:18" ht="17" customHeight="1" x14ac:dyDescent="0.15">
      <c r="A2471" s="11" t="s">
        <v>13205</v>
      </c>
      <c r="B2471" s="1" t="s">
        <v>13206</v>
      </c>
      <c r="C2471" s="11" t="s">
        <v>13207</v>
      </c>
      <c r="D2471" s="11" t="s">
        <v>13207</v>
      </c>
      <c r="E2471" s="11" t="s">
        <v>13208</v>
      </c>
      <c r="F2471" s="11" t="s">
        <v>13209</v>
      </c>
      <c r="G2471" s="11" t="s">
        <v>13210</v>
      </c>
      <c r="H2471" s="11" t="s">
        <v>13192</v>
      </c>
      <c r="I2471" s="11" t="str">
        <f>HYPERLINK("http://tassomiele.com/","tassomiele.com")</f>
        <v>tassomiele.com</v>
      </c>
      <c r="J2471" s="12">
        <v>900.34900000000005</v>
      </c>
      <c r="K2471" s="12">
        <v>900.34900000000005</v>
      </c>
      <c r="L2471" s="13">
        <v>1597.6690000000001</v>
      </c>
      <c r="M2471" s="12">
        <v>17.405999999999999</v>
      </c>
      <c r="N2471" s="12">
        <v>17.405999999999999</v>
      </c>
      <c r="O2471" s="12">
        <v>32.625</v>
      </c>
      <c r="P2471" s="12">
        <v>25</v>
      </c>
      <c r="Q2471" s="12">
        <v>25</v>
      </c>
      <c r="R2471" s="12">
        <v>12</v>
      </c>
    </row>
    <row r="2472" spans="1:18" ht="17" customHeight="1" x14ac:dyDescent="0.15">
      <c r="A2472" s="8" t="s">
        <v>13211</v>
      </c>
      <c r="B2472" s="9" t="s">
        <v>13212</v>
      </c>
      <c r="C2472" s="8" t="s">
        <v>13213</v>
      </c>
      <c r="D2472" s="8" t="s">
        <v>13213</v>
      </c>
      <c r="E2472" s="8" t="s">
        <v>13214</v>
      </c>
      <c r="F2472" s="8" t="s">
        <v>13215</v>
      </c>
      <c r="G2472" s="8" t="s">
        <v>13216</v>
      </c>
      <c r="H2472" s="8" t="s">
        <v>13170</v>
      </c>
      <c r="I2472" s="8" t="str">
        <f>HYPERLINK("http://artigianipellettieri.it/","artigianipellettieri.it")</f>
        <v>artigianipellettieri.it</v>
      </c>
      <c r="J2472" s="10">
        <v>2386.2660000000001</v>
      </c>
      <c r="K2472" s="10">
        <v>2386.2660000000001</v>
      </c>
      <c r="L2472" s="10">
        <v>1597.124</v>
      </c>
      <c r="M2472" s="10">
        <v>3.3929999999999998</v>
      </c>
      <c r="N2472" s="10">
        <v>3.3929999999999998</v>
      </c>
      <c r="O2472" s="10">
        <v>-8.0519999999999996</v>
      </c>
      <c r="P2472" s="10">
        <v>29</v>
      </c>
      <c r="Q2472" s="10">
        <v>29</v>
      </c>
      <c r="R2472" s="10">
        <v>31</v>
      </c>
    </row>
    <row r="2473" spans="1:18" ht="17" customHeight="1" x14ac:dyDescent="0.15">
      <c r="A2473" s="11" t="s">
        <v>13217</v>
      </c>
      <c r="B2473" s="1" t="s">
        <v>13218</v>
      </c>
      <c r="C2473" s="11" t="s">
        <v>13219</v>
      </c>
      <c r="D2473" s="11" t="s">
        <v>13219</v>
      </c>
      <c r="E2473" s="11" t="s">
        <v>13220</v>
      </c>
      <c r="F2473" s="11" t="s">
        <v>13176</v>
      </c>
      <c r="G2473" s="11" t="s">
        <v>13221</v>
      </c>
      <c r="H2473" s="11" t="s">
        <v>13222</v>
      </c>
      <c r="I2473" s="11" t="str">
        <f>HYPERLINK("http://www.eurostrassitaly.com/","http://www.eurostrassitaly.com")</f>
        <v>http://www.eurostrassitaly.com</v>
      </c>
      <c r="J2473" s="12">
        <v>1303.0930000000001</v>
      </c>
      <c r="K2473" s="12">
        <v>1303.0930000000001</v>
      </c>
      <c r="L2473" s="13">
        <v>1596.9659999999999</v>
      </c>
      <c r="M2473" s="12">
        <v>140.952</v>
      </c>
      <c r="N2473" s="12">
        <v>140.952</v>
      </c>
      <c r="O2473" s="12">
        <v>125.836</v>
      </c>
      <c r="P2473" s="12">
        <v>9</v>
      </c>
      <c r="Q2473" s="12">
        <v>9</v>
      </c>
      <c r="R2473" s="12">
        <v>14</v>
      </c>
    </row>
    <row r="2474" spans="1:18" ht="17" customHeight="1" x14ac:dyDescent="0.15">
      <c r="A2474" s="8" t="s">
        <v>13223</v>
      </c>
      <c r="B2474" s="9" t="s">
        <v>13224</v>
      </c>
      <c r="C2474" s="8" t="s">
        <v>13225</v>
      </c>
      <c r="D2474" s="8" t="s">
        <v>13225</v>
      </c>
      <c r="E2474" s="8" t="s">
        <v>13226</v>
      </c>
      <c r="F2474" s="8" t="s">
        <v>13176</v>
      </c>
      <c r="G2474" s="8" t="s">
        <v>13227</v>
      </c>
      <c r="H2474" s="8" t="s">
        <v>13228</v>
      </c>
      <c r="I2474" s="8" t="str">
        <f>HYPERLINK("http://oxigym.it/","oxigym.it")</f>
        <v>oxigym.it</v>
      </c>
      <c r="J2474" s="10">
        <v>1427.1959999999999</v>
      </c>
      <c r="K2474" s="10">
        <v>1427.1959999999999</v>
      </c>
      <c r="L2474" s="10">
        <v>1592.9179999999999</v>
      </c>
      <c r="M2474" s="10">
        <v>38.884999999999998</v>
      </c>
      <c r="N2474" s="10">
        <v>38.884999999999998</v>
      </c>
      <c r="O2474" s="10">
        <v>121.19499999999999</v>
      </c>
      <c r="P2474" s="10">
        <v>27</v>
      </c>
      <c r="Q2474" s="10">
        <v>27</v>
      </c>
      <c r="R2474" s="10">
        <v>27</v>
      </c>
    </row>
    <row r="2475" spans="1:18" ht="17" customHeight="1" x14ac:dyDescent="0.15">
      <c r="A2475" s="11" t="s">
        <v>13229</v>
      </c>
      <c r="B2475" s="1" t="s">
        <v>13230</v>
      </c>
      <c r="C2475" s="11" t="s">
        <v>13231</v>
      </c>
      <c r="D2475" s="11" t="s">
        <v>13231</v>
      </c>
      <c r="E2475" s="11" t="s">
        <v>13232</v>
      </c>
      <c r="F2475" s="11" t="s">
        <v>13168</v>
      </c>
      <c r="G2475" s="11" t="s">
        <v>13233</v>
      </c>
      <c r="H2475" s="11" t="s">
        <v>13234</v>
      </c>
      <c r="I2475" s="11" t="str">
        <f>HYPERLINK("http://www.ribeclog.it/","www.ribeclog.it")</f>
        <v>www.ribeclog.it</v>
      </c>
      <c r="J2475" s="12">
        <v>1784.4739999999999</v>
      </c>
      <c r="K2475" s="12">
        <v>1784.4739999999999</v>
      </c>
      <c r="L2475" s="13">
        <v>1592.0619999999999</v>
      </c>
      <c r="M2475" s="12">
        <v>3.4060000000000001</v>
      </c>
      <c r="N2475" s="12">
        <v>3.4060000000000001</v>
      </c>
      <c r="O2475" s="12">
        <v>26.571000000000002</v>
      </c>
      <c r="P2475" s="12">
        <v>4</v>
      </c>
      <c r="Q2475" s="12">
        <v>4</v>
      </c>
      <c r="R2475" s="12">
        <v>4</v>
      </c>
    </row>
    <row r="2476" spans="1:18" ht="17" customHeight="1" x14ac:dyDescent="0.15">
      <c r="A2476" s="8" t="s">
        <v>13235</v>
      </c>
      <c r="B2476" s="9" t="s">
        <v>13236</v>
      </c>
      <c r="C2476" s="8" t="s">
        <v>13237</v>
      </c>
      <c r="D2476" s="8" t="s">
        <v>13237</v>
      </c>
      <c r="E2476" s="8" t="s">
        <v>13238</v>
      </c>
      <c r="F2476" s="8" t="s">
        <v>13239</v>
      </c>
      <c r="G2476" s="8" t="s">
        <v>13203</v>
      </c>
      <c r="H2476" s="8" t="s">
        <v>13204</v>
      </c>
      <c r="I2476" s="8" t="str">
        <f>HYPERLINK("http://www.autoresrl.it/","www.autoresrl.it")</f>
        <v>www.autoresrl.it</v>
      </c>
      <c r="J2476" s="10">
        <v>1536.9349999999999</v>
      </c>
      <c r="K2476" s="10">
        <v>1536.9349999999999</v>
      </c>
      <c r="L2476" s="10">
        <v>1591.5619999999999</v>
      </c>
      <c r="M2476" s="10">
        <v>14.772</v>
      </c>
      <c r="N2476" s="10">
        <v>14.772</v>
      </c>
      <c r="O2476" s="10">
        <v>20.748999999999999</v>
      </c>
      <c r="P2476" s="15" t="s">
        <v>13171</v>
      </c>
      <c r="Q2476" s="15" t="s">
        <v>13171</v>
      </c>
      <c r="R2476" s="10">
        <v>8</v>
      </c>
    </row>
    <row r="2477" spans="1:18" ht="17" customHeight="1" x14ac:dyDescent="0.15">
      <c r="A2477" s="11" t="s">
        <v>13240</v>
      </c>
      <c r="B2477" s="1" t="s">
        <v>13241</v>
      </c>
      <c r="C2477" s="11" t="s">
        <v>13242</v>
      </c>
      <c r="D2477" s="11" t="s">
        <v>13242</v>
      </c>
      <c r="E2477" s="11" t="s">
        <v>13243</v>
      </c>
      <c r="F2477" s="11" t="s">
        <v>13239</v>
      </c>
      <c r="G2477" s="11" t="s">
        <v>13244</v>
      </c>
      <c r="H2477" s="11" t="s">
        <v>13170</v>
      </c>
      <c r="I2477" s="11" t="str">
        <f>HYPERLINK("http://www.sartoriasemolini.it/","www.sartoriasemolini.it")</f>
        <v>www.sartoriasemolini.it</v>
      </c>
      <c r="J2477" s="12">
        <v>1774.5440000000001</v>
      </c>
      <c r="K2477" s="12">
        <v>1774.5440000000001</v>
      </c>
      <c r="L2477" s="13">
        <v>1591.046</v>
      </c>
      <c r="M2477" s="12">
        <v>-16.326000000000001</v>
      </c>
      <c r="N2477" s="12">
        <v>-16.326000000000001</v>
      </c>
      <c r="O2477" s="12">
        <v>2.415</v>
      </c>
      <c r="P2477" s="12">
        <v>13</v>
      </c>
      <c r="Q2477" s="12">
        <v>13</v>
      </c>
      <c r="R2477" s="12">
        <v>5</v>
      </c>
    </row>
    <row r="2478" spans="1:18" ht="17" customHeight="1" x14ac:dyDescent="0.15">
      <c r="A2478" s="8" t="s">
        <v>13245</v>
      </c>
      <c r="B2478" s="9" t="s">
        <v>13246</v>
      </c>
      <c r="C2478" s="8" t="s">
        <v>13247</v>
      </c>
      <c r="D2478" s="8" t="s">
        <v>13247</v>
      </c>
      <c r="E2478" s="8" t="s">
        <v>13248</v>
      </c>
      <c r="F2478" s="8" t="s">
        <v>13249</v>
      </c>
      <c r="G2478" s="8" t="s">
        <v>13250</v>
      </c>
      <c r="H2478" s="8" t="s">
        <v>13251</v>
      </c>
      <c r="I2478" s="8" t="str">
        <f>HYPERLINK("http://www.desta.it/","www.desta.it")</f>
        <v>www.desta.it</v>
      </c>
      <c r="J2478" s="10">
        <v>2158.0590000000002</v>
      </c>
      <c r="K2478" s="10">
        <v>2158.0590000000002</v>
      </c>
      <c r="L2478" s="10">
        <v>1589.586</v>
      </c>
      <c r="M2478" s="10">
        <v>119.76900000000001</v>
      </c>
      <c r="N2478" s="10">
        <v>119.76900000000001</v>
      </c>
      <c r="O2478" s="10">
        <v>83.349000000000004</v>
      </c>
      <c r="P2478" s="10">
        <v>20</v>
      </c>
      <c r="Q2478" s="10">
        <v>20</v>
      </c>
      <c r="R2478" s="10">
        <v>18</v>
      </c>
    </row>
    <row r="2479" spans="1:18" ht="17" customHeight="1" x14ac:dyDescent="0.15">
      <c r="A2479" s="11" t="s">
        <v>13252</v>
      </c>
      <c r="B2479" s="1" t="s">
        <v>13253</v>
      </c>
      <c r="C2479" s="11" t="s">
        <v>13254</v>
      </c>
      <c r="D2479" s="11" t="s">
        <v>13254</v>
      </c>
      <c r="E2479" s="11" t="s">
        <v>13255</v>
      </c>
      <c r="F2479" s="11" t="s">
        <v>13256</v>
      </c>
      <c r="G2479" s="11" t="s">
        <v>13257</v>
      </c>
      <c r="H2479" s="11" t="s">
        <v>13170</v>
      </c>
      <c r="I2479" s="11" t="str">
        <f>HYPERLINK("http://www.samuelecipriani.com/","www.samuelecipriani.com")</f>
        <v>www.samuelecipriani.com</v>
      </c>
      <c r="J2479" s="12">
        <v>1358.402</v>
      </c>
      <c r="K2479" s="12">
        <v>1358.402</v>
      </c>
      <c r="L2479" s="13">
        <v>1589.367</v>
      </c>
      <c r="M2479" s="12">
        <v>154.131</v>
      </c>
      <c r="N2479" s="12">
        <v>154.131</v>
      </c>
      <c r="O2479" s="12">
        <v>177.51300000000001</v>
      </c>
      <c r="P2479" s="12">
        <v>0</v>
      </c>
      <c r="Q2479" s="12">
        <v>0</v>
      </c>
      <c r="R2479" s="14" t="s">
        <v>13171</v>
      </c>
    </row>
    <row r="2480" spans="1:18" ht="17" customHeight="1" x14ac:dyDescent="0.15">
      <c r="A2480" s="8" t="s">
        <v>13258</v>
      </c>
      <c r="B2480" s="9" t="s">
        <v>13259</v>
      </c>
      <c r="C2480" s="8" t="s">
        <v>13260</v>
      </c>
      <c r="D2480" s="8" t="s">
        <v>13260</v>
      </c>
      <c r="E2480" s="8" t="s">
        <v>13261</v>
      </c>
      <c r="F2480" s="8" t="s">
        <v>13209</v>
      </c>
      <c r="G2480" s="8" t="s">
        <v>13262</v>
      </c>
      <c r="H2480" s="8" t="s">
        <v>13192</v>
      </c>
      <c r="I2480" s="8" t="str">
        <f>HYPERLINK("http://www.refec.it/","www.refec.it")</f>
        <v>www.refec.it</v>
      </c>
      <c r="J2480" s="10">
        <v>1802.18</v>
      </c>
      <c r="K2480" s="10">
        <v>1802.18</v>
      </c>
      <c r="L2480" s="10">
        <v>1588.8779999999999</v>
      </c>
      <c r="M2480" s="10">
        <v>6.1310000000000002</v>
      </c>
      <c r="N2480" s="10">
        <v>6.1310000000000002</v>
      </c>
      <c r="O2480" s="10">
        <v>32.661999999999999</v>
      </c>
      <c r="P2480" s="10">
        <v>13</v>
      </c>
      <c r="Q2480" s="10">
        <v>13</v>
      </c>
      <c r="R2480" s="10">
        <v>11</v>
      </c>
    </row>
    <row r="2481" spans="1:18" ht="17" customHeight="1" x14ac:dyDescent="0.15">
      <c r="A2481" s="11" t="s">
        <v>13263</v>
      </c>
      <c r="B2481" s="1" t="s">
        <v>13264</v>
      </c>
      <c r="C2481" s="11" t="s">
        <v>13265</v>
      </c>
      <c r="D2481" s="11" t="s">
        <v>13265</v>
      </c>
      <c r="E2481" s="11" t="s">
        <v>13266</v>
      </c>
      <c r="F2481" s="11" t="s">
        <v>13239</v>
      </c>
      <c r="G2481" s="11" t="s">
        <v>13267</v>
      </c>
      <c r="H2481" s="11" t="s">
        <v>13268</v>
      </c>
      <c r="I2481" s="11" t="str">
        <f>HYPERLINK("http://www.whitelabelcompany.it/","www.whitelabelcompany.it")</f>
        <v>www.whitelabelcompany.it</v>
      </c>
      <c r="J2481" s="12">
        <v>1447.393</v>
      </c>
      <c r="K2481" s="12">
        <v>1447.393</v>
      </c>
      <c r="L2481" s="13">
        <v>1587.943</v>
      </c>
      <c r="M2481" s="12">
        <v>7.0519999999999996</v>
      </c>
      <c r="N2481" s="12">
        <v>7.0519999999999996</v>
      </c>
      <c r="O2481" s="12">
        <v>28.556000000000001</v>
      </c>
      <c r="P2481" s="14" t="s">
        <v>13171</v>
      </c>
      <c r="Q2481" s="14" t="s">
        <v>13171</v>
      </c>
      <c r="R2481" s="12">
        <v>3</v>
      </c>
    </row>
    <row r="2482" spans="1:18" ht="17" customHeight="1" x14ac:dyDescent="0.15">
      <c r="A2482" s="8" t="s">
        <v>13269</v>
      </c>
      <c r="B2482" s="9" t="s">
        <v>13270</v>
      </c>
      <c r="C2482" s="8" t="s">
        <v>13271</v>
      </c>
      <c r="D2482" s="8" t="s">
        <v>13271</v>
      </c>
      <c r="E2482" s="8" t="s">
        <v>13272</v>
      </c>
      <c r="F2482" s="8" t="s">
        <v>13215</v>
      </c>
      <c r="G2482" s="8" t="s">
        <v>13273</v>
      </c>
      <c r="H2482" s="8" t="s">
        <v>13274</v>
      </c>
      <c r="I2482" s="8" t="str">
        <f>HYPERLINK("http://www.borgomarinopelle.com/","www.borgomarinopelle.com")</f>
        <v>www.borgomarinopelle.com</v>
      </c>
      <c r="J2482" s="10">
        <v>2162.4349999999999</v>
      </c>
      <c r="K2482" s="10">
        <v>2162.4349999999999</v>
      </c>
      <c r="L2482" s="10">
        <v>1587.0070000000001</v>
      </c>
      <c r="M2482" s="10">
        <v>187.59800000000001</v>
      </c>
      <c r="N2482" s="10">
        <v>187.59800000000001</v>
      </c>
      <c r="O2482" s="10">
        <v>26.986000000000001</v>
      </c>
      <c r="P2482" s="10">
        <v>10</v>
      </c>
      <c r="Q2482" s="10">
        <v>10</v>
      </c>
      <c r="R2482" s="10">
        <v>10</v>
      </c>
    </row>
    <row r="2483" spans="1:18" ht="17" customHeight="1" x14ac:dyDescent="0.15">
      <c r="A2483" s="11" t="s">
        <v>13275</v>
      </c>
      <c r="B2483" s="1" t="s">
        <v>13276</v>
      </c>
      <c r="C2483" s="11" t="s">
        <v>13277</v>
      </c>
      <c r="D2483" s="11" t="s">
        <v>13277</v>
      </c>
      <c r="E2483" s="11" t="s">
        <v>13278</v>
      </c>
      <c r="F2483" s="11" t="s">
        <v>13183</v>
      </c>
      <c r="G2483" s="11" t="s">
        <v>13169</v>
      </c>
      <c r="H2483" s="11" t="s">
        <v>13170</v>
      </c>
      <c r="I2483" s="11" t="str">
        <f>HYPERLINK("http://www.suolificioprincipe.it/","www.suolificioprincipe.it")</f>
        <v>www.suolificioprincipe.it</v>
      </c>
      <c r="J2483" s="12">
        <v>1986.498</v>
      </c>
      <c r="K2483" s="12">
        <v>1986.498</v>
      </c>
      <c r="L2483" s="13">
        <v>1586.06</v>
      </c>
      <c r="M2483" s="12">
        <v>7.4939999999999998</v>
      </c>
      <c r="N2483" s="12">
        <v>7.4939999999999998</v>
      </c>
      <c r="O2483" s="12">
        <v>31.175000000000001</v>
      </c>
      <c r="P2483" s="12">
        <v>11</v>
      </c>
      <c r="Q2483" s="12">
        <v>11</v>
      </c>
      <c r="R2483" s="12">
        <v>11</v>
      </c>
    </row>
    <row r="2484" spans="1:18" ht="17" customHeight="1" x14ac:dyDescent="0.15">
      <c r="A2484" s="8" t="s">
        <v>13279</v>
      </c>
      <c r="B2484" s="9" t="s">
        <v>13280</v>
      </c>
      <c r="C2484" s="8" t="s">
        <v>13281</v>
      </c>
      <c r="D2484" s="8" t="s">
        <v>13281</v>
      </c>
      <c r="E2484" s="8" t="s">
        <v>13282</v>
      </c>
      <c r="F2484" s="8" t="s">
        <v>13283</v>
      </c>
      <c r="G2484" s="8" t="s">
        <v>13284</v>
      </c>
      <c r="H2484" s="8" t="s">
        <v>13234</v>
      </c>
      <c r="I2484" s="8" t="str">
        <f>HYPERLINK("http://www.sglrossetto.com/","www.sglrossetto.com")</f>
        <v>www.sglrossetto.com</v>
      </c>
      <c r="J2484" s="10">
        <v>1721.4369999999999</v>
      </c>
      <c r="K2484" s="10">
        <v>1721.4369999999999</v>
      </c>
      <c r="L2484" s="10">
        <v>1584.5909999999999</v>
      </c>
      <c r="M2484" s="10">
        <v>20.713000000000001</v>
      </c>
      <c r="N2484" s="10">
        <v>20.713000000000001</v>
      </c>
      <c r="O2484" s="10">
        <v>13.746</v>
      </c>
      <c r="P2484" s="10">
        <v>26</v>
      </c>
      <c r="Q2484" s="10">
        <v>26</v>
      </c>
      <c r="R2484" s="10">
        <v>17</v>
      </c>
    </row>
    <row r="2485" spans="1:18" ht="17" customHeight="1" x14ac:dyDescent="0.15">
      <c r="A2485" s="11" t="s">
        <v>13285</v>
      </c>
      <c r="B2485" s="1" t="s">
        <v>13286</v>
      </c>
      <c r="C2485" s="11" t="s">
        <v>13287</v>
      </c>
      <c r="D2485" s="11" t="s">
        <v>13287</v>
      </c>
      <c r="E2485" s="11" t="s">
        <v>13288</v>
      </c>
      <c r="F2485" s="11" t="s">
        <v>13239</v>
      </c>
      <c r="G2485" s="11" t="s">
        <v>13289</v>
      </c>
      <c r="H2485" s="11" t="s">
        <v>13234</v>
      </c>
      <c r="I2485" s="11" t="str">
        <f>HYPERLINK("http://shop.shirtaporter.com/","shop.shirtaporter.com")</f>
        <v>shop.shirtaporter.com</v>
      </c>
      <c r="J2485" s="12">
        <v>1507.5920000000001</v>
      </c>
      <c r="K2485" s="12">
        <v>1507.5920000000001</v>
      </c>
      <c r="L2485" s="13">
        <v>1583.461</v>
      </c>
      <c r="M2485" s="12">
        <v>9.7810000000000006</v>
      </c>
      <c r="N2485" s="12">
        <v>9.7810000000000006</v>
      </c>
      <c r="O2485" s="12">
        <v>1.4319999999999999</v>
      </c>
      <c r="P2485" s="12">
        <v>4</v>
      </c>
      <c r="Q2485" s="12">
        <v>4</v>
      </c>
      <c r="R2485" s="12">
        <v>4</v>
      </c>
    </row>
    <row r="2486" spans="1:18" ht="43" customHeight="1" x14ac:dyDescent="0.15">
      <c r="A2486" s="8" t="s">
        <v>13290</v>
      </c>
      <c r="B2486" s="9" t="s">
        <v>13291</v>
      </c>
      <c r="C2486" s="8" t="s">
        <v>13292</v>
      </c>
      <c r="D2486" s="8" t="s">
        <v>13292</v>
      </c>
      <c r="E2486" s="8" t="s">
        <v>13293</v>
      </c>
      <c r="F2486" s="8" t="s">
        <v>13239</v>
      </c>
      <c r="G2486" s="8" t="s">
        <v>13294</v>
      </c>
      <c r="H2486" s="8" t="s">
        <v>13228</v>
      </c>
      <c r="I2486" s="8" t="str">
        <f>HYPERLINK("http://www.wmsummo.it/","www.wmsummo.it")</f>
        <v>www.wmsummo.it</v>
      </c>
      <c r="J2486" s="10">
        <v>1972.357</v>
      </c>
      <c r="K2486" s="10">
        <v>1972.357</v>
      </c>
      <c r="L2486" s="10">
        <v>1581.9090000000001</v>
      </c>
      <c r="M2486" s="10">
        <v>75.91</v>
      </c>
      <c r="N2486" s="10">
        <v>75.91</v>
      </c>
      <c r="O2486" s="10">
        <v>120.265</v>
      </c>
      <c r="P2486" s="10">
        <v>41</v>
      </c>
      <c r="Q2486" s="10">
        <v>41</v>
      </c>
      <c r="R2486" s="10">
        <v>39</v>
      </c>
    </row>
    <row r="2487" spans="1:18" ht="29.5" customHeight="1" x14ac:dyDescent="0.15">
      <c r="A2487" s="11" t="s">
        <v>13295</v>
      </c>
      <c r="B2487" s="1" t="s">
        <v>13296</v>
      </c>
      <c r="C2487" s="11" t="s">
        <v>13297</v>
      </c>
      <c r="D2487" s="11" t="s">
        <v>13297</v>
      </c>
      <c r="E2487" s="11" t="s">
        <v>13298</v>
      </c>
      <c r="F2487" s="11" t="s">
        <v>13168</v>
      </c>
      <c r="G2487" s="11" t="s">
        <v>13257</v>
      </c>
      <c r="H2487" s="11" t="s">
        <v>13170</v>
      </c>
      <c r="I2487" s="11" t="str">
        <f>HYPERLINK("http://www.nuovaarux.com/","http://www.nuovaarux.com")</f>
        <v>http://www.nuovaarux.com</v>
      </c>
      <c r="J2487" s="12">
        <v>1348.36</v>
      </c>
      <c r="K2487" s="12">
        <v>1348.36</v>
      </c>
      <c r="L2487" s="13">
        <v>1581.819</v>
      </c>
      <c r="M2487" s="12">
        <v>1.974</v>
      </c>
      <c r="N2487" s="12">
        <v>1.974</v>
      </c>
      <c r="O2487" s="12">
        <v>12.846</v>
      </c>
      <c r="P2487" s="14" t="s">
        <v>13171</v>
      </c>
      <c r="Q2487" s="14" t="s">
        <v>13171</v>
      </c>
      <c r="R2487" s="12">
        <v>8</v>
      </c>
    </row>
    <row r="2488" spans="1:18" ht="17" customHeight="1" x14ac:dyDescent="0.15">
      <c r="A2488" s="8" t="s">
        <v>13299</v>
      </c>
      <c r="B2488" s="9" t="s">
        <v>13300</v>
      </c>
      <c r="C2488" s="8" t="s">
        <v>13301</v>
      </c>
      <c r="D2488" s="8" t="s">
        <v>13301</v>
      </c>
      <c r="E2488" s="8" t="s">
        <v>13302</v>
      </c>
      <c r="F2488" s="8" t="s">
        <v>13209</v>
      </c>
      <c r="G2488" s="8" t="s">
        <v>13284</v>
      </c>
      <c r="H2488" s="8" t="s">
        <v>13234</v>
      </c>
      <c r="I2488" s="8" t="str">
        <f>HYPERLINK("http://www.asoloflex.com/","www.asoloflex.com")</f>
        <v>www.asoloflex.com</v>
      </c>
      <c r="J2488" s="10">
        <v>1258.21</v>
      </c>
      <c r="K2488" s="10">
        <v>1258.21</v>
      </c>
      <c r="L2488" s="10">
        <v>1581.576</v>
      </c>
      <c r="M2488" s="10">
        <v>11.026999999999999</v>
      </c>
      <c r="N2488" s="10">
        <v>11.026999999999999</v>
      </c>
      <c r="O2488" s="10">
        <v>4.9909999999999997</v>
      </c>
      <c r="P2488" s="10">
        <v>0</v>
      </c>
      <c r="Q2488" s="10">
        <v>0</v>
      </c>
      <c r="R2488" s="10">
        <v>2</v>
      </c>
    </row>
    <row r="2489" spans="1:18" ht="17" customHeight="1" x14ac:dyDescent="0.15">
      <c r="A2489" s="11" t="s">
        <v>13303</v>
      </c>
      <c r="B2489" s="1" t="s">
        <v>13304</v>
      </c>
      <c r="C2489" s="11" t="s">
        <v>13305</v>
      </c>
      <c r="D2489" s="11" t="s">
        <v>13305</v>
      </c>
      <c r="E2489" s="11" t="s">
        <v>13306</v>
      </c>
      <c r="F2489" s="11" t="s">
        <v>13307</v>
      </c>
      <c r="G2489" s="11" t="s">
        <v>13308</v>
      </c>
      <c r="H2489" s="11" t="s">
        <v>13170</v>
      </c>
      <c r="I2489" s="11" t="str">
        <f>HYPERLINK("http://www.sartoriacarrara.com/","www.sartoriacarrara.com")</f>
        <v>www.sartoriacarrara.com</v>
      </c>
      <c r="J2489" s="12">
        <v>1725.3050000000001</v>
      </c>
      <c r="K2489" s="12">
        <v>1725.3050000000001</v>
      </c>
      <c r="L2489" s="13">
        <v>1580.6030000000001</v>
      </c>
      <c r="M2489" s="12">
        <v>31.846</v>
      </c>
      <c r="N2489" s="12">
        <v>31.846</v>
      </c>
      <c r="O2489" s="12">
        <v>16.391999999999999</v>
      </c>
      <c r="P2489" s="14" t="s">
        <v>13171</v>
      </c>
      <c r="Q2489" s="14" t="s">
        <v>13171</v>
      </c>
      <c r="R2489" s="12">
        <v>36</v>
      </c>
    </row>
    <row r="2490" spans="1:18" ht="17" customHeight="1" x14ac:dyDescent="0.15">
      <c r="A2490" s="8" t="s">
        <v>13309</v>
      </c>
      <c r="B2490" s="9" t="s">
        <v>13310</v>
      </c>
      <c r="C2490" s="8" t="s">
        <v>13311</v>
      </c>
      <c r="D2490" s="8" t="s">
        <v>13311</v>
      </c>
      <c r="E2490" s="8" t="s">
        <v>13312</v>
      </c>
      <c r="F2490" s="8" t="s">
        <v>13313</v>
      </c>
      <c r="G2490" s="8" t="s">
        <v>13314</v>
      </c>
      <c r="H2490" s="8" t="s">
        <v>13222</v>
      </c>
      <c r="I2490" s="8" t="str">
        <f>HYPERLINK("http://www.cashmeregs.it/","www.cashmeregs.it")</f>
        <v>www.cashmeregs.it</v>
      </c>
      <c r="J2490" s="10">
        <v>1576.941</v>
      </c>
      <c r="K2490" s="10">
        <v>1576.941</v>
      </c>
      <c r="L2490" s="10">
        <v>1579.5830000000001</v>
      </c>
      <c r="M2490" s="10">
        <v>71.194999999999993</v>
      </c>
      <c r="N2490" s="10">
        <v>71.194999999999993</v>
      </c>
      <c r="O2490" s="10">
        <v>57.024999999999999</v>
      </c>
      <c r="P2490" s="10">
        <v>12</v>
      </c>
      <c r="Q2490" s="10">
        <v>12</v>
      </c>
      <c r="R2490" s="10">
        <v>9</v>
      </c>
    </row>
    <row r="2491" spans="1:18" ht="17" customHeight="1" x14ac:dyDescent="0.15">
      <c r="A2491" s="11" t="s">
        <v>13315</v>
      </c>
      <c r="B2491" s="1" t="s">
        <v>13316</v>
      </c>
      <c r="C2491" s="11" t="s">
        <v>13317</v>
      </c>
      <c r="D2491" s="11" t="s">
        <v>13317</v>
      </c>
      <c r="E2491" s="11" t="s">
        <v>13318</v>
      </c>
      <c r="F2491" s="11" t="s">
        <v>13215</v>
      </c>
      <c r="G2491" s="11" t="s">
        <v>13169</v>
      </c>
      <c r="H2491" s="11" t="s">
        <v>13170</v>
      </c>
      <c r="I2491" s="11" t="str">
        <f>HYPERLINK("http://cerbai.it/","cerbai.it")</f>
        <v>cerbai.it</v>
      </c>
      <c r="J2491" s="12">
        <v>1229.614</v>
      </c>
      <c r="K2491" s="12">
        <v>1229.614</v>
      </c>
      <c r="L2491" s="13">
        <v>1577.7380000000001</v>
      </c>
      <c r="M2491" s="12">
        <v>1.212</v>
      </c>
      <c r="N2491" s="12">
        <v>1.212</v>
      </c>
      <c r="O2491" s="12">
        <v>20.684999999999999</v>
      </c>
      <c r="P2491" s="12">
        <v>20</v>
      </c>
      <c r="Q2491" s="12">
        <v>20</v>
      </c>
      <c r="R2491" s="12">
        <v>16</v>
      </c>
    </row>
    <row r="2492" spans="1:18" ht="17" customHeight="1" x14ac:dyDescent="0.15">
      <c r="A2492" s="8" t="s">
        <v>13319</v>
      </c>
      <c r="B2492" s="9" t="s">
        <v>13320</v>
      </c>
      <c r="C2492" s="8" t="s">
        <v>13321</v>
      </c>
      <c r="D2492" s="8" t="s">
        <v>13321</v>
      </c>
      <c r="E2492" s="8" t="s">
        <v>13322</v>
      </c>
      <c r="F2492" s="8" t="s">
        <v>13307</v>
      </c>
      <c r="G2492" s="8" t="s">
        <v>13267</v>
      </c>
      <c r="H2492" s="8" t="s">
        <v>13268</v>
      </c>
      <c r="I2492" s="8" t="str">
        <f>HYPERLINK("http://www.sartoriamamac.it/","www.sartoriamamac.it")</f>
        <v>www.sartoriamamac.it</v>
      </c>
      <c r="J2492" s="10">
        <v>1870.126</v>
      </c>
      <c r="K2492" s="10">
        <v>1870.126</v>
      </c>
      <c r="L2492" s="10">
        <v>1577.462</v>
      </c>
      <c r="M2492" s="10">
        <v>99.611000000000004</v>
      </c>
      <c r="N2492" s="10">
        <v>99.611000000000004</v>
      </c>
      <c r="O2492" s="10">
        <v>68.953999999999994</v>
      </c>
      <c r="P2492" s="10">
        <v>26</v>
      </c>
      <c r="Q2492" s="10">
        <v>26</v>
      </c>
      <c r="R2492" s="10">
        <v>18</v>
      </c>
    </row>
    <row r="2493" spans="1:18" ht="17" customHeight="1" x14ac:dyDescent="0.15">
      <c r="A2493" s="11" t="s">
        <v>13323</v>
      </c>
      <c r="B2493" s="1" t="s">
        <v>13324</v>
      </c>
      <c r="C2493" s="11" t="s">
        <v>13325</v>
      </c>
      <c r="D2493" s="11" t="s">
        <v>13325</v>
      </c>
      <c r="E2493" s="11" t="s">
        <v>13326</v>
      </c>
      <c r="F2493" s="11" t="s">
        <v>13239</v>
      </c>
      <c r="G2493" s="11" t="s">
        <v>13284</v>
      </c>
      <c r="H2493" s="11" t="s">
        <v>13234</v>
      </c>
      <c r="I2493" s="11" t="str">
        <f>HYPERLINK("http://www.sartorebros.it/","www.sartorebros.it")</f>
        <v>www.sartorebros.it</v>
      </c>
      <c r="J2493" s="12">
        <v>1577.3989999999999</v>
      </c>
      <c r="K2493" s="14" t="s">
        <v>13171</v>
      </c>
      <c r="L2493" s="13">
        <v>1577.3989999999999</v>
      </c>
      <c r="M2493" s="12">
        <v>9.48</v>
      </c>
      <c r="N2493" s="14" t="s">
        <v>13171</v>
      </c>
      <c r="O2493" s="12">
        <v>9.48</v>
      </c>
      <c r="P2493" s="12">
        <v>39</v>
      </c>
      <c r="Q2493" s="14" t="s">
        <v>13171</v>
      </c>
      <c r="R2493" s="12">
        <v>39</v>
      </c>
    </row>
    <row r="2494" spans="1:18" ht="17" customHeight="1" x14ac:dyDescent="0.15">
      <c r="A2494" s="8" t="s">
        <v>13327</v>
      </c>
      <c r="B2494" s="9" t="s">
        <v>13328</v>
      </c>
      <c r="C2494" s="8" t="s">
        <v>13329</v>
      </c>
      <c r="D2494" s="8" t="s">
        <v>13329</v>
      </c>
      <c r="E2494" s="8" t="s">
        <v>13330</v>
      </c>
      <c r="F2494" s="8" t="s">
        <v>13239</v>
      </c>
      <c r="G2494" s="8" t="s">
        <v>13267</v>
      </c>
      <c r="H2494" s="8" t="s">
        <v>13268</v>
      </c>
      <c r="I2494" s="8" t="str">
        <f>HYPERLINK("http://titolo30.com/","titolo30.com")</f>
        <v>titolo30.com</v>
      </c>
      <c r="J2494" s="10">
        <v>1912.8710000000001</v>
      </c>
      <c r="K2494" s="10">
        <v>1912.8710000000001</v>
      </c>
      <c r="L2494" s="10">
        <v>1574.2059999999999</v>
      </c>
      <c r="M2494" s="10">
        <v>25.847999999999999</v>
      </c>
      <c r="N2494" s="10">
        <v>25.847999999999999</v>
      </c>
      <c r="O2494" s="10">
        <v>30.512</v>
      </c>
      <c r="P2494" s="10">
        <v>1</v>
      </c>
      <c r="Q2494" s="10">
        <v>1</v>
      </c>
      <c r="R2494" s="10">
        <v>11</v>
      </c>
    </row>
    <row r="2495" spans="1:18" ht="17" customHeight="1" x14ac:dyDescent="0.15">
      <c r="A2495" s="11" t="s">
        <v>13331</v>
      </c>
      <c r="B2495" s="1" t="s">
        <v>13332</v>
      </c>
      <c r="C2495" s="11" t="s">
        <v>13333</v>
      </c>
      <c r="D2495" s="11" t="s">
        <v>13333</v>
      </c>
      <c r="E2495" s="11" t="s">
        <v>13334</v>
      </c>
      <c r="F2495" s="11" t="s">
        <v>13183</v>
      </c>
      <c r="G2495" s="11" t="s">
        <v>13335</v>
      </c>
      <c r="H2495" s="11" t="s">
        <v>13178</v>
      </c>
      <c r="I2495" s="11" t="str">
        <f>HYPERLINK("http://www.suolificioag.it/","www.suolificioag.it")</f>
        <v>www.suolificioag.it</v>
      </c>
      <c r="J2495" s="12">
        <v>1366.4939999999999</v>
      </c>
      <c r="K2495" s="12">
        <v>1366.4939999999999</v>
      </c>
      <c r="L2495" s="13">
        <v>1574.049</v>
      </c>
      <c r="M2495" s="12">
        <v>32.953000000000003</v>
      </c>
      <c r="N2495" s="12">
        <v>32.953000000000003</v>
      </c>
      <c r="O2495" s="12">
        <v>42.847999999999999</v>
      </c>
      <c r="P2495" s="14" t="s">
        <v>13171</v>
      </c>
      <c r="Q2495" s="14" t="s">
        <v>13171</v>
      </c>
      <c r="R2495" s="12">
        <v>9</v>
      </c>
    </row>
    <row r="2496" spans="1:18" ht="29.5" customHeight="1" x14ac:dyDescent="0.15">
      <c r="A2496" s="8" t="s">
        <v>13336</v>
      </c>
      <c r="B2496" s="9" t="s">
        <v>13337</v>
      </c>
      <c r="C2496" s="8" t="s">
        <v>13338</v>
      </c>
      <c r="D2496" s="8" t="s">
        <v>13338</v>
      </c>
      <c r="E2496" s="8" t="s">
        <v>13339</v>
      </c>
      <c r="F2496" s="8" t="s">
        <v>13340</v>
      </c>
      <c r="G2496" s="8" t="s">
        <v>13341</v>
      </c>
      <c r="H2496" s="8" t="s">
        <v>13342</v>
      </c>
      <c r="I2496" s="8" t="str">
        <f>HYPERLINK("http://www.calzegm.com/","www.calzegm.com")</f>
        <v>www.calzegm.com</v>
      </c>
      <c r="J2496" s="10">
        <v>1337.2260000000001</v>
      </c>
      <c r="K2496" s="10">
        <v>1337.2260000000001</v>
      </c>
      <c r="L2496" s="10">
        <v>1571.1880000000001</v>
      </c>
      <c r="M2496" s="10">
        <v>12.308</v>
      </c>
      <c r="N2496" s="10">
        <v>12.308</v>
      </c>
      <c r="O2496" s="10">
        <v>195.91900000000001</v>
      </c>
      <c r="P2496" s="10">
        <v>3</v>
      </c>
      <c r="Q2496" s="10">
        <v>3</v>
      </c>
      <c r="R2496" s="10">
        <v>3</v>
      </c>
    </row>
    <row r="2497" spans="1:18" ht="17" customHeight="1" x14ac:dyDescent="0.15">
      <c r="A2497" s="11" t="s">
        <v>13343</v>
      </c>
      <c r="B2497" s="1" t="s">
        <v>13344</v>
      </c>
      <c r="C2497" s="11" t="s">
        <v>13345</v>
      </c>
      <c r="D2497" s="11" t="s">
        <v>13345</v>
      </c>
      <c r="E2497" s="11" t="s">
        <v>13346</v>
      </c>
      <c r="F2497" s="11" t="s">
        <v>13347</v>
      </c>
      <c r="G2497" s="11" t="s">
        <v>13348</v>
      </c>
      <c r="H2497" s="11" t="s">
        <v>13349</v>
      </c>
      <c r="I2497" s="11" t="str">
        <f>HYPERLINK("http://www.wearbiotex.com/","www.wearbiotex.com")</f>
        <v>www.wearbiotex.com</v>
      </c>
      <c r="J2497" s="12">
        <v>1474.973</v>
      </c>
      <c r="K2497" s="12">
        <v>1474.973</v>
      </c>
      <c r="L2497" s="13">
        <v>1569.5920000000001</v>
      </c>
      <c r="M2497" s="12">
        <v>107.17100000000001</v>
      </c>
      <c r="N2497" s="12">
        <v>107.17100000000001</v>
      </c>
      <c r="O2497" s="12">
        <v>125.01600000000001</v>
      </c>
      <c r="P2497" s="12">
        <v>10</v>
      </c>
      <c r="Q2497" s="12">
        <v>10</v>
      </c>
      <c r="R2497" s="12">
        <v>11</v>
      </c>
    </row>
    <row r="2498" spans="1:18" ht="29.5" customHeight="1" x14ac:dyDescent="0.15">
      <c r="A2498" s="8" t="s">
        <v>13350</v>
      </c>
      <c r="B2498" s="9" t="s">
        <v>13351</v>
      </c>
      <c r="C2498" s="8" t="s">
        <v>13352</v>
      </c>
      <c r="D2498" s="8" t="s">
        <v>13352</v>
      </c>
      <c r="E2498" s="8" t="s">
        <v>13353</v>
      </c>
      <c r="F2498" s="8" t="s">
        <v>13354</v>
      </c>
      <c r="G2498" s="8" t="s">
        <v>13355</v>
      </c>
      <c r="H2498" s="8" t="s">
        <v>13356</v>
      </c>
      <c r="I2498" s="8" t="str">
        <f>HYPERLINK("http://bestgroupaccessori.it/","bestgroupaccessori.it")</f>
        <v>bestgroupaccessori.it</v>
      </c>
      <c r="J2498" s="10">
        <v>1546.9459999999999</v>
      </c>
      <c r="K2498" s="10">
        <v>1546.9459999999999</v>
      </c>
      <c r="L2498" s="10">
        <v>1568.72</v>
      </c>
      <c r="M2498" s="10">
        <v>3.6080000000000001</v>
      </c>
      <c r="N2498" s="10">
        <v>3.6080000000000001</v>
      </c>
      <c r="O2498" s="10">
        <v>-3.1150000000000002</v>
      </c>
      <c r="P2498" s="10">
        <v>7</v>
      </c>
      <c r="Q2498" s="10">
        <v>7</v>
      </c>
      <c r="R2498" s="10">
        <v>8</v>
      </c>
    </row>
    <row r="2499" spans="1:18" ht="17" customHeight="1" x14ac:dyDescent="0.15">
      <c r="A2499" s="11" t="s">
        <v>13357</v>
      </c>
      <c r="B2499" s="1" t="s">
        <v>13358</v>
      </c>
      <c r="C2499" s="11" t="s">
        <v>13359</v>
      </c>
      <c r="D2499" s="11" t="s">
        <v>13359</v>
      </c>
      <c r="E2499" s="11" t="s">
        <v>13360</v>
      </c>
      <c r="F2499" s="11" t="s">
        <v>13361</v>
      </c>
      <c r="G2499" s="11" t="s">
        <v>13362</v>
      </c>
      <c r="H2499" s="11" t="s">
        <v>13363</v>
      </c>
      <c r="I2499" s="11" t="str">
        <f>HYPERLINK("http://bottegachilometrizero.com/","bottegachilometrizero.com")</f>
        <v>bottegachilometrizero.com</v>
      </c>
      <c r="J2499" s="12">
        <v>1804.0909999999999</v>
      </c>
      <c r="K2499" s="12">
        <v>1804.0909999999999</v>
      </c>
      <c r="L2499" s="13">
        <v>1568.3109999999999</v>
      </c>
      <c r="M2499" s="12">
        <v>44.582999999999998</v>
      </c>
      <c r="N2499" s="12">
        <v>44.582999999999998</v>
      </c>
      <c r="O2499" s="12">
        <v>14.166</v>
      </c>
      <c r="P2499" s="12">
        <v>5</v>
      </c>
      <c r="Q2499" s="12">
        <v>5</v>
      </c>
      <c r="R2499" s="12">
        <v>7</v>
      </c>
    </row>
    <row r="2500" spans="1:18" ht="17" customHeight="1" x14ac:dyDescent="0.15">
      <c r="A2500" s="8" t="s">
        <v>13364</v>
      </c>
      <c r="B2500" s="9" t="s">
        <v>13365</v>
      </c>
      <c r="C2500" s="8" t="s">
        <v>13366</v>
      </c>
      <c r="D2500" s="8" t="s">
        <v>13367</v>
      </c>
      <c r="E2500" s="8" t="s">
        <v>13368</v>
      </c>
      <c r="F2500" s="8" t="s">
        <v>13369</v>
      </c>
      <c r="G2500" s="8" t="s">
        <v>13370</v>
      </c>
      <c r="H2500" s="8" t="s">
        <v>13371</v>
      </c>
      <c r="I2500" s="8" t="str">
        <f>HYPERLINK("http://www.castellaridiffusion.com/","www.castellaridiffusion.com")</f>
        <v>www.castellaridiffusion.com</v>
      </c>
      <c r="J2500" s="10">
        <v>1821.838</v>
      </c>
      <c r="K2500" s="10">
        <v>1821.838</v>
      </c>
      <c r="L2500" s="10">
        <v>1567.5440000000001</v>
      </c>
      <c r="M2500" s="10">
        <v>1.0740000000000001</v>
      </c>
      <c r="N2500" s="10">
        <v>1.0740000000000001</v>
      </c>
      <c r="O2500" s="10">
        <v>2.5830000000000002</v>
      </c>
      <c r="P2500" s="10">
        <v>0</v>
      </c>
      <c r="Q2500" s="10">
        <v>0</v>
      </c>
      <c r="R2500" s="10">
        <v>0</v>
      </c>
    </row>
    <row r="2501" spans="1:18" ht="17" customHeight="1" x14ac:dyDescent="0.15">
      <c r="A2501" s="11" t="s">
        <v>13372</v>
      </c>
      <c r="B2501" s="1" t="s">
        <v>13373</v>
      </c>
      <c r="C2501" s="11" t="s">
        <v>13374</v>
      </c>
      <c r="D2501" s="11" t="s">
        <v>13374</v>
      </c>
      <c r="E2501" s="11" t="s">
        <v>13375</v>
      </c>
      <c r="F2501" s="11" t="s">
        <v>13376</v>
      </c>
      <c r="G2501" s="11" t="s">
        <v>13377</v>
      </c>
      <c r="H2501" s="11" t="s">
        <v>13356</v>
      </c>
      <c r="I2501" s="11" t="str">
        <f>HYPERLINK("http://www.pasquinicalzature.it/","www.pasquinicalzature.it")</f>
        <v>www.pasquinicalzature.it</v>
      </c>
      <c r="J2501" s="12">
        <v>1398.991</v>
      </c>
      <c r="K2501" s="12">
        <v>1439.011</v>
      </c>
      <c r="L2501" s="13">
        <v>1563.5409999999999</v>
      </c>
      <c r="M2501" s="12">
        <v>10.814</v>
      </c>
      <c r="N2501" s="12">
        <v>-88.658000000000001</v>
      </c>
      <c r="O2501" s="12">
        <v>13.382</v>
      </c>
      <c r="P2501" s="14" t="s">
        <v>13378</v>
      </c>
      <c r="Q2501" s="12">
        <v>13</v>
      </c>
      <c r="R2501" s="12">
        <v>12</v>
      </c>
    </row>
    <row r="2502" spans="1:18" ht="17" customHeight="1" x14ac:dyDescent="0.15">
      <c r="A2502" s="8" t="s">
        <v>13379</v>
      </c>
      <c r="B2502" s="9" t="s">
        <v>13380</v>
      </c>
      <c r="C2502" s="8" t="s">
        <v>13381</v>
      </c>
      <c r="D2502" s="8" t="s">
        <v>13381</v>
      </c>
      <c r="E2502" s="8" t="s">
        <v>13382</v>
      </c>
      <c r="F2502" s="8" t="s">
        <v>13383</v>
      </c>
      <c r="G2502" s="8" t="s">
        <v>13384</v>
      </c>
      <c r="H2502" s="8" t="s">
        <v>13385</v>
      </c>
      <c r="I2502" s="8" t="str">
        <f>HYPERLINK("http://www.camiceriacarucci.it/","www.camiceriacarucci.it")</f>
        <v>www.camiceriacarucci.it</v>
      </c>
      <c r="J2502" s="10">
        <v>1608.462</v>
      </c>
      <c r="K2502" s="10">
        <v>1608.462</v>
      </c>
      <c r="L2502" s="10">
        <v>1560.501</v>
      </c>
      <c r="M2502" s="10">
        <v>84.415000000000006</v>
      </c>
      <c r="N2502" s="10">
        <v>84.415000000000006</v>
      </c>
      <c r="O2502" s="10">
        <v>54.994</v>
      </c>
      <c r="P2502" s="10">
        <v>42</v>
      </c>
      <c r="Q2502" s="10">
        <v>42</v>
      </c>
      <c r="R2502" s="10">
        <v>41</v>
      </c>
    </row>
    <row r="2503" spans="1:18" ht="17" customHeight="1" x14ac:dyDescent="0.15">
      <c r="A2503" s="11" t="s">
        <v>13386</v>
      </c>
      <c r="B2503" s="1" t="s">
        <v>13387</v>
      </c>
      <c r="C2503" s="11" t="s">
        <v>13388</v>
      </c>
      <c r="D2503" s="11" t="s">
        <v>13388</v>
      </c>
      <c r="E2503" s="11" t="s">
        <v>13389</v>
      </c>
      <c r="F2503" s="11" t="s">
        <v>13383</v>
      </c>
      <c r="G2503" s="11" t="s">
        <v>13390</v>
      </c>
      <c r="H2503" s="11" t="s">
        <v>13356</v>
      </c>
      <c r="I2503" s="11" t="str">
        <f>HYPERLINK("http://www.clubvoltaire.it/","www.clubvoltaire.it")</f>
        <v>www.clubvoltaire.it</v>
      </c>
      <c r="J2503" s="12">
        <v>1873.2929999999999</v>
      </c>
      <c r="K2503" s="12">
        <v>1873.2929999999999</v>
      </c>
      <c r="L2503" s="13">
        <v>1558.3779999999999</v>
      </c>
      <c r="M2503" s="12">
        <v>41.384</v>
      </c>
      <c r="N2503" s="12">
        <v>41.384</v>
      </c>
      <c r="O2503" s="12">
        <v>48.84</v>
      </c>
      <c r="P2503" s="12">
        <v>9</v>
      </c>
      <c r="Q2503" s="12">
        <v>9</v>
      </c>
      <c r="R2503" s="12">
        <v>9</v>
      </c>
    </row>
    <row r="2504" spans="1:18" ht="17" customHeight="1" x14ac:dyDescent="0.15">
      <c r="A2504" s="8" t="s">
        <v>13391</v>
      </c>
      <c r="B2504" s="9" t="s">
        <v>13392</v>
      </c>
      <c r="C2504" s="8" t="s">
        <v>13393</v>
      </c>
      <c r="D2504" s="8" t="s">
        <v>13393</v>
      </c>
      <c r="E2504" s="8" t="s">
        <v>13394</v>
      </c>
      <c r="F2504" s="8" t="s">
        <v>13395</v>
      </c>
      <c r="G2504" s="8" t="s">
        <v>13362</v>
      </c>
      <c r="H2504" s="8" t="s">
        <v>13363</v>
      </c>
      <c r="I2504" s="8" t="str">
        <f>HYPERLINK("http://martinaleathers.com/","martinaleathers.com")</f>
        <v>martinaleathers.com</v>
      </c>
      <c r="J2504" s="10">
        <v>1295.954</v>
      </c>
      <c r="K2504" s="10">
        <v>1295.954</v>
      </c>
      <c r="L2504" s="10">
        <v>1558.4079999999999</v>
      </c>
      <c r="M2504" s="10">
        <v>8.657</v>
      </c>
      <c r="N2504" s="10">
        <v>8.657</v>
      </c>
      <c r="O2504" s="10">
        <v>4.3780000000000001</v>
      </c>
      <c r="P2504" s="10">
        <v>6</v>
      </c>
      <c r="Q2504" s="10">
        <v>6</v>
      </c>
      <c r="R2504" s="10">
        <v>7</v>
      </c>
    </row>
    <row r="2505" spans="1:18" ht="29.5" customHeight="1" x14ac:dyDescent="0.15">
      <c r="A2505" s="11" t="s">
        <v>13396</v>
      </c>
      <c r="B2505" s="1" t="s">
        <v>13397</v>
      </c>
      <c r="C2505" s="11" t="s">
        <v>13398</v>
      </c>
      <c r="D2505" s="11" t="s">
        <v>13398</v>
      </c>
      <c r="E2505" s="11" t="s">
        <v>13399</v>
      </c>
      <c r="F2505" s="11" t="s">
        <v>13354</v>
      </c>
      <c r="G2505" s="11" t="s">
        <v>13400</v>
      </c>
      <c r="H2505" s="11" t="s">
        <v>13356</v>
      </c>
      <c r="I2505" s="11" t="str">
        <f>HYPERLINK("http://pelletterie-foti.it/","pelletterie-foti.it")</f>
        <v>pelletterie-foti.it</v>
      </c>
      <c r="J2505" s="12">
        <v>2032.91</v>
      </c>
      <c r="K2505" s="12">
        <v>2032.91</v>
      </c>
      <c r="L2505" s="13">
        <v>1558.163</v>
      </c>
      <c r="M2505" s="12">
        <v>249.988</v>
      </c>
      <c r="N2505" s="12">
        <v>249.988</v>
      </c>
      <c r="O2505" s="12">
        <v>73.614999999999995</v>
      </c>
      <c r="P2505" s="12">
        <v>26</v>
      </c>
      <c r="Q2505" s="12">
        <v>26</v>
      </c>
      <c r="R2505" s="12">
        <v>22</v>
      </c>
    </row>
    <row r="2506" spans="1:18" ht="17" customHeight="1" x14ac:dyDescent="0.15">
      <c r="A2506" s="8" t="s">
        <v>13401</v>
      </c>
      <c r="B2506" s="9" t="s">
        <v>13402</v>
      </c>
      <c r="C2506" s="8" t="s">
        <v>13403</v>
      </c>
      <c r="D2506" s="8" t="s">
        <v>13403</v>
      </c>
      <c r="E2506" s="8" t="s">
        <v>13404</v>
      </c>
      <c r="F2506" s="8" t="s">
        <v>13405</v>
      </c>
      <c r="G2506" s="8" t="s">
        <v>13406</v>
      </c>
      <c r="H2506" s="8" t="s">
        <v>13407</v>
      </c>
      <c r="I2506" s="8" t="str">
        <f>HYPERLINK("http://www.duecci-srl.it/","www.duecci-srl.it")</f>
        <v>www.duecci-srl.it</v>
      </c>
      <c r="J2506" s="10">
        <v>1451.3589999999999</v>
      </c>
      <c r="K2506" s="10">
        <v>1451.3589999999999</v>
      </c>
      <c r="L2506" s="10">
        <v>1555.7639999999999</v>
      </c>
      <c r="M2506" s="10">
        <v>75.331999999999994</v>
      </c>
      <c r="N2506" s="10">
        <v>75.331999999999994</v>
      </c>
      <c r="O2506" s="10">
        <v>39.761000000000003</v>
      </c>
      <c r="P2506" s="10">
        <v>14</v>
      </c>
      <c r="Q2506" s="10">
        <v>14</v>
      </c>
      <c r="R2506" s="10">
        <v>12</v>
      </c>
    </row>
    <row r="2507" spans="1:18" ht="17" customHeight="1" x14ac:dyDescent="0.15">
      <c r="A2507" s="11" t="s">
        <v>13408</v>
      </c>
      <c r="B2507" s="1" t="s">
        <v>13409</v>
      </c>
      <c r="C2507" s="11" t="s">
        <v>13410</v>
      </c>
      <c r="D2507" s="11" t="s">
        <v>13410</v>
      </c>
      <c r="E2507" s="11" t="s">
        <v>13411</v>
      </c>
      <c r="F2507" s="11" t="s">
        <v>13376</v>
      </c>
      <c r="G2507" s="11" t="s">
        <v>13412</v>
      </c>
      <c r="H2507" s="11" t="s">
        <v>13413</v>
      </c>
      <c r="I2507" s="11" t="str">
        <f>HYPERLINK("http://www.cielledue.com/","www.cielledue.com")</f>
        <v>www.cielledue.com</v>
      </c>
      <c r="J2507" s="12">
        <v>1390.297</v>
      </c>
      <c r="K2507" s="12">
        <v>1390.297</v>
      </c>
      <c r="L2507" s="13">
        <v>1554.8409999999999</v>
      </c>
      <c r="M2507" s="12">
        <v>3.3380000000000001</v>
      </c>
      <c r="N2507" s="12">
        <v>3.3380000000000001</v>
      </c>
      <c r="O2507" s="12">
        <v>8.1440000000000001</v>
      </c>
      <c r="P2507" s="14" t="s">
        <v>13378</v>
      </c>
      <c r="Q2507" s="14" t="s">
        <v>13378</v>
      </c>
      <c r="R2507" s="12">
        <v>19</v>
      </c>
    </row>
    <row r="2508" spans="1:18" ht="17" customHeight="1" x14ac:dyDescent="0.15">
      <c r="A2508" s="8" t="s">
        <v>13414</v>
      </c>
      <c r="B2508" s="9" t="s">
        <v>13415</v>
      </c>
      <c r="C2508" s="8" t="s">
        <v>13416</v>
      </c>
      <c r="D2508" s="8" t="s">
        <v>13416</v>
      </c>
      <c r="E2508" s="8" t="s">
        <v>13417</v>
      </c>
      <c r="F2508" s="8" t="s">
        <v>13405</v>
      </c>
      <c r="G2508" s="8" t="s">
        <v>13418</v>
      </c>
      <c r="H2508" s="8" t="s">
        <v>13363</v>
      </c>
      <c r="I2508" s="8" t="str">
        <f>HYPERLINK("http://stilsuole.it/","stilsuole.it/")</f>
        <v>stilsuole.it/</v>
      </c>
      <c r="J2508" s="10">
        <v>1492.2909999999999</v>
      </c>
      <c r="K2508" s="10">
        <v>1492.2909999999999</v>
      </c>
      <c r="L2508" s="10">
        <v>1551.479</v>
      </c>
      <c r="M2508" s="10">
        <v>199.28399999999999</v>
      </c>
      <c r="N2508" s="10">
        <v>199.28399999999999</v>
      </c>
      <c r="O2508" s="10">
        <v>153.255</v>
      </c>
      <c r="P2508" s="10">
        <v>16</v>
      </c>
      <c r="Q2508" s="10">
        <v>16</v>
      </c>
      <c r="R2508" s="10">
        <v>15</v>
      </c>
    </row>
    <row r="2509" spans="1:18" ht="17" customHeight="1" x14ac:dyDescent="0.15">
      <c r="A2509" s="11" t="s">
        <v>13419</v>
      </c>
      <c r="B2509" s="1" t="s">
        <v>13420</v>
      </c>
      <c r="C2509" s="11" t="s">
        <v>13421</v>
      </c>
      <c r="D2509" s="11" t="s">
        <v>13421</v>
      </c>
      <c r="E2509" s="11" t="s">
        <v>13422</v>
      </c>
      <c r="F2509" s="11" t="s">
        <v>13423</v>
      </c>
      <c r="G2509" s="11" t="s">
        <v>13424</v>
      </c>
      <c r="H2509" s="11" t="s">
        <v>13371</v>
      </c>
      <c r="I2509" s="11" t="str">
        <f>HYPERLINK("http://www.calzeandre.it/","www.calzeandre.it")</f>
        <v>www.calzeandre.it</v>
      </c>
      <c r="J2509" s="12">
        <v>1606.673</v>
      </c>
      <c r="K2509" s="12">
        <v>1606.673</v>
      </c>
      <c r="L2509" s="13">
        <v>1551.404</v>
      </c>
      <c r="M2509" s="12">
        <v>31.747</v>
      </c>
      <c r="N2509" s="12">
        <v>31.747</v>
      </c>
      <c r="O2509" s="12">
        <v>-26.132000000000001</v>
      </c>
      <c r="P2509" s="12">
        <v>7</v>
      </c>
      <c r="Q2509" s="12">
        <v>7</v>
      </c>
      <c r="R2509" s="12">
        <v>7</v>
      </c>
    </row>
    <row r="2510" spans="1:18" ht="17" customHeight="1" x14ac:dyDescent="0.15">
      <c r="A2510" s="8" t="s">
        <v>13425</v>
      </c>
      <c r="B2510" s="9" t="s">
        <v>13426</v>
      </c>
      <c r="C2510" s="8" t="s">
        <v>13427</v>
      </c>
      <c r="D2510" s="8" t="s">
        <v>13427</v>
      </c>
      <c r="E2510" s="8" t="s">
        <v>13428</v>
      </c>
      <c r="F2510" s="8" t="s">
        <v>13383</v>
      </c>
      <c r="G2510" s="8" t="s">
        <v>13429</v>
      </c>
      <c r="H2510" s="8" t="s">
        <v>13407</v>
      </c>
      <c r="I2510" s="8" t="str">
        <f>HYPERLINK("http://www.marinisilvano.com/","www.marinisilvano.com")</f>
        <v>www.marinisilvano.com</v>
      </c>
      <c r="J2510" s="10">
        <v>1752.8630000000001</v>
      </c>
      <c r="K2510" s="10">
        <v>1752.8630000000001</v>
      </c>
      <c r="L2510" s="10">
        <v>1549.6579999999999</v>
      </c>
      <c r="M2510" s="10">
        <v>193.07300000000001</v>
      </c>
      <c r="N2510" s="10">
        <v>193.07300000000001</v>
      </c>
      <c r="O2510" s="10">
        <v>-203.012</v>
      </c>
      <c r="P2510" s="10">
        <v>12</v>
      </c>
      <c r="Q2510" s="10">
        <v>12</v>
      </c>
      <c r="R2510" s="10">
        <v>12</v>
      </c>
    </row>
    <row r="2511" spans="1:18" ht="17" customHeight="1" x14ac:dyDescent="0.15">
      <c r="A2511" s="11" t="s">
        <v>13430</v>
      </c>
      <c r="B2511" s="1" t="s">
        <v>13431</v>
      </c>
      <c r="C2511" s="11" t="s">
        <v>13432</v>
      </c>
      <c r="D2511" s="11" t="s">
        <v>13432</v>
      </c>
      <c r="E2511" s="11" t="s">
        <v>13433</v>
      </c>
      <c r="F2511" s="11" t="s">
        <v>13405</v>
      </c>
      <c r="G2511" s="11" t="s">
        <v>13434</v>
      </c>
      <c r="H2511" s="11" t="s">
        <v>13371</v>
      </c>
      <c r="I2511" s="11" t="str">
        <f>HYPERLINK("http://www.nuovacarpi.com/","www.nuovacarpi.com")</f>
        <v>www.nuovacarpi.com</v>
      </c>
      <c r="J2511" s="12">
        <v>868.61500000000001</v>
      </c>
      <c r="K2511" s="12">
        <v>868.61500000000001</v>
      </c>
      <c r="L2511" s="13">
        <v>1547.8810000000001</v>
      </c>
      <c r="M2511" s="12">
        <v>-11.035</v>
      </c>
      <c r="N2511" s="12">
        <v>-11.035</v>
      </c>
      <c r="O2511" s="12">
        <v>16.835000000000001</v>
      </c>
      <c r="P2511" s="12">
        <v>12</v>
      </c>
      <c r="Q2511" s="12">
        <v>12</v>
      </c>
      <c r="R2511" s="12">
        <v>14</v>
      </c>
    </row>
    <row r="2512" spans="1:18" ht="68" customHeight="1" x14ac:dyDescent="0.15">
      <c r="A2512" s="8" t="s">
        <v>13435</v>
      </c>
      <c r="B2512" s="9" t="s">
        <v>13436</v>
      </c>
      <c r="C2512" s="8" t="s">
        <v>13437</v>
      </c>
      <c r="D2512" s="8" t="s">
        <v>13437</v>
      </c>
      <c r="E2512" s="8" t="s">
        <v>13438</v>
      </c>
      <c r="F2512" s="8" t="s">
        <v>13405</v>
      </c>
      <c r="G2512" s="8" t="s">
        <v>13439</v>
      </c>
      <c r="H2512" s="8" t="s">
        <v>13407</v>
      </c>
      <c r="I2512" s="8" t="str">
        <f>HYPERLINK("http://www.nuovavaldichienti.it/","www.nuovavaldichienti.it")</f>
        <v>www.nuovavaldichienti.it</v>
      </c>
      <c r="J2512" s="10">
        <v>1920.6579999999999</v>
      </c>
      <c r="K2512" s="10">
        <v>1920.6579999999999</v>
      </c>
      <c r="L2512" s="10">
        <v>1546.259</v>
      </c>
      <c r="M2512" s="10">
        <v>1.5089999999999999</v>
      </c>
      <c r="N2512" s="10">
        <v>1.5089999999999999</v>
      </c>
      <c r="O2512" s="10">
        <v>1.427</v>
      </c>
      <c r="P2512" s="15" t="s">
        <v>13378</v>
      </c>
      <c r="Q2512" s="15" t="s">
        <v>13378</v>
      </c>
      <c r="R2512" s="10">
        <v>9</v>
      </c>
    </row>
    <row r="2513" spans="1:18" ht="17" customHeight="1" x14ac:dyDescent="0.15">
      <c r="A2513" s="11" t="s">
        <v>13440</v>
      </c>
      <c r="B2513" s="1" t="s">
        <v>13441</v>
      </c>
      <c r="C2513" s="11" t="s">
        <v>13442</v>
      </c>
      <c r="D2513" s="11" t="s">
        <v>13442</v>
      </c>
      <c r="E2513" s="11" t="s">
        <v>13443</v>
      </c>
      <c r="F2513" s="11" t="s">
        <v>13376</v>
      </c>
      <c r="G2513" s="11" t="s">
        <v>13444</v>
      </c>
      <c r="H2513" s="11" t="s">
        <v>13413</v>
      </c>
      <c r="I2513" s="11" t="str">
        <f>HYPERLINK("http://www.viamercanti.it/","www.viamercanti.it")</f>
        <v>www.viamercanti.it</v>
      </c>
      <c r="J2513" s="12">
        <v>1399.992</v>
      </c>
      <c r="K2513" s="12">
        <v>1399.992</v>
      </c>
      <c r="L2513" s="13">
        <v>1546.2629999999999</v>
      </c>
      <c r="M2513" s="12">
        <v>7.6269999999999998</v>
      </c>
      <c r="N2513" s="12">
        <v>7.6269999999999998</v>
      </c>
      <c r="O2513" s="12">
        <v>38.874000000000002</v>
      </c>
      <c r="P2513" s="12">
        <v>10</v>
      </c>
      <c r="Q2513" s="12">
        <v>10</v>
      </c>
      <c r="R2513" s="12">
        <v>10</v>
      </c>
    </row>
    <row r="2514" spans="1:18" ht="17" customHeight="1" x14ac:dyDescent="0.15">
      <c r="A2514" s="8" t="s">
        <v>13445</v>
      </c>
      <c r="B2514" s="9" t="s">
        <v>13446</v>
      </c>
      <c r="C2514" s="8" t="s">
        <v>13447</v>
      </c>
      <c r="D2514" s="8" t="s">
        <v>13447</v>
      </c>
      <c r="E2514" s="8" t="s">
        <v>13448</v>
      </c>
      <c r="F2514" s="8" t="s">
        <v>13449</v>
      </c>
      <c r="G2514" s="8" t="s">
        <v>13450</v>
      </c>
      <c r="H2514" s="8" t="s">
        <v>13413</v>
      </c>
      <c r="I2514" s="8" t="str">
        <f>HYPERLINK("http://sanninonapoli.com/","sanninonapoli.com")</f>
        <v>sanninonapoli.com</v>
      </c>
      <c r="J2514" s="10">
        <v>868.99199999999996</v>
      </c>
      <c r="K2514" s="10">
        <v>868.99199999999996</v>
      </c>
      <c r="L2514" s="10">
        <v>1541.931</v>
      </c>
      <c r="M2514" s="10">
        <v>-182.459</v>
      </c>
      <c r="N2514" s="10">
        <v>-182.459</v>
      </c>
      <c r="O2514" s="10">
        <v>86.988</v>
      </c>
      <c r="P2514" s="10">
        <v>9</v>
      </c>
      <c r="Q2514" s="10">
        <v>9</v>
      </c>
      <c r="R2514" s="10">
        <v>7</v>
      </c>
    </row>
    <row r="2515" spans="1:18" ht="17" customHeight="1" x14ac:dyDescent="0.15">
      <c r="A2515" s="11" t="s">
        <v>13451</v>
      </c>
      <c r="B2515" s="1" t="s">
        <v>13452</v>
      </c>
      <c r="C2515" s="11" t="s">
        <v>13453</v>
      </c>
      <c r="D2515" s="11" t="s">
        <v>13453</v>
      </c>
      <c r="E2515" s="11" t="s">
        <v>13454</v>
      </c>
      <c r="F2515" s="11" t="s">
        <v>13455</v>
      </c>
      <c r="G2515" s="11" t="s">
        <v>13400</v>
      </c>
      <c r="H2515" s="11" t="s">
        <v>13356</v>
      </c>
      <c r="I2515" s="11" t="str">
        <f>HYPERLINK("http://www.frasconi.it/","http://www.frasconi.it")</f>
        <v>http://www.frasconi.it</v>
      </c>
      <c r="J2515" s="12">
        <v>1913.9169999999999</v>
      </c>
      <c r="K2515" s="12">
        <v>1913.9169999999999</v>
      </c>
      <c r="L2515" s="13">
        <v>1541.2239999999999</v>
      </c>
      <c r="M2515" s="12">
        <v>230.60300000000001</v>
      </c>
      <c r="N2515" s="12">
        <v>230.60300000000001</v>
      </c>
      <c r="O2515" s="12">
        <v>58.576999999999998</v>
      </c>
      <c r="P2515" s="12">
        <v>13</v>
      </c>
      <c r="Q2515" s="12">
        <v>13</v>
      </c>
      <c r="R2515" s="12">
        <v>14</v>
      </c>
    </row>
    <row r="2516" spans="1:18" ht="17" customHeight="1" x14ac:dyDescent="0.15">
      <c r="A2516" s="8" t="s">
        <v>13456</v>
      </c>
      <c r="B2516" s="9" t="s">
        <v>13457</v>
      </c>
      <c r="C2516" s="8" t="s">
        <v>13458</v>
      </c>
      <c r="D2516" s="8" t="s">
        <v>13458</v>
      </c>
      <c r="E2516" s="8" t="s">
        <v>13459</v>
      </c>
      <c r="F2516" s="8" t="s">
        <v>13383</v>
      </c>
      <c r="G2516" s="8" t="s">
        <v>13450</v>
      </c>
      <c r="H2516" s="8" t="s">
        <v>13413</v>
      </c>
      <c r="I2516" s="8" t="str">
        <f>HYPERLINK("http://elleidonna.com/","elleidonna.com")</f>
        <v>elleidonna.com</v>
      </c>
      <c r="J2516" s="10">
        <v>936.20500000000004</v>
      </c>
      <c r="K2516" s="10">
        <v>936.20500000000004</v>
      </c>
      <c r="L2516" s="10">
        <v>1540.3910000000001</v>
      </c>
      <c r="M2516" s="10">
        <v>14.182</v>
      </c>
      <c r="N2516" s="10">
        <v>14.182</v>
      </c>
      <c r="O2516" s="10">
        <v>23.61</v>
      </c>
      <c r="P2516" s="10">
        <v>5</v>
      </c>
      <c r="Q2516" s="10">
        <v>5</v>
      </c>
      <c r="R2516" s="10">
        <v>6</v>
      </c>
    </row>
    <row r="2517" spans="1:18" ht="17" customHeight="1" x14ac:dyDescent="0.15">
      <c r="A2517" s="11" t="s">
        <v>13460</v>
      </c>
      <c r="B2517" s="1" t="s">
        <v>13461</v>
      </c>
      <c r="C2517" s="11" t="s">
        <v>13462</v>
      </c>
      <c r="D2517" s="11" t="s">
        <v>13462</v>
      </c>
      <c r="E2517" s="11" t="s">
        <v>13463</v>
      </c>
      <c r="F2517" s="11" t="s">
        <v>13464</v>
      </c>
      <c r="G2517" s="11" t="s">
        <v>13465</v>
      </c>
      <c r="H2517" s="11" t="s">
        <v>13363</v>
      </c>
      <c r="I2517" s="11" t="str">
        <f>HYPERLINK("http://www.glomus.it/","http://www.glomus.it")</f>
        <v>http://www.glomus.it</v>
      </c>
      <c r="J2517" s="12">
        <v>1333.51</v>
      </c>
      <c r="K2517" s="12">
        <v>1333.51</v>
      </c>
      <c r="L2517" s="13">
        <v>1537.1179999999999</v>
      </c>
      <c r="M2517" s="12">
        <v>78.762</v>
      </c>
      <c r="N2517" s="12">
        <v>78.762</v>
      </c>
      <c r="O2517" s="12">
        <v>128.10599999999999</v>
      </c>
      <c r="P2517" s="12">
        <v>5</v>
      </c>
      <c r="Q2517" s="12">
        <v>5</v>
      </c>
      <c r="R2517" s="12">
        <v>5</v>
      </c>
    </row>
    <row r="2518" spans="1:18" ht="68" customHeight="1" x14ac:dyDescent="0.15">
      <c r="A2518" s="8" t="s">
        <v>13466</v>
      </c>
      <c r="B2518" s="9" t="s">
        <v>13467</v>
      </c>
      <c r="C2518" s="8" t="s">
        <v>13468</v>
      </c>
      <c r="D2518" s="8" t="s">
        <v>13468</v>
      </c>
      <c r="E2518" s="8" t="s">
        <v>13469</v>
      </c>
      <c r="F2518" s="8" t="s">
        <v>13423</v>
      </c>
      <c r="G2518" s="8" t="s">
        <v>13470</v>
      </c>
      <c r="H2518" s="8" t="s">
        <v>13471</v>
      </c>
      <c r="I2518" s="8" t="str">
        <f>HYPERLINK("http://www.medicaltea.it/","www.medicaltea.it")</f>
        <v>www.medicaltea.it</v>
      </c>
      <c r="J2518" s="10">
        <v>1662.7270000000001</v>
      </c>
      <c r="K2518" s="10">
        <v>1662.7270000000001</v>
      </c>
      <c r="L2518" s="10">
        <v>1535.3309999999999</v>
      </c>
      <c r="M2518" s="10">
        <v>35.11</v>
      </c>
      <c r="N2518" s="10">
        <v>35.11</v>
      </c>
      <c r="O2518" s="10">
        <v>23.062999999999999</v>
      </c>
      <c r="P2518" s="10">
        <v>19</v>
      </c>
      <c r="Q2518" s="10">
        <v>19</v>
      </c>
      <c r="R2518" s="10">
        <v>19</v>
      </c>
    </row>
    <row r="2519" spans="1:18" ht="29.5" customHeight="1" x14ac:dyDescent="0.15">
      <c r="A2519" s="11" t="s">
        <v>13472</v>
      </c>
      <c r="B2519" s="1" t="s">
        <v>13473</v>
      </c>
      <c r="C2519" s="11" t="s">
        <v>13474</v>
      </c>
      <c r="D2519" s="11" t="s">
        <v>13474</v>
      </c>
      <c r="E2519" s="11" t="s">
        <v>13475</v>
      </c>
      <c r="F2519" s="11" t="s">
        <v>13376</v>
      </c>
      <c r="G2519" s="11" t="s">
        <v>13450</v>
      </c>
      <c r="H2519" s="11" t="s">
        <v>13413</v>
      </c>
      <c r="I2519" s="11" t="str">
        <f>HYPERLINK("http://gianmarcosorelli.it/","gianmarcosorelli.it")</f>
        <v>gianmarcosorelli.it</v>
      </c>
      <c r="J2519" s="12">
        <v>1973.6569999999999</v>
      </c>
      <c r="K2519" s="12">
        <v>1973.6569999999999</v>
      </c>
      <c r="L2519" s="13">
        <v>1533.29</v>
      </c>
      <c r="M2519" s="12">
        <v>27.486000000000001</v>
      </c>
      <c r="N2519" s="12">
        <v>27.486000000000001</v>
      </c>
      <c r="O2519" s="12">
        <v>35.225999999999999</v>
      </c>
      <c r="P2519" s="12">
        <v>13</v>
      </c>
      <c r="Q2519" s="12">
        <v>13</v>
      </c>
      <c r="R2519" s="12">
        <v>13</v>
      </c>
    </row>
    <row r="2520" spans="1:18" ht="17" customHeight="1" x14ac:dyDescent="0.15">
      <c r="A2520" s="8" t="s">
        <v>13476</v>
      </c>
      <c r="B2520" s="9" t="s">
        <v>13477</v>
      </c>
      <c r="C2520" s="8" t="s">
        <v>13478</v>
      </c>
      <c r="D2520" s="8" t="s">
        <v>13478</v>
      </c>
      <c r="E2520" s="8" t="s">
        <v>13479</v>
      </c>
      <c r="F2520" s="8" t="s">
        <v>13376</v>
      </c>
      <c r="G2520" s="8" t="s">
        <v>13465</v>
      </c>
      <c r="H2520" s="8" t="s">
        <v>13363</v>
      </c>
      <c r="I2520" s="8" t="str">
        <f>HYPERLINK("http://hideandjack.com/","hideandjack.com")</f>
        <v>hideandjack.com</v>
      </c>
      <c r="J2520" s="10">
        <v>1266.6479999999999</v>
      </c>
      <c r="K2520" s="10">
        <v>1266.6479999999999</v>
      </c>
      <c r="L2520" s="10">
        <v>1532.4069999999999</v>
      </c>
      <c r="M2520" s="10">
        <v>-207.47800000000001</v>
      </c>
      <c r="N2520" s="10">
        <v>-207.47800000000001</v>
      </c>
      <c r="O2520" s="10">
        <v>-144.958</v>
      </c>
      <c r="P2520" s="10">
        <v>6</v>
      </c>
      <c r="Q2520" s="10">
        <v>6</v>
      </c>
      <c r="R2520" s="10">
        <v>6</v>
      </c>
    </row>
    <row r="2521" spans="1:18" ht="29.5" customHeight="1" x14ac:dyDescent="0.15">
      <c r="A2521" s="11" t="s">
        <v>13480</v>
      </c>
      <c r="B2521" s="1" t="s">
        <v>13481</v>
      </c>
      <c r="C2521" s="11" t="s">
        <v>13482</v>
      </c>
      <c r="D2521" s="11" t="s">
        <v>13482</v>
      </c>
      <c r="E2521" s="11" t="s">
        <v>13483</v>
      </c>
      <c r="F2521" s="11" t="s">
        <v>13484</v>
      </c>
      <c r="G2521" s="11" t="s">
        <v>13485</v>
      </c>
      <c r="H2521" s="11" t="s">
        <v>13385</v>
      </c>
      <c r="I2521" s="11" t="str">
        <f>HYPERLINK("http://www.scmfashion.com/","www.scmfashion.com")</f>
        <v>www.scmfashion.com</v>
      </c>
      <c r="J2521" s="12">
        <v>1.133</v>
      </c>
      <c r="K2521" s="12">
        <v>1.133</v>
      </c>
      <c r="L2521" s="13">
        <v>1532.3209999999999</v>
      </c>
      <c r="M2521" s="12">
        <v>-0.80200000000000005</v>
      </c>
      <c r="N2521" s="12">
        <v>-0.80200000000000005</v>
      </c>
      <c r="O2521" s="12">
        <v>73.8</v>
      </c>
      <c r="P2521" s="14" t="s">
        <v>13378</v>
      </c>
      <c r="Q2521" s="14" t="s">
        <v>13378</v>
      </c>
      <c r="R2521" s="12">
        <v>24</v>
      </c>
    </row>
    <row r="2522" spans="1:18" ht="17" customHeight="1" x14ac:dyDescent="0.15">
      <c r="A2522" s="8" t="s">
        <v>13486</v>
      </c>
      <c r="B2522" s="9" t="s">
        <v>13487</v>
      </c>
      <c r="C2522" s="8" t="s">
        <v>13488</v>
      </c>
      <c r="D2522" s="8" t="s">
        <v>13488</v>
      </c>
      <c r="E2522" s="8" t="s">
        <v>13489</v>
      </c>
      <c r="F2522" s="8" t="s">
        <v>13383</v>
      </c>
      <c r="G2522" s="8" t="s">
        <v>13490</v>
      </c>
      <c r="H2522" s="8" t="s">
        <v>13363</v>
      </c>
      <c r="I2522" s="8" t="str">
        <f>HYPERLINK("http://www.mestrinersrl.com/","www.mestrinersrl.com")</f>
        <v>www.mestrinersrl.com</v>
      </c>
      <c r="J2522" s="10">
        <v>1472.768</v>
      </c>
      <c r="K2522" s="10">
        <v>1472.768</v>
      </c>
      <c r="L2522" s="10">
        <v>1531.7629999999999</v>
      </c>
      <c r="M2522" s="10">
        <v>15.212999999999999</v>
      </c>
      <c r="N2522" s="10">
        <v>15.212999999999999</v>
      </c>
      <c r="O2522" s="10">
        <v>49.156999999999996</v>
      </c>
      <c r="P2522" s="10">
        <v>11</v>
      </c>
      <c r="Q2522" s="10">
        <v>11</v>
      </c>
      <c r="R2522" s="10">
        <v>11</v>
      </c>
    </row>
    <row r="2523" spans="1:18" ht="17" customHeight="1" x14ac:dyDescent="0.15">
      <c r="A2523" s="11" t="s">
        <v>13491</v>
      </c>
      <c r="B2523" s="1" t="s">
        <v>13492</v>
      </c>
      <c r="C2523" s="11" t="s">
        <v>13493</v>
      </c>
      <c r="D2523" s="11" t="s">
        <v>13493</v>
      </c>
      <c r="E2523" s="11" t="s">
        <v>13494</v>
      </c>
      <c r="F2523" s="11" t="s">
        <v>13383</v>
      </c>
      <c r="G2523" s="11" t="s">
        <v>13444</v>
      </c>
      <c r="H2523" s="11" t="s">
        <v>13413</v>
      </c>
      <c r="I2523" s="11" t="str">
        <f>HYPERLINK("http://www.thescarf.it/","www.thescarf.it")</f>
        <v>www.thescarf.it</v>
      </c>
      <c r="J2523" s="12">
        <v>2318.3519999999999</v>
      </c>
      <c r="K2523" s="12">
        <v>2318.3519999999999</v>
      </c>
      <c r="L2523" s="13">
        <v>1531.7139999999999</v>
      </c>
      <c r="M2523" s="12">
        <v>359.97500000000002</v>
      </c>
      <c r="N2523" s="12">
        <v>359.97500000000002</v>
      </c>
      <c r="O2523" s="12">
        <v>212.32400000000001</v>
      </c>
      <c r="P2523" s="12">
        <v>9</v>
      </c>
      <c r="Q2523" s="12">
        <v>9</v>
      </c>
      <c r="R2523" s="12">
        <v>9</v>
      </c>
    </row>
    <row r="2524" spans="1:18" ht="17" customHeight="1" x14ac:dyDescent="0.15">
      <c r="A2524" s="8" t="s">
        <v>13495</v>
      </c>
      <c r="B2524" s="9" t="s">
        <v>13496</v>
      </c>
      <c r="C2524" s="8" t="s">
        <v>13497</v>
      </c>
      <c r="D2524" s="8" t="s">
        <v>13497</v>
      </c>
      <c r="E2524" s="8" t="s">
        <v>13498</v>
      </c>
      <c r="F2524" s="8" t="s">
        <v>13361</v>
      </c>
      <c r="G2524" s="8" t="s">
        <v>13450</v>
      </c>
      <c r="H2524" s="8" t="s">
        <v>13413</v>
      </c>
      <c r="I2524" s="8" t="str">
        <f>HYPERLINK("http://www.artesartoriale.it/","www.artesartoriale.it")</f>
        <v>www.artesartoriale.it</v>
      </c>
      <c r="J2524" s="10">
        <v>1687.4839999999999</v>
      </c>
      <c r="K2524" s="10">
        <v>1687.4839999999999</v>
      </c>
      <c r="L2524" s="10">
        <v>1528.259</v>
      </c>
      <c r="M2524" s="10">
        <v>51.548000000000002</v>
      </c>
      <c r="N2524" s="10">
        <v>51.548000000000002</v>
      </c>
      <c r="O2524" s="10">
        <v>43.095999999999997</v>
      </c>
      <c r="P2524" s="15" t="s">
        <v>13378</v>
      </c>
      <c r="Q2524" s="15" t="s">
        <v>13378</v>
      </c>
      <c r="R2524" s="10">
        <v>9</v>
      </c>
    </row>
    <row r="2525" spans="1:18" ht="17" customHeight="1" x14ac:dyDescent="0.15">
      <c r="A2525" s="11" t="s">
        <v>13499</v>
      </c>
      <c r="B2525" s="1" t="s">
        <v>13500</v>
      </c>
      <c r="C2525" s="11" t="s">
        <v>13501</v>
      </c>
      <c r="D2525" s="11" t="s">
        <v>13501</v>
      </c>
      <c r="E2525" s="11" t="s">
        <v>13502</v>
      </c>
      <c r="F2525" s="11" t="s">
        <v>13395</v>
      </c>
      <c r="G2525" s="11" t="s">
        <v>13400</v>
      </c>
      <c r="H2525" s="11" t="s">
        <v>13356</v>
      </c>
      <c r="I2525" s="11" t="str">
        <f>HYPERLINK("http://www.mestamp.it/","www.mestamp.it")</f>
        <v>www.mestamp.it</v>
      </c>
      <c r="J2525" s="12">
        <v>825.61599999999999</v>
      </c>
      <c r="K2525" s="12">
        <v>825.61599999999999</v>
      </c>
      <c r="L2525" s="13">
        <v>1527.106</v>
      </c>
      <c r="M2525" s="12">
        <v>-214.71700000000001</v>
      </c>
      <c r="N2525" s="12">
        <v>-214.71700000000001</v>
      </c>
      <c r="O2525" s="12">
        <v>16.731000000000002</v>
      </c>
      <c r="P2525" s="12">
        <v>19</v>
      </c>
      <c r="Q2525" s="12">
        <v>19</v>
      </c>
      <c r="R2525" s="12">
        <v>19</v>
      </c>
    </row>
    <row r="2526" spans="1:18" ht="29.5" customHeight="1" x14ac:dyDescent="0.15">
      <c r="A2526" s="8" t="s">
        <v>13503</v>
      </c>
      <c r="B2526" s="9" t="s">
        <v>13504</v>
      </c>
      <c r="C2526" s="8" t="s">
        <v>13505</v>
      </c>
      <c r="D2526" s="8" t="s">
        <v>13505</v>
      </c>
      <c r="E2526" s="8" t="s">
        <v>13506</v>
      </c>
      <c r="F2526" s="8" t="s">
        <v>13383</v>
      </c>
      <c r="G2526" s="8" t="s">
        <v>13507</v>
      </c>
      <c r="H2526" s="8" t="s">
        <v>13508</v>
      </c>
      <c r="I2526" s="8" t="str">
        <f>HYPERLINK("http://www.puntoverdemoda.it/","www.puntoverdemoda.it")</f>
        <v>www.puntoverdemoda.it</v>
      </c>
      <c r="J2526" s="10">
        <v>1803.4559999999999</v>
      </c>
      <c r="K2526" s="10">
        <v>1803.4559999999999</v>
      </c>
      <c r="L2526" s="10">
        <v>1523.8520000000001</v>
      </c>
      <c r="M2526" s="10">
        <v>15.532999999999999</v>
      </c>
      <c r="N2526" s="10">
        <v>15.532999999999999</v>
      </c>
      <c r="O2526" s="10">
        <v>3.706</v>
      </c>
      <c r="P2526" s="10">
        <v>25</v>
      </c>
      <c r="Q2526" s="10">
        <v>25</v>
      </c>
      <c r="R2526" s="10">
        <v>25</v>
      </c>
    </row>
    <row r="2527" spans="1:18" ht="17" customHeight="1" x14ac:dyDescent="0.15">
      <c r="A2527" s="11" t="s">
        <v>13509</v>
      </c>
      <c r="B2527" s="1" t="s">
        <v>13510</v>
      </c>
      <c r="C2527" s="11" t="s">
        <v>13511</v>
      </c>
      <c r="D2527" s="11" t="s">
        <v>13511</v>
      </c>
      <c r="E2527" s="11" t="s">
        <v>13512</v>
      </c>
      <c r="F2527" s="11" t="s">
        <v>13376</v>
      </c>
      <c r="G2527" s="11" t="s">
        <v>13429</v>
      </c>
      <c r="H2527" s="11" t="s">
        <v>13407</v>
      </c>
      <c r="I2527" s="11" t="str">
        <f>HYPERLINK("http://www.penelopeshoes.com/","www.penelopeshoes.com")</f>
        <v>www.penelopeshoes.com</v>
      </c>
      <c r="J2527" s="12">
        <v>1574.6949999999999</v>
      </c>
      <c r="K2527" s="12">
        <v>1574.6949999999999</v>
      </c>
      <c r="L2527" s="13">
        <v>1523.049</v>
      </c>
      <c r="M2527" s="12">
        <v>114.78400000000001</v>
      </c>
      <c r="N2527" s="12">
        <v>114.78400000000001</v>
      </c>
      <c r="O2527" s="12">
        <v>116.307</v>
      </c>
      <c r="P2527" s="12">
        <v>4</v>
      </c>
      <c r="Q2527" s="12">
        <v>4</v>
      </c>
      <c r="R2527" s="12">
        <v>3</v>
      </c>
    </row>
    <row r="2528" spans="1:18" ht="17" customHeight="1" x14ac:dyDescent="0.15">
      <c r="A2528" s="8" t="s">
        <v>13513</v>
      </c>
      <c r="B2528" s="9" t="s">
        <v>13514</v>
      </c>
      <c r="C2528" s="8" t="s">
        <v>13515</v>
      </c>
      <c r="D2528" s="8" t="s">
        <v>13515</v>
      </c>
      <c r="E2528" s="8" t="s">
        <v>13516</v>
      </c>
      <c r="F2528" s="8" t="s">
        <v>13405</v>
      </c>
      <c r="G2528" s="8" t="s">
        <v>13429</v>
      </c>
      <c r="H2528" s="8" t="s">
        <v>13407</v>
      </c>
      <c r="I2528" s="8" t="str">
        <f>HYPERLINK("http://www.pistonesi.com/","www.pistonesi.com")</f>
        <v>www.pistonesi.com</v>
      </c>
      <c r="J2528" s="10">
        <v>1576.8869999999999</v>
      </c>
      <c r="K2528" s="10">
        <v>1576.8869999999999</v>
      </c>
      <c r="L2528" s="10">
        <v>1521.2639999999999</v>
      </c>
      <c r="M2528" s="10">
        <v>20.327000000000002</v>
      </c>
      <c r="N2528" s="10">
        <v>20.327000000000002</v>
      </c>
      <c r="O2528" s="10">
        <v>27.969000000000001</v>
      </c>
      <c r="P2528" s="10">
        <v>9</v>
      </c>
      <c r="Q2528" s="10">
        <v>9</v>
      </c>
      <c r="R2528" s="10">
        <v>10</v>
      </c>
    </row>
    <row r="2529" spans="1:18" ht="17" customHeight="1" x14ac:dyDescent="0.15">
      <c r="A2529" s="11" t="s">
        <v>13517</v>
      </c>
      <c r="B2529" s="1" t="s">
        <v>13518</v>
      </c>
      <c r="C2529" s="11" t="s">
        <v>13519</v>
      </c>
      <c r="D2529" s="11" t="s">
        <v>13519</v>
      </c>
      <c r="E2529" s="11" t="s">
        <v>13520</v>
      </c>
      <c r="F2529" s="11" t="s">
        <v>13521</v>
      </c>
      <c r="G2529" s="11" t="s">
        <v>13522</v>
      </c>
      <c r="H2529" s="11" t="s">
        <v>13523</v>
      </c>
      <c r="I2529" s="11" t="str">
        <f>HYPERLINK("http://www.calzeluisa.it/","www.calzeluisa.it")</f>
        <v>www.calzeluisa.it</v>
      </c>
      <c r="J2529" s="12">
        <v>1487.307</v>
      </c>
      <c r="K2529" s="12">
        <v>1487.307</v>
      </c>
      <c r="L2529" s="13">
        <v>1521.222</v>
      </c>
      <c r="M2529" s="12">
        <v>70.841999999999999</v>
      </c>
      <c r="N2529" s="12">
        <v>70.841999999999999</v>
      </c>
      <c r="O2529" s="12">
        <v>82.385000000000005</v>
      </c>
      <c r="P2529" s="12">
        <v>9</v>
      </c>
      <c r="Q2529" s="12">
        <v>9</v>
      </c>
      <c r="R2529" s="12">
        <v>8</v>
      </c>
    </row>
    <row r="2530" spans="1:18" ht="17" customHeight="1" x14ac:dyDescent="0.15">
      <c r="A2530" s="8" t="s">
        <v>13524</v>
      </c>
      <c r="B2530" s="9" t="s">
        <v>13525</v>
      </c>
      <c r="C2530" s="8" t="s">
        <v>13526</v>
      </c>
      <c r="D2530" s="8" t="s">
        <v>13526</v>
      </c>
      <c r="E2530" s="8" t="s">
        <v>13527</v>
      </c>
      <c r="F2530" s="8" t="s">
        <v>13528</v>
      </c>
      <c r="G2530" s="8" t="s">
        <v>13529</v>
      </c>
      <c r="H2530" s="8" t="s">
        <v>13530</v>
      </c>
      <c r="I2530" s="8" t="str">
        <f>HYPERLINK("http://www.ballarinisrl.com/","www.ballarinisrl.com")</f>
        <v>www.ballarinisrl.com</v>
      </c>
      <c r="J2530" s="10">
        <v>1418.81</v>
      </c>
      <c r="K2530" s="10">
        <v>1418.81</v>
      </c>
      <c r="L2530" s="10">
        <v>1520.386</v>
      </c>
      <c r="M2530" s="10">
        <v>1.1519999999999999</v>
      </c>
      <c r="N2530" s="10">
        <v>1.1519999999999999</v>
      </c>
      <c r="O2530" s="10">
        <v>30.709</v>
      </c>
      <c r="P2530" s="10">
        <v>15</v>
      </c>
      <c r="Q2530" s="10">
        <v>15</v>
      </c>
      <c r="R2530" s="10">
        <v>12</v>
      </c>
    </row>
    <row r="2531" spans="1:18" ht="17" customHeight="1" x14ac:dyDescent="0.15">
      <c r="A2531" s="11" t="s">
        <v>13531</v>
      </c>
      <c r="B2531" s="1" t="s">
        <v>13532</v>
      </c>
      <c r="C2531" s="11" t="s">
        <v>13533</v>
      </c>
      <c r="D2531" s="11" t="s">
        <v>13533</v>
      </c>
      <c r="E2531" s="11" t="s">
        <v>13534</v>
      </c>
      <c r="F2531" s="11" t="s">
        <v>13535</v>
      </c>
      <c r="G2531" s="11" t="s">
        <v>13536</v>
      </c>
      <c r="H2531" s="11" t="s">
        <v>13537</v>
      </c>
      <c r="I2531" s="11" t="str">
        <f>HYPERLINK("http://www.confezioninadiasrl.it/","www.confezioninadiasrl.it")</f>
        <v>www.confezioninadiasrl.it</v>
      </c>
      <c r="J2531" s="12">
        <v>1852.5170000000001</v>
      </c>
      <c r="K2531" s="12">
        <v>1852.5170000000001</v>
      </c>
      <c r="L2531" s="13">
        <v>1519.365</v>
      </c>
      <c r="M2531" s="12">
        <v>27.510999999999999</v>
      </c>
      <c r="N2531" s="12">
        <v>27.510999999999999</v>
      </c>
      <c r="O2531" s="12">
        <v>19.126000000000001</v>
      </c>
      <c r="P2531" s="12">
        <v>13</v>
      </c>
      <c r="Q2531" s="12">
        <v>13</v>
      </c>
      <c r="R2531" s="12">
        <v>12</v>
      </c>
    </row>
    <row r="2532" spans="1:18" ht="17" customHeight="1" x14ac:dyDescent="0.15">
      <c r="A2532" s="8" t="s">
        <v>13538</v>
      </c>
      <c r="B2532" s="9" t="s">
        <v>13539</v>
      </c>
      <c r="C2532" s="8" t="s">
        <v>13540</v>
      </c>
      <c r="D2532" s="8" t="s">
        <v>13540</v>
      </c>
      <c r="E2532" s="8" t="s">
        <v>13541</v>
      </c>
      <c r="F2532" s="8" t="s">
        <v>13542</v>
      </c>
      <c r="G2532" s="8" t="s">
        <v>13543</v>
      </c>
      <c r="H2532" s="8" t="s">
        <v>13537</v>
      </c>
      <c r="I2532" s="8" t="str">
        <f>HYPERLINK("http://www.annielshop.com/","www.annielshop.com")</f>
        <v>www.annielshop.com</v>
      </c>
      <c r="J2532" s="10">
        <v>1664.5630000000001</v>
      </c>
      <c r="K2532" s="10">
        <v>1664.5630000000001</v>
      </c>
      <c r="L2532" s="10">
        <v>1519.0060000000001</v>
      </c>
      <c r="M2532" s="10">
        <v>4.4290000000000003</v>
      </c>
      <c r="N2532" s="10">
        <v>4.4290000000000003</v>
      </c>
      <c r="O2532" s="10">
        <v>11.515000000000001</v>
      </c>
      <c r="P2532" s="10">
        <v>9</v>
      </c>
      <c r="Q2532" s="10">
        <v>9</v>
      </c>
      <c r="R2532" s="10">
        <v>13</v>
      </c>
    </row>
    <row r="2533" spans="1:18" ht="29.5" customHeight="1" x14ac:dyDescent="0.15">
      <c r="A2533" s="11" t="s">
        <v>13544</v>
      </c>
      <c r="B2533" s="1" t="s">
        <v>13545</v>
      </c>
      <c r="C2533" s="11" t="s">
        <v>13546</v>
      </c>
      <c r="D2533" s="11" t="s">
        <v>13546</v>
      </c>
      <c r="E2533" s="11" t="s">
        <v>13547</v>
      </c>
      <c r="F2533" s="11" t="s">
        <v>13548</v>
      </c>
      <c r="G2533" s="11" t="s">
        <v>13549</v>
      </c>
      <c r="H2533" s="11" t="s">
        <v>13523</v>
      </c>
      <c r="I2533" s="11" t="str">
        <f>HYPERLINK("http://www.peterlangner.com/","www.peterlangner.com")</f>
        <v>www.peterlangner.com</v>
      </c>
      <c r="J2533" s="12">
        <v>1618.5150000000001</v>
      </c>
      <c r="K2533" s="12">
        <v>1618.5150000000001</v>
      </c>
      <c r="L2533" s="13">
        <v>1517.3440000000001</v>
      </c>
      <c r="M2533" s="12">
        <v>-8.8079999999999998</v>
      </c>
      <c r="N2533" s="12">
        <v>-8.8079999999999998</v>
      </c>
      <c r="O2533" s="12">
        <v>7.6470000000000002</v>
      </c>
      <c r="P2533" s="12">
        <v>20</v>
      </c>
      <c r="Q2533" s="12">
        <v>20</v>
      </c>
      <c r="R2533" s="12">
        <v>14</v>
      </c>
    </row>
    <row r="2534" spans="1:18" ht="17" customHeight="1" x14ac:dyDescent="0.15">
      <c r="A2534" s="8" t="s">
        <v>13550</v>
      </c>
      <c r="B2534" s="9" t="s">
        <v>13551</v>
      </c>
      <c r="C2534" s="8" t="s">
        <v>13552</v>
      </c>
      <c r="D2534" s="8" t="s">
        <v>13552</v>
      </c>
      <c r="E2534" s="8" t="s">
        <v>13553</v>
      </c>
      <c r="F2534" s="8" t="s">
        <v>13542</v>
      </c>
      <c r="G2534" s="8" t="s">
        <v>13554</v>
      </c>
      <c r="H2534" s="8" t="s">
        <v>13555</v>
      </c>
      <c r="I2534" s="8" t="str">
        <f>HYPERLINK("http://www.viadelleville.it/","www.viadelleville.it")</f>
        <v>www.viadelleville.it</v>
      </c>
      <c r="J2534" s="10">
        <v>695.41300000000001</v>
      </c>
      <c r="K2534" s="10">
        <v>695.41300000000001</v>
      </c>
      <c r="L2534" s="10">
        <v>1517.09</v>
      </c>
      <c r="M2534" s="10">
        <v>23.93</v>
      </c>
      <c r="N2534" s="10">
        <v>23.93</v>
      </c>
      <c r="O2534" s="10">
        <v>65.975999999999999</v>
      </c>
      <c r="P2534" s="15" t="s">
        <v>13556</v>
      </c>
      <c r="Q2534" s="15" t="s">
        <v>13556</v>
      </c>
      <c r="R2534" s="10">
        <v>1</v>
      </c>
    </row>
    <row r="2535" spans="1:18" ht="17" customHeight="1" x14ac:dyDescent="0.15">
      <c r="A2535" s="11" t="s">
        <v>13557</v>
      </c>
      <c r="B2535" s="1" t="s">
        <v>13558</v>
      </c>
      <c r="C2535" s="11" t="s">
        <v>13559</v>
      </c>
      <c r="D2535" s="11" t="s">
        <v>13559</v>
      </c>
      <c r="E2535" s="11" t="s">
        <v>13560</v>
      </c>
      <c r="F2535" s="11" t="s">
        <v>13542</v>
      </c>
      <c r="G2535" s="11" t="s">
        <v>13561</v>
      </c>
      <c r="H2535" s="11" t="s">
        <v>13530</v>
      </c>
      <c r="I2535" s="11" t="str">
        <f>HYPERLINK("http://adno.surf/","adno.surf")</f>
        <v>adno.surf</v>
      </c>
      <c r="J2535" s="12">
        <v>1430.3309999999999</v>
      </c>
      <c r="K2535" s="12">
        <v>1430.3309999999999</v>
      </c>
      <c r="L2535" s="13">
        <v>1514.55</v>
      </c>
      <c r="M2535" s="12">
        <v>0.496</v>
      </c>
      <c r="N2535" s="12">
        <v>0.496</v>
      </c>
      <c r="O2535" s="12">
        <v>6.3120000000000003</v>
      </c>
      <c r="P2535" s="14" t="s">
        <v>13556</v>
      </c>
      <c r="Q2535" s="14" t="s">
        <v>13556</v>
      </c>
      <c r="R2535" s="12">
        <v>11</v>
      </c>
    </row>
    <row r="2536" spans="1:18" ht="17" customHeight="1" x14ac:dyDescent="0.15">
      <c r="A2536" s="8" t="s">
        <v>13562</v>
      </c>
      <c r="B2536" s="9" t="s">
        <v>13563</v>
      </c>
      <c r="C2536" s="8" t="s">
        <v>13564</v>
      </c>
      <c r="D2536" s="8" t="s">
        <v>13564</v>
      </c>
      <c r="E2536" s="8" t="s">
        <v>13565</v>
      </c>
      <c r="F2536" s="8" t="s">
        <v>13566</v>
      </c>
      <c r="G2536" s="8" t="s">
        <v>13567</v>
      </c>
      <c r="H2536" s="8" t="s">
        <v>13530</v>
      </c>
      <c r="I2536" s="8" t="str">
        <f>HYPERLINK("http://www.rubek.com/","www.rubek.com")</f>
        <v>www.rubek.com</v>
      </c>
      <c r="J2536" s="10">
        <v>947.74800000000005</v>
      </c>
      <c r="K2536" s="10">
        <v>947.74800000000005</v>
      </c>
      <c r="L2536" s="10">
        <v>1514.4190000000001</v>
      </c>
      <c r="M2536" s="10">
        <v>-35.058999999999997</v>
      </c>
      <c r="N2536" s="10">
        <v>-35.058999999999997</v>
      </c>
      <c r="O2536" s="10">
        <v>244.69</v>
      </c>
      <c r="P2536" s="10">
        <v>12</v>
      </c>
      <c r="Q2536" s="10">
        <v>12</v>
      </c>
      <c r="R2536" s="10">
        <v>13</v>
      </c>
    </row>
    <row r="2537" spans="1:18" ht="17" customHeight="1" x14ac:dyDescent="0.15">
      <c r="A2537" s="11" t="s">
        <v>13568</v>
      </c>
      <c r="B2537" s="1" t="s">
        <v>13569</v>
      </c>
      <c r="C2537" s="11" t="s">
        <v>13570</v>
      </c>
      <c r="D2537" s="11" t="s">
        <v>13570</v>
      </c>
      <c r="E2537" s="11" t="s">
        <v>13571</v>
      </c>
      <c r="F2537" s="11" t="s">
        <v>13572</v>
      </c>
      <c r="G2537" s="11" t="s">
        <v>13573</v>
      </c>
      <c r="H2537" s="11" t="s">
        <v>13574</v>
      </c>
      <c r="I2537" s="11" t="str">
        <f>HYPERLINK("http://orazioluciano.com/","orazioluciano.com")</f>
        <v>orazioluciano.com</v>
      </c>
      <c r="J2537" s="12">
        <v>1606.9770000000001</v>
      </c>
      <c r="K2537" s="12">
        <v>1606.9770000000001</v>
      </c>
      <c r="L2537" s="13">
        <v>1513.172</v>
      </c>
      <c r="M2537" s="12">
        <v>52.36</v>
      </c>
      <c r="N2537" s="12">
        <v>52.36</v>
      </c>
      <c r="O2537" s="12">
        <v>58.841999999999999</v>
      </c>
      <c r="P2537" s="12">
        <v>14</v>
      </c>
      <c r="Q2537" s="12">
        <v>14</v>
      </c>
      <c r="R2537" s="12">
        <v>13</v>
      </c>
    </row>
    <row r="2538" spans="1:18" ht="17" customHeight="1" x14ac:dyDescent="0.15">
      <c r="A2538" s="8" t="s">
        <v>13575</v>
      </c>
      <c r="B2538" s="9" t="s">
        <v>13576</v>
      </c>
      <c r="C2538" s="8" t="s">
        <v>13577</v>
      </c>
      <c r="D2538" s="8" t="s">
        <v>13577</v>
      </c>
      <c r="E2538" s="8" t="s">
        <v>13578</v>
      </c>
      <c r="F2538" s="8" t="s">
        <v>13579</v>
      </c>
      <c r="G2538" s="8" t="s">
        <v>13580</v>
      </c>
      <c r="H2538" s="8" t="s">
        <v>13523</v>
      </c>
      <c r="I2538" s="8" t="str">
        <f>HYPERLINK("http://www.soligerolamoguanti.com/","www.soligerolamoguanti.com")</f>
        <v>www.soligerolamoguanti.com</v>
      </c>
      <c r="J2538" s="10">
        <v>1304.3620000000001</v>
      </c>
      <c r="K2538" s="10">
        <v>1304.3620000000001</v>
      </c>
      <c r="L2538" s="10">
        <v>1506.499</v>
      </c>
      <c r="M2538" s="10">
        <v>255.989</v>
      </c>
      <c r="N2538" s="10">
        <v>255.989</v>
      </c>
      <c r="O2538" s="10">
        <v>220.923</v>
      </c>
      <c r="P2538" s="15" t="s">
        <v>13556</v>
      </c>
      <c r="Q2538" s="15" t="s">
        <v>13556</v>
      </c>
      <c r="R2538" s="10">
        <v>8</v>
      </c>
    </row>
    <row r="2539" spans="1:18" ht="17" customHeight="1" x14ac:dyDescent="0.15">
      <c r="A2539" s="11" t="s">
        <v>13581</v>
      </c>
      <c r="B2539" s="1" t="s">
        <v>13582</v>
      </c>
      <c r="C2539" s="11" t="s">
        <v>13583</v>
      </c>
      <c r="D2539" s="11" t="s">
        <v>13583</v>
      </c>
      <c r="E2539" s="11" t="s">
        <v>13584</v>
      </c>
      <c r="F2539" s="11" t="s">
        <v>13572</v>
      </c>
      <c r="G2539" s="11" t="s">
        <v>13585</v>
      </c>
      <c r="H2539" s="11" t="s">
        <v>13574</v>
      </c>
      <c r="I2539" s="11" t="str">
        <f>HYPERLINK("http://www.abbigliamentobambiniprixpourtoi.com/","www.abbigliamentobambiniprixpourtoi.com")</f>
        <v>www.abbigliamentobambiniprixpourtoi.com</v>
      </c>
      <c r="J2539" s="12">
        <v>1978.5060000000001</v>
      </c>
      <c r="K2539" s="12">
        <v>1978.5060000000001</v>
      </c>
      <c r="L2539" s="13">
        <v>1502.972</v>
      </c>
      <c r="M2539" s="12">
        <v>76.959000000000003</v>
      </c>
      <c r="N2539" s="12">
        <v>76.959000000000003</v>
      </c>
      <c r="O2539" s="12">
        <v>48.594000000000001</v>
      </c>
      <c r="P2539" s="14" t="s">
        <v>13556</v>
      </c>
      <c r="Q2539" s="14" t="s">
        <v>13556</v>
      </c>
      <c r="R2539" s="12">
        <v>7</v>
      </c>
    </row>
    <row r="2540" spans="1:18" ht="17" customHeight="1" x14ac:dyDescent="0.15">
      <c r="A2540" s="8" t="s">
        <v>13586</v>
      </c>
      <c r="B2540" s="9" t="s">
        <v>13587</v>
      </c>
      <c r="C2540" s="8" t="s">
        <v>13588</v>
      </c>
      <c r="D2540" s="8" t="s">
        <v>13588</v>
      </c>
      <c r="E2540" s="8" t="s">
        <v>13589</v>
      </c>
      <c r="F2540" s="8" t="s">
        <v>13548</v>
      </c>
      <c r="G2540" s="8" t="s">
        <v>13549</v>
      </c>
      <c r="H2540" s="8" t="s">
        <v>13523</v>
      </c>
      <c r="I2540" s="8" t="str">
        <f>HYPERLINK("http://www.lospecchioconfezioni.com/","www.lospecchioconfezioni.com")</f>
        <v>www.lospecchioconfezioni.com</v>
      </c>
      <c r="J2540" s="10">
        <v>2418.5459999999998</v>
      </c>
      <c r="K2540" s="10">
        <v>2418.5459999999998</v>
      </c>
      <c r="L2540" s="10">
        <v>1502.1089999999999</v>
      </c>
      <c r="M2540" s="10">
        <v>4.9189999999999996</v>
      </c>
      <c r="N2540" s="10">
        <v>4.9189999999999996</v>
      </c>
      <c r="O2540" s="10">
        <v>12.081</v>
      </c>
      <c r="P2540" s="10">
        <v>7</v>
      </c>
      <c r="Q2540" s="10">
        <v>7</v>
      </c>
      <c r="R2540" s="10">
        <v>7</v>
      </c>
    </row>
    <row r="2541" spans="1:18" ht="17" customHeight="1" x14ac:dyDescent="0.15">
      <c r="A2541" s="11" t="s">
        <v>13590</v>
      </c>
      <c r="B2541" s="1" t="s">
        <v>13591</v>
      </c>
      <c r="C2541" s="11" t="s">
        <v>13592</v>
      </c>
      <c r="D2541" s="11" t="s">
        <v>13592</v>
      </c>
      <c r="E2541" s="11" t="s">
        <v>13593</v>
      </c>
      <c r="F2541" s="11" t="s">
        <v>13521</v>
      </c>
      <c r="G2541" s="11" t="s">
        <v>13594</v>
      </c>
      <c r="H2541" s="11" t="s">
        <v>13555</v>
      </c>
      <c r="I2541" s="11" t="str">
        <f>HYPERLINK("http://www.stilnovo.it/","www.stilnovo.it")</f>
        <v>www.stilnovo.it</v>
      </c>
      <c r="J2541" s="12">
        <v>1138.8019999999999</v>
      </c>
      <c r="K2541" s="12">
        <v>1138.8019999999999</v>
      </c>
      <c r="L2541" s="13">
        <v>1499.492</v>
      </c>
      <c r="M2541" s="12">
        <v>-155.80799999999999</v>
      </c>
      <c r="N2541" s="12">
        <v>-155.80799999999999</v>
      </c>
      <c r="O2541" s="12">
        <v>22.173999999999999</v>
      </c>
      <c r="P2541" s="12">
        <v>8</v>
      </c>
      <c r="Q2541" s="12">
        <v>8</v>
      </c>
      <c r="R2541" s="12">
        <v>7</v>
      </c>
    </row>
    <row r="2542" spans="1:18" ht="17" customHeight="1" x14ac:dyDescent="0.15">
      <c r="A2542" s="8" t="s">
        <v>13595</v>
      </c>
      <c r="B2542" s="9" t="s">
        <v>13596</v>
      </c>
      <c r="C2542" s="8" t="s">
        <v>13597</v>
      </c>
      <c r="D2542" s="8" t="s">
        <v>13597</v>
      </c>
      <c r="E2542" s="8" t="s">
        <v>13598</v>
      </c>
      <c r="F2542" s="8" t="s">
        <v>13599</v>
      </c>
      <c r="G2542" s="8" t="s">
        <v>13600</v>
      </c>
      <c r="H2542" s="8" t="s">
        <v>13601</v>
      </c>
      <c r="I2542" s="8" t="str">
        <f>HYPERLINK("http://www.italproduzioni.it/","www.italproduzioni.it")</f>
        <v>www.italproduzioni.it</v>
      </c>
      <c r="J2542" s="10">
        <v>1544.3520000000001</v>
      </c>
      <c r="K2542" s="10">
        <v>1544.3520000000001</v>
      </c>
      <c r="L2542" s="10">
        <v>1499.29</v>
      </c>
      <c r="M2542" s="10">
        <v>261.86900000000003</v>
      </c>
      <c r="N2542" s="10">
        <v>261.86900000000003</v>
      </c>
      <c r="O2542" s="10">
        <v>146.72</v>
      </c>
      <c r="P2542" s="15" t="s">
        <v>13556</v>
      </c>
      <c r="Q2542" s="15" t="s">
        <v>13556</v>
      </c>
      <c r="R2542" s="10">
        <v>34</v>
      </c>
    </row>
    <row r="2543" spans="1:18" ht="17" customHeight="1" x14ac:dyDescent="0.15">
      <c r="A2543" s="11" t="s">
        <v>13602</v>
      </c>
      <c r="B2543" s="1" t="s">
        <v>13603</v>
      </c>
      <c r="C2543" s="11" t="s">
        <v>13604</v>
      </c>
      <c r="D2543" s="11" t="s">
        <v>13604</v>
      </c>
      <c r="E2543" s="11" t="s">
        <v>13605</v>
      </c>
      <c r="F2543" s="11" t="s">
        <v>13579</v>
      </c>
      <c r="G2543" s="11" t="s">
        <v>13606</v>
      </c>
      <c r="H2543" s="11" t="s">
        <v>13555</v>
      </c>
      <c r="I2543" s="11" t="str">
        <f>HYPERLINK("http://www.jrwmfashion.com/","www.jrwmfashion.com")</f>
        <v>www.jrwmfashion.com</v>
      </c>
      <c r="J2543" s="12">
        <v>1546.107</v>
      </c>
      <c r="K2543" s="12">
        <v>1546.107</v>
      </c>
      <c r="L2543" s="13">
        <v>1497.1469999999999</v>
      </c>
      <c r="M2543" s="12">
        <v>12.275</v>
      </c>
      <c r="N2543" s="12">
        <v>12.275</v>
      </c>
      <c r="O2543" s="12">
        <v>26.189</v>
      </c>
      <c r="P2543" s="14" t="s">
        <v>13556</v>
      </c>
      <c r="Q2543" s="14" t="s">
        <v>13556</v>
      </c>
      <c r="R2543" s="12">
        <v>11</v>
      </c>
    </row>
    <row r="2544" spans="1:18" ht="17" customHeight="1" x14ac:dyDescent="0.15">
      <c r="A2544" s="8" t="s">
        <v>13607</v>
      </c>
      <c r="B2544" s="9" t="s">
        <v>13608</v>
      </c>
      <c r="C2544" s="8" t="s">
        <v>13609</v>
      </c>
      <c r="D2544" s="8" t="s">
        <v>13609</v>
      </c>
      <c r="E2544" s="8" t="s">
        <v>13610</v>
      </c>
      <c r="F2544" s="8" t="s">
        <v>13611</v>
      </c>
      <c r="G2544" s="8" t="s">
        <v>13612</v>
      </c>
      <c r="H2544" s="8" t="s">
        <v>13537</v>
      </c>
      <c r="I2544" s="8" t="str">
        <f>HYPERLINK("http://marchettopellami.com/","marchettopellami.com")</f>
        <v>marchettopellami.com</v>
      </c>
      <c r="J2544" s="10">
        <v>3267.3409999999999</v>
      </c>
      <c r="K2544" s="10">
        <v>150.34299999999999</v>
      </c>
      <c r="L2544" s="10">
        <v>1494.25</v>
      </c>
      <c r="M2544" s="10">
        <v>99.745999999999995</v>
      </c>
      <c r="N2544" s="10">
        <v>-45.978999999999999</v>
      </c>
      <c r="O2544" s="10">
        <v>25.613</v>
      </c>
      <c r="P2544" s="10">
        <v>12</v>
      </c>
      <c r="Q2544" s="10">
        <v>4</v>
      </c>
      <c r="R2544" s="10">
        <v>24</v>
      </c>
    </row>
    <row r="2545" spans="1:18" ht="17" customHeight="1" x14ac:dyDescent="0.15">
      <c r="A2545" s="11" t="s">
        <v>13613</v>
      </c>
      <c r="B2545" s="1" t="s">
        <v>13614</v>
      </c>
      <c r="C2545" s="11" t="s">
        <v>13615</v>
      </c>
      <c r="D2545" s="11" t="s">
        <v>13615</v>
      </c>
      <c r="E2545" s="11" t="s">
        <v>13616</v>
      </c>
      <c r="F2545" s="11" t="s">
        <v>13611</v>
      </c>
      <c r="G2545" s="11" t="s">
        <v>13612</v>
      </c>
      <c r="H2545" s="11" t="s">
        <v>13537</v>
      </c>
      <c r="I2545" s="11" t="str">
        <f>HYPERLINK("http://www.conceriagiada.it/","www.conceriagiada.it")</f>
        <v>www.conceriagiada.it</v>
      </c>
      <c r="J2545" s="12">
        <v>1457.97</v>
      </c>
      <c r="K2545" s="12">
        <v>1457.97</v>
      </c>
      <c r="L2545" s="13">
        <v>1493.6310000000001</v>
      </c>
      <c r="M2545" s="12">
        <v>149.084</v>
      </c>
      <c r="N2545" s="12">
        <v>149.084</v>
      </c>
      <c r="O2545" s="12">
        <v>95.444999999999993</v>
      </c>
      <c r="P2545" s="12">
        <v>0</v>
      </c>
      <c r="Q2545" s="12">
        <v>0</v>
      </c>
      <c r="R2545" s="12">
        <v>0</v>
      </c>
    </row>
    <row r="2546" spans="1:18" ht="17" customHeight="1" x14ac:dyDescent="0.15">
      <c r="A2546" s="8" t="s">
        <v>13617</v>
      </c>
      <c r="B2546" s="9" t="s">
        <v>13618</v>
      </c>
      <c r="C2546" s="8" t="s">
        <v>13619</v>
      </c>
      <c r="D2546" s="8" t="s">
        <v>13619</v>
      </c>
      <c r="E2546" s="8" t="s">
        <v>13620</v>
      </c>
      <c r="F2546" s="8" t="s">
        <v>13521</v>
      </c>
      <c r="G2546" s="8" t="s">
        <v>13621</v>
      </c>
      <c r="H2546" s="8" t="s">
        <v>13523</v>
      </c>
      <c r="I2546" s="8" t="str">
        <f>HYPERLINK("http://www.dansidance.it/","www.dansidance.it")</f>
        <v>www.dansidance.it</v>
      </c>
      <c r="J2546" s="10">
        <v>595.06299999999999</v>
      </c>
      <c r="K2546" s="10">
        <v>595.06299999999999</v>
      </c>
      <c r="L2546" s="10">
        <v>1493.479</v>
      </c>
      <c r="M2546" s="10">
        <v>-64.212000000000003</v>
      </c>
      <c r="N2546" s="10">
        <v>-64.212000000000003</v>
      </c>
      <c r="O2546" s="10">
        <v>197.828</v>
      </c>
      <c r="P2546" s="10">
        <v>8</v>
      </c>
      <c r="Q2546" s="10">
        <v>8</v>
      </c>
      <c r="R2546" s="10">
        <v>5</v>
      </c>
    </row>
    <row r="2547" spans="1:18" ht="29.5" customHeight="1" x14ac:dyDescent="0.15">
      <c r="A2547" s="11" t="s">
        <v>13622</v>
      </c>
      <c r="B2547" s="1" t="s">
        <v>13623</v>
      </c>
      <c r="C2547" s="11" t="s">
        <v>13624</v>
      </c>
      <c r="D2547" s="11" t="s">
        <v>13624</v>
      </c>
      <c r="E2547" s="11" t="s">
        <v>13625</v>
      </c>
      <c r="F2547" s="11" t="s">
        <v>13626</v>
      </c>
      <c r="G2547" s="11" t="s">
        <v>13627</v>
      </c>
      <c r="H2547" s="11" t="s">
        <v>13530</v>
      </c>
      <c r="I2547" s="11" t="str">
        <f>HYPERLINK("http://www.manifatturedelnevola.it/","www.manifatturedelnevola.it")</f>
        <v>www.manifatturedelnevola.it</v>
      </c>
      <c r="J2547" s="12">
        <v>2111.3679999999999</v>
      </c>
      <c r="K2547" s="12">
        <v>2111.3679999999999</v>
      </c>
      <c r="L2547" s="13">
        <v>1491.2</v>
      </c>
      <c r="M2547" s="12">
        <v>5.2480000000000002</v>
      </c>
      <c r="N2547" s="12">
        <v>5.2480000000000002</v>
      </c>
      <c r="O2547" s="12">
        <v>0.126</v>
      </c>
      <c r="P2547" s="12">
        <v>15</v>
      </c>
      <c r="Q2547" s="12">
        <v>15</v>
      </c>
      <c r="R2547" s="12">
        <v>20</v>
      </c>
    </row>
    <row r="2548" spans="1:18" ht="17" customHeight="1" x14ac:dyDescent="0.15">
      <c r="A2548" s="8" t="s">
        <v>13628</v>
      </c>
      <c r="B2548" s="9" t="s">
        <v>13629</v>
      </c>
      <c r="C2548" s="8" t="s">
        <v>13630</v>
      </c>
      <c r="D2548" s="8" t="s">
        <v>13630</v>
      </c>
      <c r="E2548" s="8" t="s">
        <v>13631</v>
      </c>
      <c r="F2548" s="8" t="s">
        <v>13528</v>
      </c>
      <c r="G2548" s="8" t="s">
        <v>13594</v>
      </c>
      <c r="H2548" s="8" t="s">
        <v>13555</v>
      </c>
      <c r="I2548" s="8" t="str">
        <f>HYPERLINK("http://www.melissasrl.it/","www.melissasrl.it")</f>
        <v>www.melissasrl.it</v>
      </c>
      <c r="J2548" s="10">
        <v>1607.2619999999999</v>
      </c>
      <c r="K2548" s="10">
        <v>1607.2619999999999</v>
      </c>
      <c r="L2548" s="10">
        <v>1489.8140000000001</v>
      </c>
      <c r="M2548" s="10">
        <v>355.95</v>
      </c>
      <c r="N2548" s="10">
        <v>355.95</v>
      </c>
      <c r="O2548" s="10">
        <v>406.67099999999999</v>
      </c>
      <c r="P2548" s="10">
        <v>21</v>
      </c>
      <c r="Q2548" s="10">
        <v>21</v>
      </c>
      <c r="R2548" s="10">
        <v>22</v>
      </c>
    </row>
    <row r="2549" spans="1:18" ht="17" customHeight="1" x14ac:dyDescent="0.15">
      <c r="A2549" s="11" t="s">
        <v>13632</v>
      </c>
      <c r="B2549" s="1" t="s">
        <v>13633</v>
      </c>
      <c r="C2549" s="11" t="s">
        <v>13634</v>
      </c>
      <c r="D2549" s="11" t="s">
        <v>13634</v>
      </c>
      <c r="E2549" s="11" t="s">
        <v>13635</v>
      </c>
      <c r="F2549" s="11" t="s">
        <v>13599</v>
      </c>
      <c r="G2549" s="11" t="s">
        <v>13636</v>
      </c>
      <c r="H2549" s="11" t="s">
        <v>13637</v>
      </c>
      <c r="I2549" s="11" t="str">
        <f>HYPERLINK("http://www.care-label.it/","www.care-label.it")</f>
        <v>www.care-label.it</v>
      </c>
      <c r="J2549" s="12">
        <v>1520.6189999999999</v>
      </c>
      <c r="K2549" s="12">
        <v>1520.6189999999999</v>
      </c>
      <c r="L2549" s="13">
        <v>1488.028</v>
      </c>
      <c r="M2549" s="12">
        <v>26.765000000000001</v>
      </c>
      <c r="N2549" s="12">
        <v>26.765000000000001</v>
      </c>
      <c r="O2549" s="12">
        <v>75.215000000000003</v>
      </c>
      <c r="P2549" s="14" t="s">
        <v>13556</v>
      </c>
      <c r="Q2549" s="14" t="s">
        <v>13556</v>
      </c>
      <c r="R2549" s="12">
        <v>4</v>
      </c>
    </row>
    <row r="2550" spans="1:18" ht="17" customHeight="1" x14ac:dyDescent="0.15">
      <c r="A2550" s="8" t="s">
        <v>13638</v>
      </c>
      <c r="B2550" s="9" t="s">
        <v>13639</v>
      </c>
      <c r="C2550" s="8" t="s">
        <v>13640</v>
      </c>
      <c r="D2550" s="8" t="s">
        <v>13640</v>
      </c>
      <c r="E2550" s="8" t="s">
        <v>13641</v>
      </c>
      <c r="F2550" s="8" t="s">
        <v>13572</v>
      </c>
      <c r="G2550" s="8" t="s">
        <v>13606</v>
      </c>
      <c r="H2550" s="8" t="s">
        <v>13555</v>
      </c>
      <c r="I2550" s="8" t="str">
        <f>HYPERLINK("http://www.danielag.it/","www.danielag.it")</f>
        <v>www.danielag.it</v>
      </c>
      <c r="J2550" s="10">
        <v>1680.5509999999999</v>
      </c>
      <c r="K2550" s="10">
        <v>1680.5509999999999</v>
      </c>
      <c r="L2550" s="10">
        <v>1487.693</v>
      </c>
      <c r="M2550" s="10">
        <v>18.481000000000002</v>
      </c>
      <c r="N2550" s="10">
        <v>18.481000000000002</v>
      </c>
      <c r="O2550" s="10">
        <v>19.515999999999998</v>
      </c>
      <c r="P2550" s="10">
        <v>7</v>
      </c>
      <c r="Q2550" s="10">
        <v>7</v>
      </c>
      <c r="R2550" s="10">
        <v>7</v>
      </c>
    </row>
    <row r="2551" spans="1:18" ht="17" customHeight="1" x14ac:dyDescent="0.15">
      <c r="A2551" s="11" t="s">
        <v>13642</v>
      </c>
      <c r="B2551" s="1" t="s">
        <v>13643</v>
      </c>
      <c r="C2551" s="11" t="s">
        <v>13644</v>
      </c>
      <c r="D2551" s="11" t="s">
        <v>13644</v>
      </c>
      <c r="E2551" s="11" t="s">
        <v>13645</v>
      </c>
      <c r="F2551" s="11" t="s">
        <v>13626</v>
      </c>
      <c r="G2551" s="11" t="s">
        <v>13612</v>
      </c>
      <c r="H2551" s="11" t="s">
        <v>13537</v>
      </c>
      <c r="I2551" s="11" t="str">
        <f>HYPERLINK("http://www.still95.it/","www.still95.it")</f>
        <v>www.still95.it</v>
      </c>
      <c r="J2551" s="12">
        <v>2877.7739999999999</v>
      </c>
      <c r="K2551" s="12">
        <v>2877.7739999999999</v>
      </c>
      <c r="L2551" s="13">
        <v>1486.1320000000001</v>
      </c>
      <c r="M2551" s="12">
        <v>191.92699999999999</v>
      </c>
      <c r="N2551" s="12">
        <v>191.92699999999999</v>
      </c>
      <c r="O2551" s="12">
        <v>34.962000000000003</v>
      </c>
      <c r="P2551" s="12">
        <v>14</v>
      </c>
      <c r="Q2551" s="12">
        <v>14</v>
      </c>
      <c r="R2551" s="12">
        <v>13</v>
      </c>
    </row>
    <row r="2552" spans="1:18" ht="17" customHeight="1" x14ac:dyDescent="0.15">
      <c r="A2552" s="8" t="s">
        <v>13646</v>
      </c>
      <c r="B2552" s="9" t="s">
        <v>13647</v>
      </c>
      <c r="C2552" s="8" t="s">
        <v>13648</v>
      </c>
      <c r="D2552" s="8" t="s">
        <v>13648</v>
      </c>
      <c r="E2552" s="8" t="s">
        <v>13649</v>
      </c>
      <c r="F2552" s="8" t="s">
        <v>13579</v>
      </c>
      <c r="G2552" s="8" t="s">
        <v>13650</v>
      </c>
      <c r="H2552" s="8" t="s">
        <v>13601</v>
      </c>
      <c r="I2552" s="8" t="str">
        <f>HYPERLINK("http://www.dickson-camicie.it/","www.dickson-camicie.it")</f>
        <v>www.dickson-camicie.it</v>
      </c>
      <c r="J2552" s="10">
        <v>2072.4459999999999</v>
      </c>
      <c r="K2552" s="10">
        <v>2072.4459999999999</v>
      </c>
      <c r="L2552" s="10">
        <v>1486.146</v>
      </c>
      <c r="M2552" s="10">
        <v>30.427</v>
      </c>
      <c r="N2552" s="10">
        <v>30.427</v>
      </c>
      <c r="O2552" s="10">
        <v>16.59</v>
      </c>
      <c r="P2552" s="15" t="s">
        <v>13556</v>
      </c>
      <c r="Q2552" s="15" t="s">
        <v>13556</v>
      </c>
      <c r="R2552" s="10">
        <v>9</v>
      </c>
    </row>
    <row r="2553" spans="1:18" ht="29.5" customHeight="1" x14ac:dyDescent="0.15">
      <c r="A2553" s="11" t="s">
        <v>13651</v>
      </c>
      <c r="B2553" s="1" t="s">
        <v>13652</v>
      </c>
      <c r="C2553" s="11" t="s">
        <v>13653</v>
      </c>
      <c r="D2553" s="11" t="s">
        <v>13653</v>
      </c>
      <c r="E2553" s="11" t="s">
        <v>13654</v>
      </c>
      <c r="F2553" s="11" t="s">
        <v>13599</v>
      </c>
      <c r="G2553" s="11" t="s">
        <v>13600</v>
      </c>
      <c r="H2553" s="11" t="s">
        <v>13601</v>
      </c>
      <c r="I2553" s="11" t="str">
        <f>HYPERLINK("http://smartlabitalia.com/","smartlabitalia.com")</f>
        <v>smartlabitalia.com</v>
      </c>
      <c r="J2553" s="12">
        <v>1840.327</v>
      </c>
      <c r="K2553" s="12">
        <v>1840.327</v>
      </c>
      <c r="L2553" s="13">
        <v>1484.809</v>
      </c>
      <c r="M2553" s="12">
        <v>27.378</v>
      </c>
      <c r="N2553" s="12">
        <v>27.378</v>
      </c>
      <c r="O2553" s="12">
        <v>21.856999999999999</v>
      </c>
      <c r="P2553" s="14" t="s">
        <v>13556</v>
      </c>
      <c r="Q2553" s="14" t="s">
        <v>13556</v>
      </c>
      <c r="R2553" s="12">
        <v>15</v>
      </c>
    </row>
    <row r="2554" spans="1:18" ht="17" customHeight="1" x14ac:dyDescent="0.15">
      <c r="A2554" s="8" t="s">
        <v>13655</v>
      </c>
      <c r="B2554" s="9" t="s">
        <v>13656</v>
      </c>
      <c r="C2554" s="8" t="s">
        <v>13657</v>
      </c>
      <c r="D2554" s="8" t="s">
        <v>13657</v>
      </c>
      <c r="E2554" s="8" t="s">
        <v>13658</v>
      </c>
      <c r="F2554" s="8" t="s">
        <v>13521</v>
      </c>
      <c r="G2554" s="8" t="s">
        <v>13659</v>
      </c>
      <c r="H2554" s="8" t="s">
        <v>13523</v>
      </c>
      <c r="I2554" s="8" t="str">
        <f>HYPERLINK("http://www.lalunacollant.com/","www.lalunacollant.com")</f>
        <v>www.lalunacollant.com</v>
      </c>
      <c r="J2554" s="10">
        <v>1240.742</v>
      </c>
      <c r="K2554" s="10">
        <v>1240.742</v>
      </c>
      <c r="L2554" s="10">
        <v>1484.5619999999999</v>
      </c>
      <c r="M2554" s="10">
        <v>132.113</v>
      </c>
      <c r="N2554" s="10">
        <v>132.113</v>
      </c>
      <c r="O2554" s="10">
        <v>233.36</v>
      </c>
      <c r="P2554" s="10">
        <v>14</v>
      </c>
      <c r="Q2554" s="10">
        <v>14</v>
      </c>
      <c r="R2554" s="10">
        <v>16</v>
      </c>
    </row>
    <row r="2555" spans="1:18" ht="17" customHeight="1" x14ac:dyDescent="0.15">
      <c r="A2555" s="11" t="s">
        <v>13660</v>
      </c>
      <c r="B2555" s="1" t="s">
        <v>13661</v>
      </c>
      <c r="C2555" s="11" t="s">
        <v>13662</v>
      </c>
      <c r="D2555" s="11" t="s">
        <v>13662</v>
      </c>
      <c r="E2555" s="11" t="s">
        <v>13663</v>
      </c>
      <c r="F2555" s="11" t="s">
        <v>13548</v>
      </c>
      <c r="G2555" s="11" t="s">
        <v>13543</v>
      </c>
      <c r="H2555" s="11" t="s">
        <v>13537</v>
      </c>
      <c r="I2555" s="11" t="str">
        <f>HYPERLINK("http://2022.faustosari.com/","2022.faustosari.com")</f>
        <v>2022.faustosari.com</v>
      </c>
      <c r="J2555" s="12">
        <v>1361.164</v>
      </c>
      <c r="K2555" s="12">
        <v>1361.164</v>
      </c>
      <c r="L2555" s="13">
        <v>1484.374</v>
      </c>
      <c r="M2555" s="12">
        <v>9.048</v>
      </c>
      <c r="N2555" s="12">
        <v>9.048</v>
      </c>
      <c r="O2555" s="12">
        <v>20.529</v>
      </c>
      <c r="P2555" s="12">
        <v>14</v>
      </c>
      <c r="Q2555" s="12">
        <v>14</v>
      </c>
      <c r="R2555" s="12">
        <v>13</v>
      </c>
    </row>
    <row r="2556" spans="1:18" ht="17" customHeight="1" x14ac:dyDescent="0.15">
      <c r="A2556" s="8" t="s">
        <v>13664</v>
      </c>
      <c r="B2556" s="9" t="s">
        <v>13665</v>
      </c>
      <c r="C2556" s="8" t="s">
        <v>13666</v>
      </c>
      <c r="D2556" s="8" t="s">
        <v>13667</v>
      </c>
      <c r="E2556" s="8" t="s">
        <v>13668</v>
      </c>
      <c r="F2556" s="8" t="s">
        <v>13599</v>
      </c>
      <c r="G2556" s="8" t="s">
        <v>13669</v>
      </c>
      <c r="H2556" s="8" t="s">
        <v>13523</v>
      </c>
      <c r="I2556" s="8" t="str">
        <f>HYPERLINK("http://corima.net/","corima.net")</f>
        <v>corima.net</v>
      </c>
      <c r="J2556" s="10">
        <v>1742.2159999999999</v>
      </c>
      <c r="K2556" s="10">
        <v>1742.2159999999999</v>
      </c>
      <c r="L2556" s="10">
        <v>1479.5650000000001</v>
      </c>
      <c r="M2556" s="10">
        <v>-139.05699999999999</v>
      </c>
      <c r="N2556" s="10">
        <v>-139.05699999999999</v>
      </c>
      <c r="O2556" s="10">
        <v>5.2510000000000003</v>
      </c>
      <c r="P2556" s="10">
        <v>3</v>
      </c>
      <c r="Q2556" s="10">
        <v>3</v>
      </c>
      <c r="R2556" s="10">
        <v>3</v>
      </c>
    </row>
    <row r="2557" spans="1:18" ht="17" customHeight="1" x14ac:dyDescent="0.15">
      <c r="A2557" s="11" t="s">
        <v>13670</v>
      </c>
      <c r="B2557" s="1" t="s">
        <v>13671</v>
      </c>
      <c r="C2557" s="11" t="s">
        <v>13672</v>
      </c>
      <c r="D2557" s="11" t="s">
        <v>13672</v>
      </c>
      <c r="E2557" s="11" t="s">
        <v>13673</v>
      </c>
      <c r="F2557" s="11" t="s">
        <v>13535</v>
      </c>
      <c r="G2557" s="11" t="s">
        <v>13674</v>
      </c>
      <c r="H2557" s="11" t="s">
        <v>13675</v>
      </c>
      <c r="I2557" s="11" t="str">
        <f>HYPERLINK("http://www.orimoda.it/","www.orimoda.it")</f>
        <v>www.orimoda.it</v>
      </c>
      <c r="J2557" s="12">
        <v>1601.569</v>
      </c>
      <c r="K2557" s="12">
        <v>1601.569</v>
      </c>
      <c r="L2557" s="13">
        <v>1479.491</v>
      </c>
      <c r="M2557" s="12">
        <v>36.103000000000002</v>
      </c>
      <c r="N2557" s="12">
        <v>36.103000000000002</v>
      </c>
      <c r="O2557" s="12">
        <v>35.246000000000002</v>
      </c>
      <c r="P2557" s="14" t="s">
        <v>13556</v>
      </c>
      <c r="Q2557" s="14" t="s">
        <v>13556</v>
      </c>
      <c r="R2557" s="12">
        <v>3</v>
      </c>
    </row>
    <row r="2558" spans="1:18" ht="17" customHeight="1" x14ac:dyDescent="0.15">
      <c r="A2558" s="8" t="s">
        <v>13676</v>
      </c>
      <c r="B2558" s="9" t="s">
        <v>13677</v>
      </c>
      <c r="C2558" s="8" t="s">
        <v>13678</v>
      </c>
      <c r="D2558" s="8" t="s">
        <v>13678</v>
      </c>
      <c r="E2558" s="8" t="s">
        <v>13679</v>
      </c>
      <c r="F2558" s="8" t="s">
        <v>13566</v>
      </c>
      <c r="G2558" s="8" t="s">
        <v>13680</v>
      </c>
      <c r="H2558" s="8" t="s">
        <v>13523</v>
      </c>
      <c r="I2558" s="8" t="str">
        <f>HYPERLINK("http://www.nuovaimmaginesrl.com/","www.nuovaimmaginesrl.com")</f>
        <v>www.nuovaimmaginesrl.com</v>
      </c>
      <c r="J2558" s="10">
        <v>1642.6969999999999</v>
      </c>
      <c r="K2558" s="10">
        <v>1642.6969999999999</v>
      </c>
      <c r="L2558" s="10">
        <v>1479.4269999999999</v>
      </c>
      <c r="M2558" s="10">
        <v>284.73099999999999</v>
      </c>
      <c r="N2558" s="10">
        <v>284.73099999999999</v>
      </c>
      <c r="O2558" s="10">
        <v>258.57</v>
      </c>
      <c r="P2558" s="10">
        <v>13</v>
      </c>
      <c r="Q2558" s="10">
        <v>13</v>
      </c>
      <c r="R2558" s="10">
        <v>12</v>
      </c>
    </row>
    <row r="2559" spans="1:18" ht="17" customHeight="1" x14ac:dyDescent="0.15">
      <c r="A2559" s="11" t="s">
        <v>13681</v>
      </c>
      <c r="B2559" s="1" t="s">
        <v>13682</v>
      </c>
      <c r="C2559" s="11" t="s">
        <v>13683</v>
      </c>
      <c r="D2559" s="11" t="s">
        <v>13683</v>
      </c>
      <c r="E2559" s="11" t="s">
        <v>13684</v>
      </c>
      <c r="F2559" s="11" t="s">
        <v>13572</v>
      </c>
      <c r="G2559" s="11" t="s">
        <v>13685</v>
      </c>
      <c r="H2559" s="11" t="s">
        <v>13675</v>
      </c>
      <c r="I2559" s="11" t="str">
        <f>HYPERLINK("http://www.cuffieregina.it/","www.cuffieregina.it")</f>
        <v>www.cuffieregina.it</v>
      </c>
      <c r="J2559" s="12">
        <v>1578.5730000000001</v>
      </c>
      <c r="K2559" s="12">
        <v>1578.5730000000001</v>
      </c>
      <c r="L2559" s="13">
        <v>1479.4390000000001</v>
      </c>
      <c r="M2559" s="12">
        <v>-29.57</v>
      </c>
      <c r="N2559" s="12">
        <v>-29.57</v>
      </c>
      <c r="O2559" s="12">
        <v>28.468</v>
      </c>
      <c r="P2559" s="12">
        <v>7</v>
      </c>
      <c r="Q2559" s="12">
        <v>7</v>
      </c>
      <c r="R2559" s="12">
        <v>6</v>
      </c>
    </row>
    <row r="2560" spans="1:18" ht="17" customHeight="1" x14ac:dyDescent="0.15">
      <c r="A2560" s="8" t="s">
        <v>13686</v>
      </c>
      <c r="B2560" s="9" t="s">
        <v>13687</v>
      </c>
      <c r="C2560" s="8" t="s">
        <v>13688</v>
      </c>
      <c r="D2560" s="8" t="s">
        <v>13688</v>
      </c>
      <c r="E2560" s="8" t="s">
        <v>13689</v>
      </c>
      <c r="F2560" s="8" t="s">
        <v>13599</v>
      </c>
      <c r="G2560" s="8" t="s">
        <v>13690</v>
      </c>
      <c r="H2560" s="8" t="s">
        <v>13601</v>
      </c>
      <c r="I2560" s="8" t="str">
        <f>HYPERLINK("http://sambati.it/","sambati.it")</f>
        <v>sambati.it</v>
      </c>
      <c r="J2560" s="10">
        <v>1511.941</v>
      </c>
      <c r="K2560" s="10">
        <v>1511.941</v>
      </c>
      <c r="L2560" s="10">
        <v>1479.2429999999999</v>
      </c>
      <c r="M2560" s="10">
        <v>147.94300000000001</v>
      </c>
      <c r="N2560" s="10">
        <v>147.94300000000001</v>
      </c>
      <c r="O2560" s="10">
        <v>255.947</v>
      </c>
      <c r="P2560" s="15" t="s">
        <v>13556</v>
      </c>
      <c r="Q2560" s="15" t="s">
        <v>13556</v>
      </c>
      <c r="R2560" s="10">
        <v>27</v>
      </c>
    </row>
    <row r="2561" spans="1:18" ht="17" customHeight="1" x14ac:dyDescent="0.15">
      <c r="A2561" s="11" t="s">
        <v>13691</v>
      </c>
      <c r="B2561" s="1" t="s">
        <v>13692</v>
      </c>
      <c r="C2561" s="11" t="s">
        <v>13693</v>
      </c>
      <c r="D2561" s="11" t="s">
        <v>13693</v>
      </c>
      <c r="E2561" s="11" t="s">
        <v>13694</v>
      </c>
      <c r="F2561" s="11" t="s">
        <v>13695</v>
      </c>
      <c r="G2561" s="11" t="s">
        <v>13696</v>
      </c>
      <c r="H2561" s="11" t="s">
        <v>13697</v>
      </c>
      <c r="I2561" s="11" t="str">
        <f>HYPERLINK("http://www.conbimoda.com/","www.conbimoda.com")</f>
        <v>www.conbimoda.com</v>
      </c>
      <c r="J2561" s="12">
        <v>1628.337</v>
      </c>
      <c r="K2561" s="12">
        <v>1628.337</v>
      </c>
      <c r="L2561" s="13">
        <v>1476.8009999999999</v>
      </c>
      <c r="M2561" s="12">
        <v>75.852999999999994</v>
      </c>
      <c r="N2561" s="12">
        <v>75.852999999999994</v>
      </c>
      <c r="O2561" s="12">
        <v>95.384</v>
      </c>
      <c r="P2561" s="14" t="s">
        <v>13698</v>
      </c>
      <c r="Q2561" s="14" t="s">
        <v>13698</v>
      </c>
      <c r="R2561" s="12">
        <v>16</v>
      </c>
    </row>
    <row r="2562" spans="1:18" ht="17" customHeight="1" x14ac:dyDescent="0.15">
      <c r="A2562" s="8" t="s">
        <v>13699</v>
      </c>
      <c r="B2562" s="9" t="s">
        <v>13700</v>
      </c>
      <c r="C2562" s="8" t="s">
        <v>13701</v>
      </c>
      <c r="D2562" s="8" t="s">
        <v>13701</v>
      </c>
      <c r="E2562" s="8" t="s">
        <v>13702</v>
      </c>
      <c r="F2562" s="8" t="s">
        <v>13703</v>
      </c>
      <c r="G2562" s="8" t="s">
        <v>13704</v>
      </c>
      <c r="H2562" s="8" t="s">
        <v>13697</v>
      </c>
      <c r="I2562" s="8" t="str">
        <f>HYPERLINK("http://www.emmeerre.srl/","www.emmeerre.srl")</f>
        <v>www.emmeerre.srl</v>
      </c>
      <c r="J2562" s="10">
        <v>2080.3020000000001</v>
      </c>
      <c r="K2562" s="10">
        <v>2080.3020000000001</v>
      </c>
      <c r="L2562" s="10">
        <v>1476.681</v>
      </c>
      <c r="M2562" s="10">
        <v>-38.884</v>
      </c>
      <c r="N2562" s="10">
        <v>-38.884</v>
      </c>
      <c r="O2562" s="10">
        <v>25.146000000000001</v>
      </c>
      <c r="P2562" s="10">
        <v>55</v>
      </c>
      <c r="Q2562" s="10">
        <v>55</v>
      </c>
      <c r="R2562" s="10">
        <v>26</v>
      </c>
    </row>
    <row r="2563" spans="1:18" ht="17" customHeight="1" x14ac:dyDescent="0.15">
      <c r="A2563" s="11" t="s">
        <v>13705</v>
      </c>
      <c r="B2563" s="1" t="s">
        <v>13706</v>
      </c>
      <c r="C2563" s="11" t="s">
        <v>13707</v>
      </c>
      <c r="D2563" s="11" t="s">
        <v>13707</v>
      </c>
      <c r="E2563" s="11" t="s">
        <v>13708</v>
      </c>
      <c r="F2563" s="11" t="s">
        <v>13709</v>
      </c>
      <c r="G2563" s="11" t="s">
        <v>13710</v>
      </c>
      <c r="H2563" s="11" t="s">
        <v>13711</v>
      </c>
      <c r="I2563" s="11" t="str">
        <f>HYPERLINK("http://www.saferbaby.it/","www.saferbaby.it")</f>
        <v>www.saferbaby.it</v>
      </c>
      <c r="J2563" s="12">
        <v>1450.2349999999999</v>
      </c>
      <c r="K2563" s="12">
        <v>1450.2349999999999</v>
      </c>
      <c r="L2563" s="13">
        <v>1475.951</v>
      </c>
      <c r="M2563" s="12">
        <v>22.901</v>
      </c>
      <c r="N2563" s="12">
        <v>22.901</v>
      </c>
      <c r="O2563" s="12">
        <v>4.0579999999999998</v>
      </c>
      <c r="P2563" s="12">
        <v>12</v>
      </c>
      <c r="Q2563" s="12">
        <v>12</v>
      </c>
      <c r="R2563" s="12">
        <v>11</v>
      </c>
    </row>
    <row r="2564" spans="1:18" ht="17" customHeight="1" x14ac:dyDescent="0.15">
      <c r="A2564" s="8" t="s">
        <v>13712</v>
      </c>
      <c r="B2564" s="9" t="s">
        <v>13713</v>
      </c>
      <c r="C2564" s="8" t="s">
        <v>13714</v>
      </c>
      <c r="D2564" s="8" t="s">
        <v>13714</v>
      </c>
      <c r="E2564" s="8" t="s">
        <v>13715</v>
      </c>
      <c r="F2564" s="8" t="s">
        <v>13716</v>
      </c>
      <c r="G2564" s="8" t="s">
        <v>13717</v>
      </c>
      <c r="H2564" s="8" t="s">
        <v>13718</v>
      </c>
      <c r="I2564" s="8" t="str">
        <f>HYPERLINK("http://buy-conceriamonteverdi.it/","buy-conceriamonteverdi.it")</f>
        <v>buy-conceriamonteverdi.it</v>
      </c>
      <c r="J2564" s="10">
        <v>1298.3620000000001</v>
      </c>
      <c r="K2564" s="10">
        <v>1168.4870000000001</v>
      </c>
      <c r="L2564" s="10">
        <v>1474.932</v>
      </c>
      <c r="M2564" s="10">
        <v>1.8120000000000001</v>
      </c>
      <c r="N2564" s="10">
        <v>8.7620000000000005</v>
      </c>
      <c r="O2564" s="10">
        <v>3.6269999999999998</v>
      </c>
      <c r="P2564" s="10">
        <v>5</v>
      </c>
      <c r="Q2564" s="10">
        <v>5</v>
      </c>
      <c r="R2564" s="10">
        <v>8</v>
      </c>
    </row>
    <row r="2565" spans="1:18" ht="17" customHeight="1" x14ac:dyDescent="0.15">
      <c r="A2565" s="11" t="s">
        <v>13719</v>
      </c>
      <c r="B2565" s="1" t="s">
        <v>13720</v>
      </c>
      <c r="C2565" s="11" t="s">
        <v>13721</v>
      </c>
      <c r="D2565" s="11" t="s">
        <v>13721</v>
      </c>
      <c r="E2565" s="11" t="s">
        <v>13722</v>
      </c>
      <c r="F2565" s="11" t="s">
        <v>13695</v>
      </c>
      <c r="G2565" s="11" t="s">
        <v>13723</v>
      </c>
      <c r="H2565" s="11" t="s">
        <v>13724</v>
      </c>
      <c r="I2565" s="11" t="str">
        <f>HYPERLINK("http://www.pespow.com/","http://www.pespow.com")</f>
        <v>http://www.pespow.com</v>
      </c>
      <c r="J2565" s="12">
        <v>1342.152</v>
      </c>
      <c r="K2565" s="12">
        <v>1342.152</v>
      </c>
      <c r="L2565" s="13">
        <v>1474.4880000000001</v>
      </c>
      <c r="M2565" s="12">
        <v>-0.65200000000000002</v>
      </c>
      <c r="N2565" s="12">
        <v>-0.65200000000000002</v>
      </c>
      <c r="O2565" s="12">
        <v>-264.24400000000003</v>
      </c>
      <c r="P2565" s="12">
        <v>4</v>
      </c>
      <c r="Q2565" s="12">
        <v>4</v>
      </c>
      <c r="R2565" s="12">
        <v>8</v>
      </c>
    </row>
    <row r="2566" spans="1:18" ht="17" customHeight="1" x14ac:dyDescent="0.15">
      <c r="A2566" s="8" t="s">
        <v>13725</v>
      </c>
      <c r="B2566" s="9" t="s">
        <v>13726</v>
      </c>
      <c r="C2566" s="8" t="s">
        <v>13727</v>
      </c>
      <c r="D2566" s="8" t="s">
        <v>13727</v>
      </c>
      <c r="E2566" s="8" t="s">
        <v>13728</v>
      </c>
      <c r="F2566" s="8" t="s">
        <v>13709</v>
      </c>
      <c r="G2566" s="8" t="s">
        <v>13729</v>
      </c>
      <c r="H2566" s="8" t="s">
        <v>13724</v>
      </c>
      <c r="I2566" s="8" t="str">
        <f>HYPERLINK("http://www.foresti-italia.com/","www.foresti-italia.com")</f>
        <v>www.foresti-italia.com</v>
      </c>
      <c r="J2566" s="10">
        <v>1477.8040000000001</v>
      </c>
      <c r="K2566" s="10">
        <v>1477.8040000000001</v>
      </c>
      <c r="L2566" s="10">
        <v>1473.0039999999999</v>
      </c>
      <c r="M2566" s="10">
        <v>77.662000000000006</v>
      </c>
      <c r="N2566" s="10">
        <v>77.662000000000006</v>
      </c>
      <c r="O2566" s="10">
        <v>40.36</v>
      </c>
      <c r="P2566" s="10">
        <v>14</v>
      </c>
      <c r="Q2566" s="10">
        <v>14</v>
      </c>
      <c r="R2566" s="10">
        <v>15</v>
      </c>
    </row>
    <row r="2567" spans="1:18" ht="17" customHeight="1" x14ac:dyDescent="0.15">
      <c r="A2567" s="11" t="s">
        <v>13730</v>
      </c>
      <c r="B2567" s="1" t="s">
        <v>13731</v>
      </c>
      <c r="C2567" s="11" t="s">
        <v>13732</v>
      </c>
      <c r="D2567" s="11" t="s">
        <v>13732</v>
      </c>
      <c r="E2567" s="11" t="s">
        <v>13733</v>
      </c>
      <c r="F2567" s="11" t="s">
        <v>13734</v>
      </c>
      <c r="G2567" s="11" t="s">
        <v>13717</v>
      </c>
      <c r="H2567" s="11" t="s">
        <v>13718</v>
      </c>
      <c r="I2567" s="11" t="str">
        <f>HYPERLINK("http://www.furling.it/","www.furling.it")</f>
        <v>www.furling.it</v>
      </c>
      <c r="J2567" s="12">
        <v>1340.4680000000001</v>
      </c>
      <c r="K2567" s="12">
        <v>1340.4680000000001</v>
      </c>
      <c r="L2567" s="13">
        <v>1467.5820000000001</v>
      </c>
      <c r="M2567" s="12">
        <v>25.417000000000002</v>
      </c>
      <c r="N2567" s="12">
        <v>25.417000000000002</v>
      </c>
      <c r="O2567" s="12">
        <v>64.408000000000001</v>
      </c>
      <c r="P2567" s="12">
        <v>8</v>
      </c>
      <c r="Q2567" s="12">
        <v>8</v>
      </c>
      <c r="R2567" s="12">
        <v>7</v>
      </c>
    </row>
    <row r="2568" spans="1:18" ht="17" customHeight="1" x14ac:dyDescent="0.15">
      <c r="A2568" s="8" t="s">
        <v>13735</v>
      </c>
      <c r="B2568" s="9" t="s">
        <v>13736</v>
      </c>
      <c r="C2568" s="8" t="s">
        <v>13737</v>
      </c>
      <c r="D2568" s="8" t="s">
        <v>13737</v>
      </c>
      <c r="E2568" s="8" t="s">
        <v>13738</v>
      </c>
      <c r="F2568" s="8" t="s">
        <v>13739</v>
      </c>
      <c r="G2568" s="8" t="s">
        <v>13740</v>
      </c>
      <c r="H2568" s="8" t="s">
        <v>13724</v>
      </c>
      <c r="I2568" s="8" t="str">
        <f>HYPERLINK("http://lipedemaitalia.info/","lipedemaitalia.info")</f>
        <v>lipedemaitalia.info</v>
      </c>
      <c r="J2568" s="10">
        <v>1578.453</v>
      </c>
      <c r="K2568" s="10">
        <v>1578.453</v>
      </c>
      <c r="L2568" s="10">
        <v>1466.42</v>
      </c>
      <c r="M2568" s="10">
        <v>212.11699999999999</v>
      </c>
      <c r="N2568" s="10">
        <v>212.11699999999999</v>
      </c>
      <c r="O2568" s="10">
        <v>212.43700000000001</v>
      </c>
      <c r="P2568" s="10">
        <v>6</v>
      </c>
      <c r="Q2568" s="10">
        <v>6</v>
      </c>
      <c r="R2568" s="10">
        <v>9</v>
      </c>
    </row>
    <row r="2569" spans="1:18" ht="17" customHeight="1" x14ac:dyDescent="0.15">
      <c r="A2569" s="11" t="s">
        <v>13741</v>
      </c>
      <c r="B2569" s="1" t="s">
        <v>13742</v>
      </c>
      <c r="C2569" s="11" t="s">
        <v>13743</v>
      </c>
      <c r="D2569" s="11" t="s">
        <v>13743</v>
      </c>
      <c r="E2569" s="11" t="s">
        <v>13744</v>
      </c>
      <c r="F2569" s="11" t="s">
        <v>13739</v>
      </c>
      <c r="G2569" s="11" t="s">
        <v>13745</v>
      </c>
      <c r="H2569" s="11" t="s">
        <v>13718</v>
      </c>
      <c r="I2569" s="11" t="str">
        <f>HYPERLINK("http://www.rgitaly.com/","www.rgitaly.com")</f>
        <v>www.rgitaly.com</v>
      </c>
      <c r="J2569" s="12">
        <v>1059.8489999999999</v>
      </c>
      <c r="K2569" s="12">
        <v>1059.8489999999999</v>
      </c>
      <c r="L2569" s="13">
        <v>1463.165</v>
      </c>
      <c r="M2569" s="12">
        <v>-229.09899999999999</v>
      </c>
      <c r="N2569" s="12">
        <v>-229.09899999999999</v>
      </c>
      <c r="O2569" s="12">
        <v>-150.78299999999999</v>
      </c>
      <c r="P2569" s="14" t="s">
        <v>13698</v>
      </c>
      <c r="Q2569" s="14" t="s">
        <v>13698</v>
      </c>
      <c r="R2569" s="12">
        <v>12</v>
      </c>
    </row>
    <row r="2570" spans="1:18" ht="68" customHeight="1" x14ac:dyDescent="0.15">
      <c r="A2570" s="8" t="s">
        <v>13746</v>
      </c>
      <c r="B2570" s="9" t="s">
        <v>13747</v>
      </c>
      <c r="C2570" s="8" t="s">
        <v>13748</v>
      </c>
      <c r="D2570" s="8" t="s">
        <v>13748</v>
      </c>
      <c r="E2570" s="8" t="s">
        <v>13749</v>
      </c>
      <c r="F2570" s="8" t="s">
        <v>13750</v>
      </c>
      <c r="G2570" s="8" t="s">
        <v>13751</v>
      </c>
      <c r="H2570" s="8" t="s">
        <v>13752</v>
      </c>
      <c r="I2570" s="8" t="str">
        <f>HYPERLINK("http://www.fessura.com/","www.fessura.com")</f>
        <v>www.fessura.com</v>
      </c>
      <c r="J2570" s="10">
        <v>1491.962</v>
      </c>
      <c r="K2570" s="10">
        <v>1491.962</v>
      </c>
      <c r="L2570" s="10">
        <v>1462.0150000000001</v>
      </c>
      <c r="M2570" s="10">
        <v>74.569000000000003</v>
      </c>
      <c r="N2570" s="10">
        <v>74.569000000000003</v>
      </c>
      <c r="O2570" s="10">
        <v>21.248000000000001</v>
      </c>
      <c r="P2570" s="15" t="s">
        <v>13698</v>
      </c>
      <c r="Q2570" s="15" t="s">
        <v>13698</v>
      </c>
      <c r="R2570" s="10">
        <v>8</v>
      </c>
    </row>
    <row r="2571" spans="1:18" ht="17" customHeight="1" x14ac:dyDescent="0.15">
      <c r="A2571" s="11" t="s">
        <v>13753</v>
      </c>
      <c r="B2571" s="1" t="s">
        <v>13754</v>
      </c>
      <c r="C2571" s="11" t="s">
        <v>13755</v>
      </c>
      <c r="D2571" s="11" t="s">
        <v>13755</v>
      </c>
      <c r="E2571" s="11" t="s">
        <v>13756</v>
      </c>
      <c r="F2571" s="11" t="s">
        <v>13757</v>
      </c>
      <c r="G2571" s="11" t="s">
        <v>13758</v>
      </c>
      <c r="H2571" s="11" t="s">
        <v>13759</v>
      </c>
      <c r="I2571" s="11" t="str">
        <f>HYPERLINK("http://www.calzedac.com/","www.calzedac.com")</f>
        <v>www.calzedac.com</v>
      </c>
      <c r="J2571" s="12">
        <v>1469.93</v>
      </c>
      <c r="K2571" s="12">
        <v>1469.93</v>
      </c>
      <c r="L2571" s="13">
        <v>1460.575</v>
      </c>
      <c r="M2571" s="12">
        <v>62.34</v>
      </c>
      <c r="N2571" s="12">
        <v>62.34</v>
      </c>
      <c r="O2571" s="12">
        <v>63.622</v>
      </c>
      <c r="P2571" s="14" t="s">
        <v>13698</v>
      </c>
      <c r="Q2571" s="14" t="s">
        <v>13698</v>
      </c>
      <c r="R2571" s="12">
        <v>20</v>
      </c>
    </row>
    <row r="2572" spans="1:18" ht="17" customHeight="1" x14ac:dyDescent="0.15">
      <c r="A2572" s="8" t="s">
        <v>13760</v>
      </c>
      <c r="B2572" s="9" t="s">
        <v>13761</v>
      </c>
      <c r="C2572" s="8" t="s">
        <v>13762</v>
      </c>
      <c r="D2572" s="8" t="s">
        <v>13762</v>
      </c>
      <c r="E2572" s="8" t="s">
        <v>13763</v>
      </c>
      <c r="F2572" s="8" t="s">
        <v>13734</v>
      </c>
      <c r="G2572" s="8" t="s">
        <v>13764</v>
      </c>
      <c r="H2572" s="8" t="s">
        <v>13752</v>
      </c>
      <c r="I2572" s="8" t="str">
        <f>HYPERLINK("http://marester.com/","marester.com")</f>
        <v>marester.com</v>
      </c>
      <c r="J2572" s="10">
        <v>1688.0409999999999</v>
      </c>
      <c r="K2572" s="10">
        <v>1688.0409999999999</v>
      </c>
      <c r="L2572" s="10">
        <v>1460.153</v>
      </c>
      <c r="M2572" s="10">
        <v>49.710999999999999</v>
      </c>
      <c r="N2572" s="10">
        <v>49.710999999999999</v>
      </c>
      <c r="O2572" s="10">
        <v>26.681000000000001</v>
      </c>
      <c r="P2572" s="15" t="s">
        <v>13698</v>
      </c>
      <c r="Q2572" s="15" t="s">
        <v>13698</v>
      </c>
      <c r="R2572" s="10">
        <v>28</v>
      </c>
    </row>
    <row r="2573" spans="1:18" ht="17" customHeight="1" x14ac:dyDescent="0.15">
      <c r="A2573" s="11" t="s">
        <v>13765</v>
      </c>
      <c r="B2573" s="1" t="s">
        <v>13766</v>
      </c>
      <c r="C2573" s="11" t="s">
        <v>13767</v>
      </c>
      <c r="D2573" s="11" t="s">
        <v>13767</v>
      </c>
      <c r="E2573" s="11" t="s">
        <v>13768</v>
      </c>
      <c r="F2573" s="11" t="s">
        <v>13769</v>
      </c>
      <c r="G2573" s="11" t="s">
        <v>13723</v>
      </c>
      <c r="H2573" s="11" t="s">
        <v>13724</v>
      </c>
      <c r="I2573" s="11" t="str">
        <f>HYPERLINK("http://www.confezionicappello.com/","www.confezionicappello.com")</f>
        <v>www.confezionicappello.com</v>
      </c>
      <c r="J2573" s="12">
        <v>1474.61</v>
      </c>
      <c r="K2573" s="12">
        <v>1474.61</v>
      </c>
      <c r="L2573" s="13">
        <v>1458.7550000000001</v>
      </c>
      <c r="M2573" s="12">
        <v>210.76</v>
      </c>
      <c r="N2573" s="12">
        <v>210.76</v>
      </c>
      <c r="O2573" s="12">
        <v>127.29</v>
      </c>
      <c r="P2573" s="14" t="s">
        <v>13698</v>
      </c>
      <c r="Q2573" s="14" t="s">
        <v>13698</v>
      </c>
      <c r="R2573" s="12">
        <v>7</v>
      </c>
    </row>
    <row r="2574" spans="1:18" ht="29.5" customHeight="1" x14ac:dyDescent="0.15">
      <c r="A2574" s="8" t="s">
        <v>13770</v>
      </c>
      <c r="B2574" s="9" t="s">
        <v>13771</v>
      </c>
      <c r="C2574" s="8" t="s">
        <v>13772</v>
      </c>
      <c r="D2574" s="8" t="s">
        <v>13772</v>
      </c>
      <c r="E2574" s="8" t="s">
        <v>13773</v>
      </c>
      <c r="F2574" s="8" t="s">
        <v>13716</v>
      </c>
      <c r="G2574" s="8" t="s">
        <v>13774</v>
      </c>
      <c r="H2574" s="8" t="s">
        <v>13718</v>
      </c>
      <c r="I2574" s="8" t="str">
        <f>HYPERLINK("http://www.stefanellisrl.it/","www.stefanellisrl.it")</f>
        <v>www.stefanellisrl.it</v>
      </c>
      <c r="J2574" s="10">
        <v>1173.2940000000001</v>
      </c>
      <c r="K2574" s="10">
        <v>1173.2940000000001</v>
      </c>
      <c r="L2574" s="10">
        <v>1458.038</v>
      </c>
      <c r="M2574" s="10">
        <v>-26.398</v>
      </c>
      <c r="N2574" s="10">
        <v>-26.398</v>
      </c>
      <c r="O2574" s="10">
        <v>-109.286</v>
      </c>
      <c r="P2574" s="10">
        <v>6</v>
      </c>
      <c r="Q2574" s="10">
        <v>6</v>
      </c>
      <c r="R2574" s="10">
        <v>7</v>
      </c>
    </row>
    <row r="2575" spans="1:18" ht="17" customHeight="1" x14ac:dyDescent="0.15">
      <c r="A2575" s="11" t="s">
        <v>13775</v>
      </c>
      <c r="B2575" s="1" t="s">
        <v>13776</v>
      </c>
      <c r="C2575" s="11" t="s">
        <v>13777</v>
      </c>
      <c r="D2575" s="11" t="s">
        <v>13777</v>
      </c>
      <c r="E2575" s="11" t="s">
        <v>13778</v>
      </c>
      <c r="F2575" s="11" t="s">
        <v>13779</v>
      </c>
      <c r="G2575" s="11" t="s">
        <v>13780</v>
      </c>
      <c r="H2575" s="11" t="s">
        <v>13759</v>
      </c>
      <c r="I2575" s="11" t="str">
        <f>HYPERLINK("http://www.lesoft.it/","www.lesoft.it")</f>
        <v>www.lesoft.it</v>
      </c>
      <c r="J2575" s="12">
        <v>1090.5909999999999</v>
      </c>
      <c r="K2575" s="12">
        <v>1090.5909999999999</v>
      </c>
      <c r="L2575" s="13">
        <v>1457.424</v>
      </c>
      <c r="M2575" s="12">
        <v>88.456999999999994</v>
      </c>
      <c r="N2575" s="12">
        <v>88.456999999999994</v>
      </c>
      <c r="O2575" s="12">
        <v>38.804000000000002</v>
      </c>
      <c r="P2575" s="14" t="s">
        <v>13698</v>
      </c>
      <c r="Q2575" s="14" t="s">
        <v>13698</v>
      </c>
      <c r="R2575" s="12">
        <v>8</v>
      </c>
    </row>
    <row r="2576" spans="1:18" ht="17" customHeight="1" x14ac:dyDescent="0.15">
      <c r="A2576" s="8" t="s">
        <v>13781</v>
      </c>
      <c r="B2576" s="9" t="s">
        <v>13782</v>
      </c>
      <c r="C2576" s="8" t="s">
        <v>13783</v>
      </c>
      <c r="D2576" s="8" t="s">
        <v>13783</v>
      </c>
      <c r="E2576" s="8" t="s">
        <v>13784</v>
      </c>
      <c r="F2576" s="8" t="s">
        <v>13695</v>
      </c>
      <c r="G2576" s="8" t="s">
        <v>13785</v>
      </c>
      <c r="H2576" s="8" t="s">
        <v>13718</v>
      </c>
      <c r="I2576" s="8" t="str">
        <f>HYPERLINK("http://www.rocchinicerimonia.it/","www.rocchinicerimonia.it")</f>
        <v>www.rocchinicerimonia.it</v>
      </c>
      <c r="J2576" s="10">
        <v>1531.153</v>
      </c>
      <c r="K2576" s="10">
        <v>1531.153</v>
      </c>
      <c r="L2576" s="10">
        <v>1457.0350000000001</v>
      </c>
      <c r="M2576" s="10">
        <v>10.798999999999999</v>
      </c>
      <c r="N2576" s="10">
        <v>10.798999999999999</v>
      </c>
      <c r="O2576" s="10">
        <v>7.6420000000000003</v>
      </c>
      <c r="P2576" s="10">
        <v>4</v>
      </c>
      <c r="Q2576" s="10">
        <v>4</v>
      </c>
      <c r="R2576" s="10">
        <v>2</v>
      </c>
    </row>
    <row r="2577" spans="1:18" ht="17" customHeight="1" x14ac:dyDescent="0.15">
      <c r="A2577" s="11" t="s">
        <v>13786</v>
      </c>
      <c r="B2577" s="1" t="s">
        <v>13787</v>
      </c>
      <c r="C2577" s="11" t="s">
        <v>13788</v>
      </c>
      <c r="D2577" s="11" t="s">
        <v>13788</v>
      </c>
      <c r="E2577" s="11" t="s">
        <v>13789</v>
      </c>
      <c r="F2577" s="11" t="s">
        <v>13695</v>
      </c>
      <c r="G2577" s="11" t="s">
        <v>13790</v>
      </c>
      <c r="H2577" s="11" t="s">
        <v>13711</v>
      </c>
      <c r="I2577" s="11" t="str">
        <f>HYPERLINK("http://www.gilsrl.it/","www.gilsrl.it")</f>
        <v>www.gilsrl.it</v>
      </c>
      <c r="J2577" s="12">
        <v>1751.9839999999999</v>
      </c>
      <c r="K2577" s="12">
        <v>1751.9839999999999</v>
      </c>
      <c r="L2577" s="13">
        <v>1450.8019999999999</v>
      </c>
      <c r="M2577" s="12">
        <v>13.079000000000001</v>
      </c>
      <c r="N2577" s="12">
        <v>13.079000000000001</v>
      </c>
      <c r="O2577" s="12">
        <v>6.9870000000000001</v>
      </c>
      <c r="P2577" s="12">
        <v>6</v>
      </c>
      <c r="Q2577" s="12">
        <v>6</v>
      </c>
      <c r="R2577" s="12">
        <v>6</v>
      </c>
    </row>
    <row r="2578" spans="1:18" ht="17" customHeight="1" x14ac:dyDescent="0.15">
      <c r="A2578" s="8" t="s">
        <v>13791</v>
      </c>
      <c r="B2578" s="9" t="s">
        <v>13792</v>
      </c>
      <c r="C2578" s="8" t="s">
        <v>13793</v>
      </c>
      <c r="D2578" s="8" t="s">
        <v>13793</v>
      </c>
      <c r="E2578" s="8" t="s">
        <v>13794</v>
      </c>
      <c r="F2578" s="8" t="s">
        <v>13795</v>
      </c>
      <c r="G2578" s="8" t="s">
        <v>13796</v>
      </c>
      <c r="H2578" s="8" t="s">
        <v>13797</v>
      </c>
      <c r="I2578" s="8" t="str">
        <f>HYPERLINK("http://maglierieluis.com/","maglierieluis.com")</f>
        <v>maglierieluis.com</v>
      </c>
      <c r="J2578" s="10">
        <v>1037.412</v>
      </c>
      <c r="K2578" s="10">
        <v>1037.412</v>
      </c>
      <c r="L2578" s="10">
        <v>1448.117</v>
      </c>
      <c r="M2578" s="10">
        <v>48.122</v>
      </c>
      <c r="N2578" s="10">
        <v>48.122</v>
      </c>
      <c r="O2578" s="10">
        <v>-429.786</v>
      </c>
      <c r="P2578" s="10">
        <v>2</v>
      </c>
      <c r="Q2578" s="10">
        <v>2</v>
      </c>
      <c r="R2578" s="10">
        <v>8</v>
      </c>
    </row>
    <row r="2579" spans="1:18" ht="17" customHeight="1" x14ac:dyDescent="0.15">
      <c r="A2579" s="11" t="s">
        <v>13798</v>
      </c>
      <c r="B2579" s="1" t="s">
        <v>13799</v>
      </c>
      <c r="C2579" s="11" t="s">
        <v>13800</v>
      </c>
      <c r="D2579" s="11" t="s">
        <v>13800</v>
      </c>
      <c r="E2579" s="11" t="s">
        <v>13801</v>
      </c>
      <c r="F2579" s="11" t="s">
        <v>13795</v>
      </c>
      <c r="G2579" s="11" t="s">
        <v>13790</v>
      </c>
      <c r="H2579" s="11" t="s">
        <v>13711</v>
      </c>
      <c r="I2579" s="11" t="str">
        <f>HYPERLINK("http://www.maglificiolsm.com/","www.maglificiolsm.com")</f>
        <v>www.maglificiolsm.com</v>
      </c>
      <c r="J2579" s="12">
        <v>1488.4179999999999</v>
      </c>
      <c r="K2579" s="12">
        <v>1488.4179999999999</v>
      </c>
      <c r="L2579" s="13">
        <v>1446.336</v>
      </c>
      <c r="M2579" s="12">
        <v>101.48699999999999</v>
      </c>
      <c r="N2579" s="12">
        <v>101.48699999999999</v>
      </c>
      <c r="O2579" s="12">
        <v>141.441</v>
      </c>
      <c r="P2579" s="12">
        <v>5</v>
      </c>
      <c r="Q2579" s="12">
        <v>5</v>
      </c>
      <c r="R2579" s="12">
        <v>5</v>
      </c>
    </row>
    <row r="2580" spans="1:18" ht="17" customHeight="1" x14ac:dyDescent="0.15">
      <c r="A2580" s="8" t="s">
        <v>13802</v>
      </c>
      <c r="B2580" s="9" t="s">
        <v>13803</v>
      </c>
      <c r="C2580" s="8" t="s">
        <v>13804</v>
      </c>
      <c r="D2580" s="8" t="s">
        <v>13804</v>
      </c>
      <c r="E2580" s="8" t="s">
        <v>13805</v>
      </c>
      <c r="F2580" s="8" t="s">
        <v>13734</v>
      </c>
      <c r="G2580" s="8" t="s">
        <v>13796</v>
      </c>
      <c r="H2580" s="8" t="s">
        <v>13797</v>
      </c>
      <c r="I2580" s="8" t="str">
        <f>HYPERLINK("http://www.arkiviomoda.it/","www.arkiviomoda.it")</f>
        <v>www.arkiviomoda.it</v>
      </c>
      <c r="J2580" s="10">
        <v>1012.005</v>
      </c>
      <c r="K2580" s="10">
        <v>1518.6010000000001</v>
      </c>
      <c r="L2580" s="10">
        <v>1445.8209999999999</v>
      </c>
      <c r="M2580" s="10">
        <v>-301.95299999999997</v>
      </c>
      <c r="N2580" s="10">
        <v>26.023</v>
      </c>
      <c r="O2580" s="10">
        <v>-127.224</v>
      </c>
      <c r="P2580" s="15" t="s">
        <v>13698</v>
      </c>
      <c r="Q2580" s="15" t="s">
        <v>13698</v>
      </c>
      <c r="R2580" s="10">
        <v>10</v>
      </c>
    </row>
    <row r="2581" spans="1:18" ht="29.5" customHeight="1" x14ac:dyDescent="0.15">
      <c r="A2581" s="11" t="s">
        <v>13806</v>
      </c>
      <c r="B2581" s="1" t="s">
        <v>13807</v>
      </c>
      <c r="C2581" s="11" t="s">
        <v>13808</v>
      </c>
      <c r="D2581" s="11" t="s">
        <v>13808</v>
      </c>
      <c r="E2581" s="11" t="s">
        <v>13809</v>
      </c>
      <c r="F2581" s="11" t="s">
        <v>13750</v>
      </c>
      <c r="G2581" s="11" t="s">
        <v>13810</v>
      </c>
      <c r="H2581" s="11" t="s">
        <v>13752</v>
      </c>
      <c r="I2581" s="11" t="str">
        <f>HYPERLINK("http://www.mariodoria.it/","www.mariodoria.it")</f>
        <v>www.mariodoria.it</v>
      </c>
      <c r="J2581" s="12">
        <v>1866.3869999999999</v>
      </c>
      <c r="K2581" s="12">
        <v>1866.3869999999999</v>
      </c>
      <c r="L2581" s="13">
        <v>1445.61</v>
      </c>
      <c r="M2581" s="12">
        <v>12.417999999999999</v>
      </c>
      <c r="N2581" s="12">
        <v>12.417999999999999</v>
      </c>
      <c r="O2581" s="12">
        <v>45.23</v>
      </c>
      <c r="P2581" s="12">
        <v>8</v>
      </c>
      <c r="Q2581" s="12">
        <v>8</v>
      </c>
      <c r="R2581" s="12">
        <v>8</v>
      </c>
    </row>
    <row r="2582" spans="1:18" ht="17" customHeight="1" x14ac:dyDescent="0.15">
      <c r="A2582" s="8" t="s">
        <v>13811</v>
      </c>
      <c r="B2582" s="9" t="s">
        <v>13812</v>
      </c>
      <c r="C2582" s="8" t="s">
        <v>13813</v>
      </c>
      <c r="D2582" s="8" t="s">
        <v>13813</v>
      </c>
      <c r="E2582" s="8" t="s">
        <v>13814</v>
      </c>
      <c r="F2582" s="8" t="s">
        <v>13815</v>
      </c>
      <c r="G2582" s="8" t="s">
        <v>13816</v>
      </c>
      <c r="H2582" s="8" t="s">
        <v>13817</v>
      </c>
      <c r="I2582" s="8" t="str">
        <f>HYPERLINK("http://www.piccolaludo.it/","www.piccolaludo.it")</f>
        <v>www.piccolaludo.it</v>
      </c>
      <c r="J2582" s="10">
        <v>1946.854</v>
      </c>
      <c r="K2582" s="10">
        <v>1946.854</v>
      </c>
      <c r="L2582" s="10">
        <v>1445.2</v>
      </c>
      <c r="M2582" s="10">
        <v>256.04399999999998</v>
      </c>
      <c r="N2582" s="10">
        <v>256.04399999999998</v>
      </c>
      <c r="O2582" s="10">
        <v>3.5329999999999999</v>
      </c>
      <c r="P2582" s="15" t="s">
        <v>13698</v>
      </c>
      <c r="Q2582" s="15" t="s">
        <v>13698</v>
      </c>
      <c r="R2582" s="10">
        <v>9</v>
      </c>
    </row>
    <row r="2583" spans="1:18" ht="17" customHeight="1" x14ac:dyDescent="0.15">
      <c r="A2583" s="11" t="s">
        <v>13818</v>
      </c>
      <c r="B2583" s="1" t="s">
        <v>13819</v>
      </c>
      <c r="C2583" s="11" t="s">
        <v>13820</v>
      </c>
      <c r="D2583" s="11" t="s">
        <v>13820</v>
      </c>
      <c r="E2583" s="11" t="s">
        <v>13821</v>
      </c>
      <c r="F2583" s="11" t="s">
        <v>13815</v>
      </c>
      <c r="G2583" s="11" t="s">
        <v>13822</v>
      </c>
      <c r="H2583" s="11" t="s">
        <v>13823</v>
      </c>
      <c r="I2583" s="11" t="str">
        <f>HYPERLINK("http://www.lgfoderami.it/","www.lgfoderami.it")</f>
        <v>www.lgfoderami.it</v>
      </c>
      <c r="J2583" s="12">
        <v>1352.1969999999999</v>
      </c>
      <c r="K2583" s="12">
        <v>1352.1969999999999</v>
      </c>
      <c r="L2583" s="13">
        <v>1444.152</v>
      </c>
      <c r="M2583" s="12">
        <v>25.140999999999998</v>
      </c>
      <c r="N2583" s="12">
        <v>25.140999999999998</v>
      </c>
      <c r="O2583" s="12">
        <v>16.879000000000001</v>
      </c>
      <c r="P2583" s="12">
        <v>4</v>
      </c>
      <c r="Q2583" s="12">
        <v>4</v>
      </c>
      <c r="R2583" s="12">
        <v>3</v>
      </c>
    </row>
    <row r="2584" spans="1:18" ht="17" customHeight="1" x14ac:dyDescent="0.15">
      <c r="A2584" s="8" t="s">
        <v>13824</v>
      </c>
      <c r="B2584" s="9" t="s">
        <v>13825</v>
      </c>
      <c r="C2584" s="8" t="s">
        <v>13826</v>
      </c>
      <c r="D2584" s="8" t="s">
        <v>13826</v>
      </c>
      <c r="E2584" s="8" t="s">
        <v>13827</v>
      </c>
      <c r="F2584" s="8" t="s">
        <v>13703</v>
      </c>
      <c r="G2584" s="8" t="s">
        <v>13828</v>
      </c>
      <c r="H2584" s="8" t="s">
        <v>13829</v>
      </c>
      <c r="I2584" s="8" t="str">
        <f>HYPERLINK("http://www.gastaldiautomotive.com/","www.gastaldiautomotive.com")</f>
        <v>www.gastaldiautomotive.com</v>
      </c>
      <c r="J2584" s="10">
        <v>1425.452</v>
      </c>
      <c r="K2584" s="10">
        <v>1425.452</v>
      </c>
      <c r="L2584" s="10">
        <v>1443.4179999999999</v>
      </c>
      <c r="M2584" s="10">
        <v>35.771999999999998</v>
      </c>
      <c r="N2584" s="10">
        <v>35.771999999999998</v>
      </c>
      <c r="O2584" s="10">
        <v>89.611999999999995</v>
      </c>
      <c r="P2584" s="10">
        <v>13</v>
      </c>
      <c r="Q2584" s="10">
        <v>13</v>
      </c>
      <c r="R2584" s="10">
        <v>13</v>
      </c>
    </row>
    <row r="2585" spans="1:18" ht="17" customHeight="1" x14ac:dyDescent="0.15">
      <c r="A2585" s="11" t="s">
        <v>13830</v>
      </c>
      <c r="B2585" s="1" t="s">
        <v>13831</v>
      </c>
      <c r="C2585" s="11" t="s">
        <v>13832</v>
      </c>
      <c r="D2585" s="11" t="s">
        <v>13832</v>
      </c>
      <c r="E2585" s="11" t="s">
        <v>13833</v>
      </c>
      <c r="F2585" s="11" t="s">
        <v>13834</v>
      </c>
      <c r="G2585" s="11" t="s">
        <v>13751</v>
      </c>
      <c r="H2585" s="11" t="s">
        <v>13752</v>
      </c>
      <c r="I2585" s="11" t="str">
        <f>HYPERLINK("http://www.tomaificiosl.com/","www.tomaificiosl.com")</f>
        <v>www.tomaificiosl.com</v>
      </c>
      <c r="J2585" s="12">
        <v>1084.5150000000001</v>
      </c>
      <c r="K2585" s="12">
        <v>1084.5150000000001</v>
      </c>
      <c r="L2585" s="13">
        <v>1440.809</v>
      </c>
      <c r="M2585" s="12">
        <v>31.582999999999998</v>
      </c>
      <c r="N2585" s="12">
        <v>31.582999999999998</v>
      </c>
      <c r="O2585" s="12">
        <v>17.484000000000002</v>
      </c>
      <c r="P2585" s="12">
        <v>13</v>
      </c>
      <c r="Q2585" s="12">
        <v>13</v>
      </c>
      <c r="R2585" s="12">
        <v>17</v>
      </c>
    </row>
    <row r="2586" spans="1:18" ht="17" customHeight="1" x14ac:dyDescent="0.15">
      <c r="A2586" s="8" t="s">
        <v>13835</v>
      </c>
      <c r="B2586" s="9" t="s">
        <v>13836</v>
      </c>
      <c r="C2586" s="8" t="s">
        <v>13837</v>
      </c>
      <c r="D2586" s="8" t="s">
        <v>13837</v>
      </c>
      <c r="E2586" s="8" t="s">
        <v>13838</v>
      </c>
      <c r="F2586" s="8" t="s">
        <v>13703</v>
      </c>
      <c r="G2586" s="8" t="s">
        <v>13717</v>
      </c>
      <c r="H2586" s="8" t="s">
        <v>13718</v>
      </c>
      <c r="I2586" s="8" t="str">
        <f>HYPERLINK("http://www.viamailbag.it/","www.viamailbag.it")</f>
        <v>www.viamailbag.it</v>
      </c>
      <c r="J2586" s="10">
        <v>1341.3679999999999</v>
      </c>
      <c r="K2586" s="10">
        <v>1341.3679999999999</v>
      </c>
      <c r="L2586" s="10">
        <v>1439.482</v>
      </c>
      <c r="M2586" s="10">
        <v>148.58699999999999</v>
      </c>
      <c r="N2586" s="10">
        <v>148.58699999999999</v>
      </c>
      <c r="O2586" s="10">
        <v>138.07</v>
      </c>
      <c r="P2586" s="10">
        <v>4</v>
      </c>
      <c r="Q2586" s="10">
        <v>4</v>
      </c>
      <c r="R2586" s="10">
        <v>4</v>
      </c>
    </row>
    <row r="2587" spans="1:18" ht="17" customHeight="1" x14ac:dyDescent="0.15">
      <c r="A2587" s="11" t="s">
        <v>13839</v>
      </c>
      <c r="B2587" s="1" t="s">
        <v>13840</v>
      </c>
      <c r="C2587" s="11" t="s">
        <v>13841</v>
      </c>
      <c r="D2587" s="11" t="s">
        <v>13841</v>
      </c>
      <c r="E2587" s="11" t="s">
        <v>13842</v>
      </c>
      <c r="F2587" s="11" t="s">
        <v>13843</v>
      </c>
      <c r="G2587" s="11" t="s">
        <v>13723</v>
      </c>
      <c r="H2587" s="11" t="s">
        <v>13724</v>
      </c>
      <c r="I2587" s="11" t="str">
        <f>HYPERLINK("http://www.toispose.com/","www.toispose.com")</f>
        <v>www.toispose.com</v>
      </c>
      <c r="J2587" s="12">
        <v>763.62099999999998</v>
      </c>
      <c r="K2587" s="12">
        <v>763.62099999999998</v>
      </c>
      <c r="L2587" s="13">
        <v>1439.4179999999999</v>
      </c>
      <c r="M2587" s="12">
        <v>14.646000000000001</v>
      </c>
      <c r="N2587" s="12">
        <v>14.646000000000001</v>
      </c>
      <c r="O2587" s="12">
        <v>13.484999999999999</v>
      </c>
      <c r="P2587" s="12">
        <v>4</v>
      </c>
      <c r="Q2587" s="12">
        <v>4</v>
      </c>
      <c r="R2587" s="12">
        <v>4</v>
      </c>
    </row>
    <row r="2588" spans="1:18" ht="29.5" customHeight="1" x14ac:dyDescent="0.15">
      <c r="A2588" s="8" t="s">
        <v>13844</v>
      </c>
      <c r="B2588" s="9" t="s">
        <v>13845</v>
      </c>
      <c r="C2588" s="8" t="s">
        <v>13846</v>
      </c>
      <c r="D2588" s="8" t="s">
        <v>13846</v>
      </c>
      <c r="E2588" s="8" t="s">
        <v>13847</v>
      </c>
      <c r="F2588" s="8" t="s">
        <v>13703</v>
      </c>
      <c r="G2588" s="8" t="s">
        <v>13848</v>
      </c>
      <c r="H2588" s="8" t="s">
        <v>13697</v>
      </c>
      <c r="I2588" s="8" t="str">
        <f>HYPERLINK("http://www.ablshop.it/","www.ablshop.it")</f>
        <v>www.ablshop.it</v>
      </c>
      <c r="J2588" s="10">
        <v>8205.5949999999993</v>
      </c>
      <c r="K2588" s="10">
        <v>8205.5949999999993</v>
      </c>
      <c r="L2588" s="10">
        <v>1438.9929999999999</v>
      </c>
      <c r="M2588" s="10">
        <v>176.06100000000001</v>
      </c>
      <c r="N2588" s="10">
        <v>176.06100000000001</v>
      </c>
      <c r="O2588" s="10">
        <v>-885.17399999999998</v>
      </c>
      <c r="P2588" s="10">
        <v>28</v>
      </c>
      <c r="Q2588" s="10">
        <v>28</v>
      </c>
      <c r="R2588" s="10">
        <v>26</v>
      </c>
    </row>
    <row r="2589" spans="1:18" ht="17" customHeight="1" x14ac:dyDescent="0.15">
      <c r="A2589" s="11" t="s">
        <v>13849</v>
      </c>
      <c r="B2589" s="1" t="s">
        <v>13850</v>
      </c>
      <c r="C2589" s="11" t="s">
        <v>13851</v>
      </c>
      <c r="D2589" s="11" t="s">
        <v>13851</v>
      </c>
      <c r="E2589" s="11" t="s">
        <v>13852</v>
      </c>
      <c r="F2589" s="11" t="s">
        <v>13853</v>
      </c>
      <c r="G2589" s="11" t="s">
        <v>13854</v>
      </c>
      <c r="H2589" s="11" t="s">
        <v>13817</v>
      </c>
      <c r="I2589" s="11" t="str">
        <f>HYPERLINK("http://www.biancooro.com/","www.biancooro.com")</f>
        <v>www.biancooro.com</v>
      </c>
      <c r="J2589" s="12">
        <v>2536.386</v>
      </c>
      <c r="K2589" s="12">
        <v>2536.386</v>
      </c>
      <c r="L2589" s="13">
        <v>1437.356</v>
      </c>
      <c r="M2589" s="12">
        <v>5.5880000000000001</v>
      </c>
      <c r="N2589" s="12">
        <v>5.5880000000000001</v>
      </c>
      <c r="O2589" s="12">
        <v>11.183999999999999</v>
      </c>
      <c r="P2589" s="12">
        <v>5</v>
      </c>
      <c r="Q2589" s="12">
        <v>5</v>
      </c>
      <c r="R2589" s="12">
        <v>5</v>
      </c>
    </row>
    <row r="2590" spans="1:18" ht="29.5" customHeight="1" x14ac:dyDescent="0.15">
      <c r="A2590" s="8" t="s">
        <v>13855</v>
      </c>
      <c r="B2590" s="9" t="s">
        <v>13856</v>
      </c>
      <c r="C2590" s="8" t="s">
        <v>13857</v>
      </c>
      <c r="D2590" s="8" t="s">
        <v>13857</v>
      </c>
      <c r="E2590" s="8" t="s">
        <v>13858</v>
      </c>
      <c r="F2590" s="8" t="s">
        <v>13853</v>
      </c>
      <c r="G2590" s="8" t="s">
        <v>13717</v>
      </c>
      <c r="H2590" s="8" t="s">
        <v>13718</v>
      </c>
      <c r="I2590" s="8" t="str">
        <f>HYPERLINK("http://www.intimare.it/","http://www.intimare.it")</f>
        <v>http://www.intimare.it</v>
      </c>
      <c r="J2590" s="10">
        <v>1205.3140000000001</v>
      </c>
      <c r="K2590" s="10">
        <v>1205.3140000000001</v>
      </c>
      <c r="L2590" s="10">
        <v>1436.058</v>
      </c>
      <c r="M2590" s="10">
        <v>11.792</v>
      </c>
      <c r="N2590" s="10">
        <v>11.792</v>
      </c>
      <c r="O2590" s="10">
        <v>41.179000000000002</v>
      </c>
      <c r="P2590" s="10">
        <v>21</v>
      </c>
      <c r="Q2590" s="10">
        <v>21</v>
      </c>
      <c r="R2590" s="10">
        <v>19</v>
      </c>
    </row>
    <row r="2591" spans="1:18" ht="43" customHeight="1" x14ac:dyDescent="0.15">
      <c r="A2591" s="11" t="s">
        <v>13859</v>
      </c>
      <c r="B2591" s="1" t="s">
        <v>13860</v>
      </c>
      <c r="C2591" s="11" t="s">
        <v>13861</v>
      </c>
      <c r="D2591" s="11" t="s">
        <v>13861</v>
      </c>
      <c r="E2591" s="11" t="s">
        <v>13862</v>
      </c>
      <c r="F2591" s="11" t="s">
        <v>13815</v>
      </c>
      <c r="G2591" s="11" t="s">
        <v>13854</v>
      </c>
      <c r="H2591" s="11" t="s">
        <v>13817</v>
      </c>
      <c r="I2591" s="11" t="str">
        <f>HYPERLINK("http://www.stirerialuna.it/","www.stirerialuna.it")</f>
        <v>www.stirerialuna.it</v>
      </c>
      <c r="J2591" s="12">
        <v>1443.4369999999999</v>
      </c>
      <c r="K2591" s="12">
        <v>1443.4369999999999</v>
      </c>
      <c r="L2591" s="13">
        <v>1434.5060000000001</v>
      </c>
      <c r="M2591" s="12">
        <v>27.199000000000002</v>
      </c>
      <c r="N2591" s="12">
        <v>27.199000000000002</v>
      </c>
      <c r="O2591" s="12">
        <v>25.521999999999998</v>
      </c>
      <c r="P2591" s="12">
        <v>41</v>
      </c>
      <c r="Q2591" s="12">
        <v>41</v>
      </c>
      <c r="R2591" s="12">
        <v>43</v>
      </c>
    </row>
    <row r="2592" spans="1:18" ht="17" customHeight="1" x14ac:dyDescent="0.15">
      <c r="A2592" s="8" t="s">
        <v>13863</v>
      </c>
      <c r="B2592" s="9" t="s">
        <v>13864</v>
      </c>
      <c r="C2592" s="8" t="s">
        <v>13865</v>
      </c>
      <c r="D2592" s="8" t="s">
        <v>13865</v>
      </c>
      <c r="E2592" s="8" t="s">
        <v>13866</v>
      </c>
      <c r="F2592" s="8" t="s">
        <v>13843</v>
      </c>
      <c r="G2592" s="8" t="s">
        <v>13758</v>
      </c>
      <c r="H2592" s="8" t="s">
        <v>13759</v>
      </c>
      <c r="I2592" s="8" t="str">
        <f>HYPERLINK("http://www.emmecitex.it/","www.emmecitex.it")</f>
        <v>www.emmecitex.it</v>
      </c>
      <c r="J2592" s="10">
        <v>1147.287</v>
      </c>
      <c r="K2592" s="10">
        <v>1147.287</v>
      </c>
      <c r="L2592" s="10">
        <v>1432.479</v>
      </c>
      <c r="M2592" s="10">
        <v>5.5119999999999996</v>
      </c>
      <c r="N2592" s="10">
        <v>5.5119999999999996</v>
      </c>
      <c r="O2592" s="10">
        <v>20.468</v>
      </c>
      <c r="P2592" s="10">
        <v>31</v>
      </c>
      <c r="Q2592" s="10">
        <v>31</v>
      </c>
      <c r="R2592" s="10">
        <v>32</v>
      </c>
    </row>
    <row r="2593" spans="1:18" ht="17" customHeight="1" x14ac:dyDescent="0.15">
      <c r="A2593" s="11" t="s">
        <v>13867</v>
      </c>
      <c r="B2593" s="1" t="s">
        <v>13868</v>
      </c>
      <c r="C2593" s="11" t="s">
        <v>13869</v>
      </c>
      <c r="D2593" s="11" t="s">
        <v>13869</v>
      </c>
      <c r="E2593" s="11" t="s">
        <v>13870</v>
      </c>
      <c r="F2593" s="11" t="s">
        <v>13871</v>
      </c>
      <c r="G2593" s="11" t="s">
        <v>13872</v>
      </c>
      <c r="H2593" s="11" t="s">
        <v>13873</v>
      </c>
      <c r="I2593" s="11" t="str">
        <f>HYPERLINK("http://www.produzionebicchierimonouso.com/","www.produzionebicchierimonouso.com")</f>
        <v>www.produzionebicchierimonouso.com</v>
      </c>
      <c r="J2593" s="12">
        <v>1128.114</v>
      </c>
      <c r="K2593" s="12">
        <v>1128.114</v>
      </c>
      <c r="L2593" s="13">
        <v>1431.663</v>
      </c>
      <c r="M2593" s="12">
        <v>8.3149999999999995</v>
      </c>
      <c r="N2593" s="12">
        <v>8.3149999999999995</v>
      </c>
      <c r="O2593" s="12">
        <v>-12.622999999999999</v>
      </c>
      <c r="P2593" s="12">
        <v>9</v>
      </c>
      <c r="Q2593" s="12">
        <v>9</v>
      </c>
      <c r="R2593" s="12">
        <v>10</v>
      </c>
    </row>
    <row r="2594" spans="1:18" ht="17" customHeight="1" x14ac:dyDescent="0.15">
      <c r="A2594" s="8" t="s">
        <v>13874</v>
      </c>
      <c r="B2594" s="9" t="s">
        <v>13875</v>
      </c>
      <c r="C2594" s="8" t="s">
        <v>13876</v>
      </c>
      <c r="D2594" s="8" t="s">
        <v>13876</v>
      </c>
      <c r="E2594" s="8" t="s">
        <v>13877</v>
      </c>
      <c r="F2594" s="8" t="s">
        <v>13878</v>
      </c>
      <c r="G2594" s="8" t="s">
        <v>13879</v>
      </c>
      <c r="H2594" s="8" t="s">
        <v>13880</v>
      </c>
      <c r="I2594" s="8" t="str">
        <f>HYPERLINK("http://www.maglificiogrp.com/","www.maglificiogrp.com")</f>
        <v>www.maglificiogrp.com</v>
      </c>
      <c r="J2594" s="10">
        <v>1780.181</v>
      </c>
      <c r="K2594" s="10">
        <v>1780.181</v>
      </c>
      <c r="L2594" s="10">
        <v>1431.1759999999999</v>
      </c>
      <c r="M2594" s="10">
        <v>2.214</v>
      </c>
      <c r="N2594" s="10">
        <v>2.214</v>
      </c>
      <c r="O2594" s="10">
        <v>2.1579999999999999</v>
      </c>
      <c r="P2594" s="10">
        <v>10</v>
      </c>
      <c r="Q2594" s="10">
        <v>10</v>
      </c>
      <c r="R2594" s="10">
        <v>8</v>
      </c>
    </row>
    <row r="2595" spans="1:18" ht="17" customHeight="1" x14ac:dyDescent="0.15">
      <c r="A2595" s="11" t="s">
        <v>13881</v>
      </c>
      <c r="B2595" s="1" t="s">
        <v>13882</v>
      </c>
      <c r="C2595" s="11" t="s">
        <v>13883</v>
      </c>
      <c r="D2595" s="11" t="s">
        <v>13883</v>
      </c>
      <c r="E2595" s="11" t="s">
        <v>13884</v>
      </c>
      <c r="F2595" s="11" t="s">
        <v>13885</v>
      </c>
      <c r="G2595" s="11" t="s">
        <v>13886</v>
      </c>
      <c r="H2595" s="11" t="s">
        <v>13887</v>
      </c>
      <c r="I2595" s="11" t="str">
        <f>HYPERLINK("http://www.andreabossi.com/","www.andreabossi.com")</f>
        <v>www.andreabossi.com</v>
      </c>
      <c r="J2595" s="12">
        <v>1378.17</v>
      </c>
      <c r="K2595" s="12">
        <v>1378.17</v>
      </c>
      <c r="L2595" s="13">
        <v>1429.7750000000001</v>
      </c>
      <c r="M2595" s="12">
        <v>63.552</v>
      </c>
      <c r="N2595" s="12">
        <v>63.552</v>
      </c>
      <c r="O2595" s="12">
        <v>64.183000000000007</v>
      </c>
      <c r="P2595" s="14" t="s">
        <v>13888</v>
      </c>
      <c r="Q2595" s="14" t="s">
        <v>13888</v>
      </c>
      <c r="R2595" s="12">
        <v>6</v>
      </c>
    </row>
    <row r="2596" spans="1:18" ht="17" customHeight="1" x14ac:dyDescent="0.15">
      <c r="A2596" s="8" t="s">
        <v>13889</v>
      </c>
      <c r="B2596" s="9" t="s">
        <v>13890</v>
      </c>
      <c r="C2596" s="8" t="s">
        <v>13891</v>
      </c>
      <c r="D2596" s="8" t="s">
        <v>13891</v>
      </c>
      <c r="E2596" s="8" t="s">
        <v>13892</v>
      </c>
      <c r="F2596" s="8" t="s">
        <v>13871</v>
      </c>
      <c r="G2596" s="8" t="s">
        <v>13893</v>
      </c>
      <c r="H2596" s="8" t="s">
        <v>13894</v>
      </c>
      <c r="I2596" s="8" t="str">
        <f>HYPERLINK("http://www.calimar.it/","www.calimar.it")</f>
        <v>www.calimar.it</v>
      </c>
      <c r="J2596" s="10">
        <v>1195.789</v>
      </c>
      <c r="K2596" s="10">
        <v>1195.789</v>
      </c>
      <c r="L2596" s="10">
        <v>1428.9839999999999</v>
      </c>
      <c r="M2596" s="10">
        <v>6.7560000000000002</v>
      </c>
      <c r="N2596" s="10">
        <v>6.7560000000000002</v>
      </c>
      <c r="O2596" s="10">
        <v>42.932000000000002</v>
      </c>
      <c r="P2596" s="10">
        <v>13</v>
      </c>
      <c r="Q2596" s="10">
        <v>13</v>
      </c>
      <c r="R2596" s="10">
        <v>13</v>
      </c>
    </row>
    <row r="2597" spans="1:18" ht="55.75" customHeight="1" x14ac:dyDescent="0.15">
      <c r="A2597" s="11" t="s">
        <v>13895</v>
      </c>
      <c r="B2597" s="1" t="s">
        <v>13896</v>
      </c>
      <c r="C2597" s="11" t="s">
        <v>13897</v>
      </c>
      <c r="D2597" s="11" t="s">
        <v>13897</v>
      </c>
      <c r="E2597" s="11" t="s">
        <v>13898</v>
      </c>
      <c r="F2597" s="11" t="s">
        <v>13899</v>
      </c>
      <c r="G2597" s="11" t="s">
        <v>13893</v>
      </c>
      <c r="H2597" s="11" t="s">
        <v>13894</v>
      </c>
      <c r="I2597" s="11" t="str">
        <f>HYPERLINK("http://www.gironacci.it/","www.gironacci.it")</f>
        <v>www.gironacci.it</v>
      </c>
      <c r="J2597" s="12">
        <v>2069.4319999999998</v>
      </c>
      <c r="K2597" s="12">
        <v>2069.4319999999998</v>
      </c>
      <c r="L2597" s="13">
        <v>1427.4870000000001</v>
      </c>
      <c r="M2597" s="12">
        <v>18.782</v>
      </c>
      <c r="N2597" s="12">
        <v>18.782</v>
      </c>
      <c r="O2597" s="12">
        <v>10.736000000000001</v>
      </c>
      <c r="P2597" s="12">
        <v>8</v>
      </c>
      <c r="Q2597" s="12">
        <v>8</v>
      </c>
      <c r="R2597" s="12">
        <v>7</v>
      </c>
    </row>
    <row r="2598" spans="1:18" ht="29.5" customHeight="1" x14ac:dyDescent="0.15">
      <c r="A2598" s="8" t="s">
        <v>13900</v>
      </c>
      <c r="B2598" s="9" t="s">
        <v>13901</v>
      </c>
      <c r="C2598" s="8" t="s">
        <v>13902</v>
      </c>
      <c r="D2598" s="8" t="s">
        <v>13902</v>
      </c>
      <c r="E2598" s="8" t="s">
        <v>13903</v>
      </c>
      <c r="F2598" s="8" t="s">
        <v>13904</v>
      </c>
      <c r="G2598" s="8" t="s">
        <v>13905</v>
      </c>
      <c r="H2598" s="8" t="s">
        <v>13906</v>
      </c>
      <c r="I2598" s="8" t="str">
        <f>HYPERLINK("http://comodato-studioinformatica.passweb.it/","comodato-studioinformatica.passweb.it")</f>
        <v>comodato-studioinformatica.passweb.it</v>
      </c>
      <c r="J2598" s="10">
        <v>1492.1130000000001</v>
      </c>
      <c r="K2598" s="10">
        <v>1492.1130000000001</v>
      </c>
      <c r="L2598" s="10">
        <v>1425.83</v>
      </c>
      <c r="M2598" s="10">
        <v>81.227999999999994</v>
      </c>
      <c r="N2598" s="10">
        <v>81.227999999999994</v>
      </c>
      <c r="O2598" s="10">
        <v>64.034000000000006</v>
      </c>
      <c r="P2598" s="15" t="s">
        <v>13888</v>
      </c>
      <c r="Q2598" s="15" t="s">
        <v>13888</v>
      </c>
      <c r="R2598" s="10">
        <v>4</v>
      </c>
    </row>
    <row r="2599" spans="1:18" ht="17" customHeight="1" x14ac:dyDescent="0.15">
      <c r="A2599" s="11" t="s">
        <v>13907</v>
      </c>
      <c r="B2599" s="1" t="s">
        <v>13908</v>
      </c>
      <c r="C2599" s="11" t="s">
        <v>13909</v>
      </c>
      <c r="D2599" s="11" t="s">
        <v>13909</v>
      </c>
      <c r="E2599" s="11" t="s">
        <v>13910</v>
      </c>
      <c r="F2599" s="11" t="s">
        <v>13911</v>
      </c>
      <c r="G2599" s="11" t="s">
        <v>13879</v>
      </c>
      <c r="H2599" s="11" t="s">
        <v>13880</v>
      </c>
      <c r="I2599" s="11" t="str">
        <f>HYPERLINK("http://www.gamma3.net/","www.gamma3.net")</f>
        <v>www.gamma3.net</v>
      </c>
      <c r="J2599" s="12">
        <v>1011.804</v>
      </c>
      <c r="K2599" s="12">
        <v>1011.804</v>
      </c>
      <c r="L2599" s="13">
        <v>1425.8</v>
      </c>
      <c r="M2599" s="12">
        <v>-12.875999999999999</v>
      </c>
      <c r="N2599" s="12">
        <v>-12.875999999999999</v>
      </c>
      <c r="O2599" s="12">
        <v>24.466000000000001</v>
      </c>
      <c r="P2599" s="12">
        <v>7</v>
      </c>
      <c r="Q2599" s="12">
        <v>7</v>
      </c>
      <c r="R2599" s="12">
        <v>7</v>
      </c>
    </row>
    <row r="2600" spans="1:18" ht="17" customHeight="1" x14ac:dyDescent="0.15">
      <c r="A2600" s="8" t="s">
        <v>13912</v>
      </c>
      <c r="B2600" s="9" t="s">
        <v>13913</v>
      </c>
      <c r="C2600" s="8" t="s">
        <v>13914</v>
      </c>
      <c r="D2600" s="8" t="s">
        <v>13914</v>
      </c>
      <c r="E2600" s="8" t="s">
        <v>13915</v>
      </c>
      <c r="F2600" s="8" t="s">
        <v>13899</v>
      </c>
      <c r="G2600" s="8" t="s">
        <v>13916</v>
      </c>
      <c r="H2600" s="8" t="s">
        <v>13917</v>
      </c>
      <c r="I2600" s="8" t="str">
        <f>HYPERLINK("http://www.armenico.it/","www.armenico.it")</f>
        <v>www.armenico.it</v>
      </c>
      <c r="J2600" s="10">
        <v>2007.3</v>
      </c>
      <c r="K2600" s="10">
        <v>2007.3</v>
      </c>
      <c r="L2600" s="10">
        <v>1425.405</v>
      </c>
      <c r="M2600" s="10">
        <v>241.16300000000001</v>
      </c>
      <c r="N2600" s="10">
        <v>241.16300000000001</v>
      </c>
      <c r="O2600" s="10">
        <v>77.248999999999995</v>
      </c>
      <c r="P2600" s="10">
        <v>17</v>
      </c>
      <c r="Q2600" s="10">
        <v>17</v>
      </c>
      <c r="R2600" s="10">
        <v>18</v>
      </c>
    </row>
    <row r="2601" spans="1:18" ht="17" customHeight="1" x14ac:dyDescent="0.15">
      <c r="A2601" s="11" t="s">
        <v>13918</v>
      </c>
      <c r="B2601" s="1" t="s">
        <v>13919</v>
      </c>
      <c r="C2601" s="11" t="s">
        <v>13920</v>
      </c>
      <c r="D2601" s="11" t="s">
        <v>13920</v>
      </c>
      <c r="E2601" s="11" t="s">
        <v>13921</v>
      </c>
      <c r="F2601" s="11" t="s">
        <v>13922</v>
      </c>
      <c r="G2601" s="11" t="s">
        <v>13872</v>
      </c>
      <c r="H2601" s="11" t="s">
        <v>13873</v>
      </c>
      <c r="I2601" s="11" t="str">
        <f>HYPERLINK("http://www.enzodimartino.it/","www.enzodimartino.it")</f>
        <v>www.enzodimartino.it</v>
      </c>
      <c r="J2601" s="12">
        <v>1267.3689999999999</v>
      </c>
      <c r="K2601" s="12">
        <v>1267.3689999999999</v>
      </c>
      <c r="L2601" s="13">
        <v>1424.03</v>
      </c>
      <c r="M2601" s="12">
        <v>4.2</v>
      </c>
      <c r="N2601" s="12">
        <v>4.2</v>
      </c>
      <c r="O2601" s="12">
        <v>13.598000000000001</v>
      </c>
      <c r="P2601" s="14" t="s">
        <v>13888</v>
      </c>
      <c r="Q2601" s="14" t="s">
        <v>13888</v>
      </c>
      <c r="R2601" s="12">
        <v>12</v>
      </c>
    </row>
    <row r="2602" spans="1:18" ht="17" customHeight="1" x14ac:dyDescent="0.15">
      <c r="A2602" s="8" t="s">
        <v>13923</v>
      </c>
      <c r="B2602" s="9" t="s">
        <v>13924</v>
      </c>
      <c r="C2602" s="8" t="s">
        <v>13925</v>
      </c>
      <c r="D2602" s="8" t="s">
        <v>13925</v>
      </c>
      <c r="E2602" s="8" t="s">
        <v>13926</v>
      </c>
      <c r="F2602" s="8" t="s">
        <v>13927</v>
      </c>
      <c r="G2602" s="8" t="s">
        <v>13928</v>
      </c>
      <c r="H2602" s="8" t="s">
        <v>13929</v>
      </c>
      <c r="I2602" s="8" t="str">
        <f>HYPERLINK("http://www.damapartner.com/","www.damapartner.com")</f>
        <v>www.damapartner.com</v>
      </c>
      <c r="J2602" s="10">
        <v>1454.2750000000001</v>
      </c>
      <c r="K2602" s="10">
        <v>1454.2750000000001</v>
      </c>
      <c r="L2602" s="10">
        <v>1423.8109999999999</v>
      </c>
      <c r="M2602" s="10">
        <v>8.4619999999999997</v>
      </c>
      <c r="N2602" s="10">
        <v>8.4619999999999997</v>
      </c>
      <c r="O2602" s="10">
        <v>-195.08799999999999</v>
      </c>
      <c r="P2602" s="10">
        <v>8</v>
      </c>
      <c r="Q2602" s="10">
        <v>8</v>
      </c>
      <c r="R2602" s="10">
        <v>8</v>
      </c>
    </row>
    <row r="2603" spans="1:18" ht="17" customHeight="1" x14ac:dyDescent="0.15">
      <c r="A2603" s="11" t="s">
        <v>13930</v>
      </c>
      <c r="B2603" s="1" t="s">
        <v>13931</v>
      </c>
      <c r="C2603" s="11" t="s">
        <v>13932</v>
      </c>
      <c r="D2603" s="11" t="s">
        <v>13932</v>
      </c>
      <c r="E2603" s="11" t="s">
        <v>13933</v>
      </c>
      <c r="F2603" s="11" t="s">
        <v>13934</v>
      </c>
      <c r="G2603" s="11" t="s">
        <v>13935</v>
      </c>
      <c r="H2603" s="11" t="s">
        <v>13880</v>
      </c>
      <c r="I2603" s="11" t="str">
        <f>HYPERLINK("http://www.mgetrusco.it/","www.mgetrusco.it")</f>
        <v>www.mgetrusco.it</v>
      </c>
      <c r="J2603" s="12">
        <v>1104.873</v>
      </c>
      <c r="K2603" s="12">
        <v>1104.873</v>
      </c>
      <c r="L2603" s="13">
        <v>1423.0989999999999</v>
      </c>
      <c r="M2603" s="12">
        <v>-5.5970000000000004</v>
      </c>
      <c r="N2603" s="12">
        <v>-5.5970000000000004</v>
      </c>
      <c r="O2603" s="12">
        <v>-41.009</v>
      </c>
      <c r="P2603" s="12">
        <v>6</v>
      </c>
      <c r="Q2603" s="12">
        <v>6</v>
      </c>
      <c r="R2603" s="12">
        <v>5</v>
      </c>
    </row>
    <row r="2604" spans="1:18" ht="17" customHeight="1" x14ac:dyDescent="0.15">
      <c r="A2604" s="8" t="s">
        <v>13936</v>
      </c>
      <c r="B2604" s="9" t="s">
        <v>13937</v>
      </c>
      <c r="C2604" s="8" t="s">
        <v>13938</v>
      </c>
      <c r="D2604" s="8" t="s">
        <v>13938</v>
      </c>
      <c r="E2604" s="8" t="s">
        <v>13939</v>
      </c>
      <c r="F2604" s="8" t="s">
        <v>13940</v>
      </c>
      <c r="G2604" s="8" t="s">
        <v>13941</v>
      </c>
      <c r="H2604" s="8" t="s">
        <v>13873</v>
      </c>
      <c r="I2604" s="8" t="str">
        <f>HYPERLINK("http://www.laserfashion.it/","www.laserfashion.it")</f>
        <v>www.laserfashion.it</v>
      </c>
      <c r="J2604" s="10">
        <v>1555.914</v>
      </c>
      <c r="K2604" s="10">
        <v>1555.914</v>
      </c>
      <c r="L2604" s="10">
        <v>1421.2819999999999</v>
      </c>
      <c r="M2604" s="10">
        <v>11.728</v>
      </c>
      <c r="N2604" s="10">
        <v>11.728</v>
      </c>
      <c r="O2604" s="10">
        <v>20.067</v>
      </c>
      <c r="P2604" s="10">
        <v>15</v>
      </c>
      <c r="Q2604" s="10">
        <v>15</v>
      </c>
      <c r="R2604" s="10">
        <v>14</v>
      </c>
    </row>
    <row r="2605" spans="1:18" ht="17" customHeight="1" x14ac:dyDescent="0.15">
      <c r="A2605" s="11" t="s">
        <v>13942</v>
      </c>
      <c r="B2605" s="1" t="s">
        <v>13943</v>
      </c>
      <c r="C2605" s="11" t="s">
        <v>13944</v>
      </c>
      <c r="D2605" s="11" t="s">
        <v>13944</v>
      </c>
      <c r="E2605" s="11" t="s">
        <v>13945</v>
      </c>
      <c r="F2605" s="11" t="s">
        <v>13911</v>
      </c>
      <c r="G2605" s="11" t="s">
        <v>13946</v>
      </c>
      <c r="H2605" s="11" t="s">
        <v>13929</v>
      </c>
      <c r="I2605" s="11" t="str">
        <f>HYPERLINK("http://www.castellaridiffusion.com/","www.castellaridiffusion.com")</f>
        <v>www.castellaridiffusion.com</v>
      </c>
      <c r="J2605" s="12">
        <v>1681.8989999999999</v>
      </c>
      <c r="K2605" s="12">
        <v>1681.8989999999999</v>
      </c>
      <c r="L2605" s="13">
        <v>1420.7190000000001</v>
      </c>
      <c r="M2605" s="12">
        <v>45.63</v>
      </c>
      <c r="N2605" s="12">
        <v>45.63</v>
      </c>
      <c r="O2605" s="12">
        <v>-20.445</v>
      </c>
      <c r="P2605" s="12">
        <v>10</v>
      </c>
      <c r="Q2605" s="12">
        <v>10</v>
      </c>
      <c r="R2605" s="12">
        <v>6</v>
      </c>
    </row>
    <row r="2606" spans="1:18" ht="17" customHeight="1" x14ac:dyDescent="0.15">
      <c r="A2606" s="8" t="s">
        <v>13947</v>
      </c>
      <c r="B2606" s="9" t="s">
        <v>13948</v>
      </c>
      <c r="C2606" s="8" t="s">
        <v>13949</v>
      </c>
      <c r="D2606" s="8" t="s">
        <v>13949</v>
      </c>
      <c r="E2606" s="8" t="s">
        <v>13950</v>
      </c>
      <c r="F2606" s="8" t="s">
        <v>13911</v>
      </c>
      <c r="G2606" s="8" t="s">
        <v>13935</v>
      </c>
      <c r="H2606" s="8" t="s">
        <v>13880</v>
      </c>
      <c r="I2606" s="8" t="str">
        <f>HYPERLINK("http://www.gianfrancosisti.com/","www.gianfrancosisti.com")</f>
        <v>www.gianfrancosisti.com</v>
      </c>
      <c r="J2606" s="10">
        <v>1382.943</v>
      </c>
      <c r="K2606" s="10">
        <v>1382.943</v>
      </c>
      <c r="L2606" s="10">
        <v>1419.837</v>
      </c>
      <c r="M2606" s="10">
        <v>20.494</v>
      </c>
      <c r="N2606" s="10">
        <v>20.494</v>
      </c>
      <c r="O2606" s="10">
        <v>16.236000000000001</v>
      </c>
      <c r="P2606" s="10">
        <v>10</v>
      </c>
      <c r="Q2606" s="10">
        <v>10</v>
      </c>
      <c r="R2606" s="10">
        <v>10</v>
      </c>
    </row>
    <row r="2607" spans="1:18" ht="17" customHeight="1" x14ac:dyDescent="0.15">
      <c r="A2607" s="11" t="s">
        <v>13951</v>
      </c>
      <c r="B2607" s="1" t="s">
        <v>13952</v>
      </c>
      <c r="C2607" s="11" t="s">
        <v>13953</v>
      </c>
      <c r="D2607" s="11" t="s">
        <v>13953</v>
      </c>
      <c r="E2607" s="11" t="s">
        <v>13954</v>
      </c>
      <c r="F2607" s="11" t="s">
        <v>13922</v>
      </c>
      <c r="G2607" s="11" t="s">
        <v>13955</v>
      </c>
      <c r="H2607" s="11" t="s">
        <v>13894</v>
      </c>
      <c r="I2607" s="11" t="str">
        <f>HYPERLINK("http://www.ducanero.it/","www.ducanero.it")</f>
        <v>www.ducanero.it</v>
      </c>
      <c r="J2607" s="12">
        <v>1436.9639999999999</v>
      </c>
      <c r="K2607" s="12">
        <v>1436.9639999999999</v>
      </c>
      <c r="L2607" s="13">
        <v>1419.4760000000001</v>
      </c>
      <c r="M2607" s="12">
        <v>0.70099999999999996</v>
      </c>
      <c r="N2607" s="12">
        <v>0.70099999999999996</v>
      </c>
      <c r="O2607" s="12">
        <v>15.170999999999999</v>
      </c>
      <c r="P2607" s="12">
        <v>7</v>
      </c>
      <c r="Q2607" s="12">
        <v>7</v>
      </c>
      <c r="R2607" s="12">
        <v>7</v>
      </c>
    </row>
    <row r="2608" spans="1:18" ht="17" customHeight="1" x14ac:dyDescent="0.15">
      <c r="A2608" s="8" t="s">
        <v>13956</v>
      </c>
      <c r="B2608" s="9" t="s">
        <v>13957</v>
      </c>
      <c r="C2608" s="8" t="s">
        <v>13958</v>
      </c>
      <c r="D2608" s="8" t="s">
        <v>13958</v>
      </c>
      <c r="E2608" s="8" t="s">
        <v>13959</v>
      </c>
      <c r="F2608" s="8" t="s">
        <v>13960</v>
      </c>
      <c r="G2608" s="8" t="s">
        <v>13872</v>
      </c>
      <c r="H2608" s="8" t="s">
        <v>13873</v>
      </c>
      <c r="I2608" s="8" t="str">
        <f>HYPERLINK("http://gruppogama.it/","gruppogama.it")</f>
        <v>gruppogama.it</v>
      </c>
      <c r="J2608" s="10">
        <v>1958.836</v>
      </c>
      <c r="K2608" s="10">
        <v>1958.836</v>
      </c>
      <c r="L2608" s="10">
        <v>1417.9580000000001</v>
      </c>
      <c r="M2608" s="10">
        <v>102.509</v>
      </c>
      <c r="N2608" s="10">
        <v>102.509</v>
      </c>
      <c r="O2608" s="10">
        <v>64.174999999999997</v>
      </c>
      <c r="P2608" s="15" t="s">
        <v>13888</v>
      </c>
      <c r="Q2608" s="15" t="s">
        <v>13888</v>
      </c>
      <c r="R2608" s="10">
        <v>3</v>
      </c>
    </row>
    <row r="2609" spans="1:18" ht="17" customHeight="1" x14ac:dyDescent="0.15">
      <c r="A2609" s="11" t="s">
        <v>13961</v>
      </c>
      <c r="B2609" s="1" t="s">
        <v>13962</v>
      </c>
      <c r="C2609" s="11" t="s">
        <v>13963</v>
      </c>
      <c r="D2609" s="11" t="s">
        <v>13963</v>
      </c>
      <c r="E2609" s="11" t="s">
        <v>13964</v>
      </c>
      <c r="F2609" s="11" t="s">
        <v>13904</v>
      </c>
      <c r="G2609" s="11" t="s">
        <v>13965</v>
      </c>
      <c r="H2609" s="11" t="s">
        <v>13966</v>
      </c>
      <c r="I2609" s="11" t="str">
        <f>HYPERLINK("http://www.sartorieanthea.it/","www.sartorieanthea.it")</f>
        <v>www.sartorieanthea.it</v>
      </c>
      <c r="J2609" s="12">
        <v>2360.9380000000001</v>
      </c>
      <c r="K2609" s="12">
        <v>2360.9380000000001</v>
      </c>
      <c r="L2609" s="13">
        <v>1417.7919999999999</v>
      </c>
      <c r="M2609" s="12">
        <v>173.429</v>
      </c>
      <c r="N2609" s="12">
        <v>173.429</v>
      </c>
      <c r="O2609" s="12">
        <v>-23.032</v>
      </c>
      <c r="P2609" s="14" t="s">
        <v>13888</v>
      </c>
      <c r="Q2609" s="14" t="s">
        <v>13888</v>
      </c>
      <c r="R2609" s="12">
        <v>44</v>
      </c>
    </row>
    <row r="2610" spans="1:18" ht="17" customHeight="1" x14ac:dyDescent="0.15">
      <c r="A2610" s="8" t="s">
        <v>13967</v>
      </c>
      <c r="B2610" s="9" t="s">
        <v>13968</v>
      </c>
      <c r="C2610" s="8" t="s">
        <v>13969</v>
      </c>
      <c r="D2610" s="8" t="s">
        <v>13970</v>
      </c>
      <c r="E2610" s="8" t="s">
        <v>13971</v>
      </c>
      <c r="F2610" s="8" t="s">
        <v>13871</v>
      </c>
      <c r="G2610" s="8" t="s">
        <v>13916</v>
      </c>
      <c r="H2610" s="8" t="s">
        <v>13917</v>
      </c>
      <c r="I2610" s="8" t="str">
        <f>HYPERLINK("http://www.cargera.it/","www.cargera.it")</f>
        <v>www.cargera.it</v>
      </c>
      <c r="J2610" s="10">
        <v>1173.2139999999999</v>
      </c>
      <c r="K2610" s="10">
        <v>1173.2139999999999</v>
      </c>
      <c r="L2610" s="10">
        <v>1417.4580000000001</v>
      </c>
      <c r="M2610" s="10">
        <v>4.0609999999999999</v>
      </c>
      <c r="N2610" s="10">
        <v>4.0609999999999999</v>
      </c>
      <c r="O2610" s="10">
        <v>20.536000000000001</v>
      </c>
      <c r="P2610" s="15" t="s">
        <v>13888</v>
      </c>
      <c r="Q2610" s="15" t="s">
        <v>13888</v>
      </c>
      <c r="R2610" s="10">
        <v>11</v>
      </c>
    </row>
    <row r="2611" spans="1:18" ht="29.5" customHeight="1" x14ac:dyDescent="0.15">
      <c r="A2611" s="11" t="s">
        <v>13972</v>
      </c>
      <c r="B2611" s="1" t="s">
        <v>13973</v>
      </c>
      <c r="C2611" s="11" t="s">
        <v>13974</v>
      </c>
      <c r="D2611" s="11" t="s">
        <v>13974</v>
      </c>
      <c r="E2611" s="11" t="s">
        <v>13975</v>
      </c>
      <c r="F2611" s="11" t="s">
        <v>13871</v>
      </c>
      <c r="G2611" s="11" t="s">
        <v>13976</v>
      </c>
      <c r="H2611" s="11" t="s">
        <v>13929</v>
      </c>
      <c r="I2611" s="11" t="str">
        <f>HYPERLINK("http://www.win-srl.it/","www.win-srl.it")</f>
        <v>www.win-srl.it</v>
      </c>
      <c r="J2611" s="12">
        <v>1141.577</v>
      </c>
      <c r="K2611" s="12">
        <v>1141.577</v>
      </c>
      <c r="L2611" s="13">
        <v>1416.884</v>
      </c>
      <c r="M2611" s="12">
        <v>24.885000000000002</v>
      </c>
      <c r="N2611" s="12">
        <v>24.885000000000002</v>
      </c>
      <c r="O2611" s="12">
        <v>16.196000000000002</v>
      </c>
      <c r="P2611" s="14" t="s">
        <v>13888</v>
      </c>
      <c r="Q2611" s="14" t="s">
        <v>13888</v>
      </c>
      <c r="R2611" s="12">
        <v>2</v>
      </c>
    </row>
    <row r="2612" spans="1:18" ht="17" customHeight="1" x14ac:dyDescent="0.15">
      <c r="A2612" s="8" t="s">
        <v>13977</v>
      </c>
      <c r="B2612" s="9" t="s">
        <v>13978</v>
      </c>
      <c r="C2612" s="8" t="s">
        <v>13979</v>
      </c>
      <c r="D2612" s="8" t="s">
        <v>13979</v>
      </c>
      <c r="E2612" s="8" t="s">
        <v>13980</v>
      </c>
      <c r="F2612" s="8" t="s">
        <v>13878</v>
      </c>
      <c r="G2612" s="8" t="s">
        <v>13916</v>
      </c>
      <c r="H2612" s="8" t="s">
        <v>13917</v>
      </c>
      <c r="I2612" s="8" t="str">
        <f>HYPERLINK("http://www.maglificiocortese.it/","www.maglificiocortese.it")</f>
        <v>www.maglificiocortese.it</v>
      </c>
      <c r="J2612" s="10">
        <v>1211.202</v>
      </c>
      <c r="K2612" s="10">
        <v>1211.202</v>
      </c>
      <c r="L2612" s="10">
        <v>1416.2670000000001</v>
      </c>
      <c r="M2612" s="10">
        <v>6.5380000000000003</v>
      </c>
      <c r="N2612" s="10">
        <v>6.5380000000000003</v>
      </c>
      <c r="O2612" s="10">
        <v>19.213000000000001</v>
      </c>
      <c r="P2612" s="10">
        <v>11</v>
      </c>
      <c r="Q2612" s="10">
        <v>11</v>
      </c>
      <c r="R2612" s="10">
        <v>11</v>
      </c>
    </row>
    <row r="2613" spans="1:18" ht="17" customHeight="1" x14ac:dyDescent="0.15">
      <c r="A2613" s="11" t="s">
        <v>13981</v>
      </c>
      <c r="B2613" s="1" t="s">
        <v>13982</v>
      </c>
      <c r="C2613" s="11" t="s">
        <v>13983</v>
      </c>
      <c r="D2613" s="11" t="s">
        <v>13983</v>
      </c>
      <c r="E2613" s="11" t="s">
        <v>13984</v>
      </c>
      <c r="F2613" s="11" t="s">
        <v>13899</v>
      </c>
      <c r="G2613" s="11" t="s">
        <v>13976</v>
      </c>
      <c r="H2613" s="11" t="s">
        <v>13929</v>
      </c>
      <c r="I2613" s="11" t="str">
        <f>HYPERLINK("http://maximabags.com/","maximabags.com")</f>
        <v>maximabags.com</v>
      </c>
      <c r="J2613" s="12">
        <v>1161.222</v>
      </c>
      <c r="K2613" s="12">
        <v>1161.222</v>
      </c>
      <c r="L2613" s="13">
        <v>1412.079</v>
      </c>
      <c r="M2613" s="12">
        <v>31.148</v>
      </c>
      <c r="N2613" s="12">
        <v>31.148</v>
      </c>
      <c r="O2613" s="12">
        <v>43</v>
      </c>
      <c r="P2613" s="12">
        <v>7</v>
      </c>
      <c r="Q2613" s="12">
        <v>7</v>
      </c>
      <c r="R2613" s="12">
        <v>7</v>
      </c>
    </row>
    <row r="2614" spans="1:18" ht="17" customHeight="1" x14ac:dyDescent="0.15">
      <c r="A2614" s="8" t="s">
        <v>13985</v>
      </c>
      <c r="B2614" s="9" t="s">
        <v>13986</v>
      </c>
      <c r="C2614" s="8" t="s">
        <v>13987</v>
      </c>
      <c r="D2614" s="8" t="s">
        <v>13987</v>
      </c>
      <c r="E2614" s="8" t="s">
        <v>13988</v>
      </c>
      <c r="F2614" s="8" t="s">
        <v>13899</v>
      </c>
      <c r="G2614" s="8" t="s">
        <v>13989</v>
      </c>
      <c r="H2614" s="8" t="s">
        <v>13990</v>
      </c>
      <c r="I2614" s="8" t="str">
        <f>HYPERLINK("http://www.brandinatheoriginal.it/","www.brandinatheoriginal.it")</f>
        <v>www.brandinatheoriginal.it</v>
      </c>
      <c r="J2614" s="10">
        <v>1436.15</v>
      </c>
      <c r="K2614" s="10">
        <v>1436.15</v>
      </c>
      <c r="L2614" s="10">
        <v>1411.877</v>
      </c>
      <c r="M2614" s="10">
        <v>99.411000000000001</v>
      </c>
      <c r="N2614" s="10">
        <v>99.411000000000001</v>
      </c>
      <c r="O2614" s="10">
        <v>223.114</v>
      </c>
      <c r="P2614" s="10">
        <v>17</v>
      </c>
      <c r="Q2614" s="10">
        <v>17</v>
      </c>
      <c r="R2614" s="10">
        <v>19</v>
      </c>
    </row>
    <row r="2615" spans="1:18" ht="17" customHeight="1" x14ac:dyDescent="0.15">
      <c r="A2615" s="11" t="s">
        <v>13991</v>
      </c>
      <c r="B2615" s="1" t="s">
        <v>13992</v>
      </c>
      <c r="C2615" s="11" t="s">
        <v>13993</v>
      </c>
      <c r="D2615" s="11" t="s">
        <v>13993</v>
      </c>
      <c r="E2615" s="11" t="s">
        <v>13994</v>
      </c>
      <c r="F2615" s="11" t="s">
        <v>13878</v>
      </c>
      <c r="G2615" s="11" t="s">
        <v>13995</v>
      </c>
      <c r="H2615" s="11" t="s">
        <v>13929</v>
      </c>
      <c r="I2615" s="11" t="str">
        <f>HYPERLINK("http://www.alantricot.it/","www.alantricot.it")</f>
        <v>www.alantricot.it</v>
      </c>
      <c r="J2615" s="12">
        <v>1254.5060000000001</v>
      </c>
      <c r="K2615" s="12">
        <v>1254.5060000000001</v>
      </c>
      <c r="L2615" s="13">
        <v>1411.165</v>
      </c>
      <c r="M2615" s="12">
        <v>9.6419999999999995</v>
      </c>
      <c r="N2615" s="12">
        <v>9.6419999999999995</v>
      </c>
      <c r="O2615" s="12">
        <v>3.399</v>
      </c>
      <c r="P2615" s="14" t="s">
        <v>13888</v>
      </c>
      <c r="Q2615" s="14" t="s">
        <v>13888</v>
      </c>
      <c r="R2615" s="12">
        <v>11</v>
      </c>
    </row>
    <row r="2616" spans="1:18" ht="17" customHeight="1" x14ac:dyDescent="0.15">
      <c r="A2616" s="8" t="s">
        <v>13996</v>
      </c>
      <c r="B2616" s="9" t="s">
        <v>13997</v>
      </c>
      <c r="C2616" s="8" t="s">
        <v>13998</v>
      </c>
      <c r="D2616" s="8" t="s">
        <v>13998</v>
      </c>
      <c r="E2616" s="8" t="s">
        <v>13999</v>
      </c>
      <c r="F2616" s="8" t="s">
        <v>13940</v>
      </c>
      <c r="G2616" s="8" t="s">
        <v>13916</v>
      </c>
      <c r="H2616" s="8" t="s">
        <v>13917</v>
      </c>
      <c r="I2616" s="8" t="str">
        <f>HYPERLINK("http://www.ilsman.com/","www.ilsman.com")</f>
        <v>www.ilsman.com</v>
      </c>
      <c r="J2616" s="10">
        <v>745.46500000000003</v>
      </c>
      <c r="K2616" s="10">
        <v>745.46500000000003</v>
      </c>
      <c r="L2616" s="10">
        <v>1410.8530000000001</v>
      </c>
      <c r="M2616" s="10">
        <v>38.624000000000002</v>
      </c>
      <c r="N2616" s="10">
        <v>38.624000000000002</v>
      </c>
      <c r="O2616" s="10">
        <v>113.81399999999999</v>
      </c>
      <c r="P2616" s="10">
        <v>1</v>
      </c>
      <c r="Q2616" s="10">
        <v>1</v>
      </c>
      <c r="R2616" s="10">
        <v>1</v>
      </c>
    </row>
    <row r="2617" spans="1:18" ht="29.5" customHeight="1" x14ac:dyDescent="0.15">
      <c r="A2617" s="11" t="s">
        <v>14000</v>
      </c>
      <c r="B2617" s="1" t="s">
        <v>14001</v>
      </c>
      <c r="C2617" s="11" t="s">
        <v>14002</v>
      </c>
      <c r="D2617" s="11" t="s">
        <v>14002</v>
      </c>
      <c r="E2617" s="11" t="s">
        <v>14003</v>
      </c>
      <c r="F2617" s="11" t="s">
        <v>13934</v>
      </c>
      <c r="G2617" s="11" t="s">
        <v>14004</v>
      </c>
      <c r="H2617" s="11" t="s">
        <v>13929</v>
      </c>
      <c r="I2617" s="11" t="str">
        <f>HYPERLINK("http://www.dulioaccessori.it/","www.dulioaccessori.it")</f>
        <v>www.dulioaccessori.it</v>
      </c>
      <c r="J2617" s="12">
        <v>924.13400000000001</v>
      </c>
      <c r="K2617" s="12">
        <v>924.13400000000001</v>
      </c>
      <c r="L2617" s="13">
        <v>1409.723</v>
      </c>
      <c r="M2617" s="12">
        <v>4.883</v>
      </c>
      <c r="N2617" s="12">
        <v>4.883</v>
      </c>
      <c r="O2617" s="12">
        <v>12.629</v>
      </c>
      <c r="P2617" s="12">
        <v>8</v>
      </c>
      <c r="Q2617" s="12">
        <v>8</v>
      </c>
      <c r="R2617" s="12">
        <v>8</v>
      </c>
    </row>
    <row r="2618" spans="1:18" ht="43" customHeight="1" x14ac:dyDescent="0.15">
      <c r="A2618" s="8" t="s">
        <v>14005</v>
      </c>
      <c r="B2618" s="9" t="s">
        <v>14006</v>
      </c>
      <c r="C2618" s="8" t="s">
        <v>14007</v>
      </c>
      <c r="D2618" s="8" t="s">
        <v>14007</v>
      </c>
      <c r="E2618" s="8" t="s">
        <v>14008</v>
      </c>
      <c r="F2618" s="8" t="s">
        <v>14009</v>
      </c>
      <c r="G2618" s="8" t="s">
        <v>13976</v>
      </c>
      <c r="H2618" s="8" t="s">
        <v>13929</v>
      </c>
      <c r="I2618" s="8" t="str">
        <f>HYPERLINK("http://www.lastupenderia.com/","www.lastupenderia.com")</f>
        <v>www.lastupenderia.com</v>
      </c>
      <c r="J2618" s="10">
        <v>1478.404</v>
      </c>
      <c r="K2618" s="10">
        <v>1478.404</v>
      </c>
      <c r="L2618" s="10">
        <v>1409.2260000000001</v>
      </c>
      <c r="M2618" s="10">
        <v>4.9509999999999996</v>
      </c>
      <c r="N2618" s="10">
        <v>4.9509999999999996</v>
      </c>
      <c r="O2618" s="10">
        <v>70.786000000000001</v>
      </c>
      <c r="P2618" s="10">
        <v>7</v>
      </c>
      <c r="Q2618" s="10">
        <v>7</v>
      </c>
      <c r="R2618" s="10">
        <v>8</v>
      </c>
    </row>
    <row r="2619" spans="1:18" ht="17" customHeight="1" x14ac:dyDescent="0.15">
      <c r="A2619" s="11" t="s">
        <v>14010</v>
      </c>
      <c r="B2619" s="1" t="s">
        <v>14011</v>
      </c>
      <c r="C2619" s="11" t="s">
        <v>14012</v>
      </c>
      <c r="D2619" s="11" t="s">
        <v>14012</v>
      </c>
      <c r="E2619" s="11" t="s">
        <v>14013</v>
      </c>
      <c r="F2619" s="11" t="s">
        <v>13960</v>
      </c>
      <c r="G2619" s="11" t="s">
        <v>13976</v>
      </c>
      <c r="H2619" s="11" t="s">
        <v>13929</v>
      </c>
      <c r="I2619" s="11" t="str">
        <f>HYPERLINK("http://a-caraceni.it/","a-caraceni.it")</f>
        <v>a-caraceni.it</v>
      </c>
      <c r="J2619" s="12">
        <v>1257.5450000000001</v>
      </c>
      <c r="K2619" s="12">
        <v>1257.5450000000001</v>
      </c>
      <c r="L2619" s="13">
        <v>1407.9680000000001</v>
      </c>
      <c r="M2619" s="12">
        <v>-46.2</v>
      </c>
      <c r="N2619" s="12">
        <v>-46.2</v>
      </c>
      <c r="O2619" s="12">
        <v>40.691000000000003</v>
      </c>
      <c r="P2619" s="12">
        <v>17</v>
      </c>
      <c r="Q2619" s="12">
        <v>17</v>
      </c>
      <c r="R2619" s="12">
        <v>17</v>
      </c>
    </row>
    <row r="2620" spans="1:18" ht="29.5" customHeight="1" x14ac:dyDescent="0.15">
      <c r="A2620" s="8" t="s">
        <v>14014</v>
      </c>
      <c r="B2620" s="9" t="s">
        <v>14015</v>
      </c>
      <c r="C2620" s="8" t="s">
        <v>14016</v>
      </c>
      <c r="D2620" s="8" t="s">
        <v>14016</v>
      </c>
      <c r="E2620" s="8" t="s">
        <v>14017</v>
      </c>
      <c r="F2620" s="8" t="s">
        <v>13940</v>
      </c>
      <c r="G2620" s="8" t="s">
        <v>14018</v>
      </c>
      <c r="H2620" s="8" t="s">
        <v>13880</v>
      </c>
      <c r="I2620" s="8" t="str">
        <f>HYPERLINK("http://www.valpel.it/","http://www.valpel.it/")</f>
        <v>http://www.valpel.it/</v>
      </c>
      <c r="J2620" s="10">
        <v>1072.2919999999999</v>
      </c>
      <c r="K2620" s="10">
        <v>1072.2919999999999</v>
      </c>
      <c r="L2620" s="10">
        <v>1406.703</v>
      </c>
      <c r="M2620" s="10">
        <v>-15.481</v>
      </c>
      <c r="N2620" s="10">
        <v>-15.481</v>
      </c>
      <c r="O2620" s="10">
        <v>-26.439</v>
      </c>
      <c r="P2620" s="10">
        <v>2</v>
      </c>
      <c r="Q2620" s="10">
        <v>2</v>
      </c>
      <c r="R2620" s="10">
        <v>3</v>
      </c>
    </row>
    <row r="2621" spans="1:18" ht="17" customHeight="1" x14ac:dyDescent="0.15">
      <c r="A2621" s="11" t="s">
        <v>14019</v>
      </c>
      <c r="B2621" s="1" t="s">
        <v>14020</v>
      </c>
      <c r="C2621" s="11" t="s">
        <v>14021</v>
      </c>
      <c r="D2621" s="11" t="s">
        <v>14021</v>
      </c>
      <c r="E2621" s="11" t="s">
        <v>14022</v>
      </c>
      <c r="F2621" s="11" t="s">
        <v>13885</v>
      </c>
      <c r="G2621" s="11" t="s">
        <v>13946</v>
      </c>
      <c r="H2621" s="11" t="s">
        <v>13929</v>
      </c>
      <c r="I2621" s="11" t="str">
        <f>HYPERLINK("http://www.moretta.biz/","www.moretta.biz")</f>
        <v>www.moretta.biz</v>
      </c>
      <c r="J2621" s="12">
        <v>1367.798</v>
      </c>
      <c r="K2621" s="12">
        <v>1367.798</v>
      </c>
      <c r="L2621" s="13">
        <v>1406.383</v>
      </c>
      <c r="M2621" s="12">
        <v>47.52</v>
      </c>
      <c r="N2621" s="12">
        <v>47.52</v>
      </c>
      <c r="O2621" s="12">
        <v>-10.835000000000001</v>
      </c>
      <c r="P2621" s="12">
        <v>14</v>
      </c>
      <c r="Q2621" s="12">
        <v>14</v>
      </c>
      <c r="R2621" s="12">
        <v>16</v>
      </c>
    </row>
    <row r="2622" spans="1:18" ht="17" customHeight="1" x14ac:dyDescent="0.15">
      <c r="A2622" s="8" t="s">
        <v>14023</v>
      </c>
      <c r="B2622" s="9" t="s">
        <v>14024</v>
      </c>
      <c r="C2622" s="8" t="s">
        <v>14025</v>
      </c>
      <c r="D2622" s="8" t="s">
        <v>14025</v>
      </c>
      <c r="E2622" s="8" t="s">
        <v>14026</v>
      </c>
      <c r="F2622" s="8" t="s">
        <v>13940</v>
      </c>
      <c r="G2622" s="8" t="s">
        <v>14027</v>
      </c>
      <c r="H2622" s="8" t="s">
        <v>13880</v>
      </c>
      <c r="I2622" s="8" t="str">
        <f>HYPERLINK("http://ilpumasrl.it/","ilpumasrl.it")</f>
        <v>ilpumasrl.it</v>
      </c>
      <c r="J2622" s="10">
        <v>1675.838</v>
      </c>
      <c r="K2622" s="10">
        <v>1675.838</v>
      </c>
      <c r="L2622" s="10">
        <v>1406.057</v>
      </c>
      <c r="M2622" s="10">
        <v>208.26900000000001</v>
      </c>
      <c r="N2622" s="10">
        <v>208.26900000000001</v>
      </c>
      <c r="O2622" s="10">
        <v>102.458</v>
      </c>
      <c r="P2622" s="15" t="s">
        <v>13888</v>
      </c>
      <c r="Q2622" s="15" t="s">
        <v>13888</v>
      </c>
      <c r="R2622" s="10">
        <v>12</v>
      </c>
    </row>
    <row r="2623" spans="1:18" ht="17" customHeight="1" x14ac:dyDescent="0.15">
      <c r="A2623" s="11" t="s">
        <v>14028</v>
      </c>
      <c r="B2623" s="1" t="s">
        <v>14029</v>
      </c>
      <c r="C2623" s="11" t="s">
        <v>14030</v>
      </c>
      <c r="D2623" s="11" t="s">
        <v>14030</v>
      </c>
      <c r="E2623" s="11" t="s">
        <v>14031</v>
      </c>
      <c r="F2623" s="11" t="s">
        <v>13878</v>
      </c>
      <c r="G2623" s="11" t="s">
        <v>13928</v>
      </c>
      <c r="H2623" s="11" t="s">
        <v>13929</v>
      </c>
      <c r="I2623" s="11" t="str">
        <f>HYPERLINK("http://www.bmtex.it/","www.bmtex.it")</f>
        <v>www.bmtex.it</v>
      </c>
      <c r="J2623" s="12">
        <v>1111.127</v>
      </c>
      <c r="K2623" s="12">
        <v>1111.127</v>
      </c>
      <c r="L2623" s="13">
        <v>1406.0509999999999</v>
      </c>
      <c r="M2623" s="12">
        <v>138.761</v>
      </c>
      <c r="N2623" s="12">
        <v>138.761</v>
      </c>
      <c r="O2623" s="12">
        <v>299.435</v>
      </c>
      <c r="P2623" s="12">
        <v>13</v>
      </c>
      <c r="Q2623" s="12">
        <v>13</v>
      </c>
      <c r="R2623" s="12">
        <v>13</v>
      </c>
    </row>
    <row r="2624" spans="1:18" ht="17" customHeight="1" x14ac:dyDescent="0.15">
      <c r="A2624" s="8" t="s">
        <v>14032</v>
      </c>
      <c r="B2624" s="9" t="s">
        <v>14033</v>
      </c>
      <c r="C2624" s="8" t="s">
        <v>14034</v>
      </c>
      <c r="D2624" s="8" t="s">
        <v>14034</v>
      </c>
      <c r="E2624" s="8" t="s">
        <v>14035</v>
      </c>
      <c r="F2624" s="8" t="s">
        <v>13927</v>
      </c>
      <c r="G2624" s="8" t="s">
        <v>13976</v>
      </c>
      <c r="H2624" s="8" t="s">
        <v>13929</v>
      </c>
      <c r="I2624" s="8" t="str">
        <f>HYPERLINK("http://www.mycroclean.com/","www.mycroclean.com")</f>
        <v>www.mycroclean.com</v>
      </c>
      <c r="J2624" s="10">
        <v>1484.1110000000001</v>
      </c>
      <c r="K2624" s="10">
        <v>1484.1110000000001</v>
      </c>
      <c r="L2624" s="10">
        <v>1404.6130000000001</v>
      </c>
      <c r="M2624" s="10">
        <v>8.1950000000000003</v>
      </c>
      <c r="N2624" s="10">
        <v>8.1950000000000003</v>
      </c>
      <c r="O2624" s="10">
        <v>-30.140999999999998</v>
      </c>
      <c r="P2624" s="10">
        <v>12</v>
      </c>
      <c r="Q2624" s="10">
        <v>12</v>
      </c>
      <c r="R2624" s="10">
        <v>12</v>
      </c>
    </row>
    <row r="2625" spans="1:18" ht="17" customHeight="1" x14ac:dyDescent="0.15">
      <c r="A2625" s="11" t="s">
        <v>14036</v>
      </c>
      <c r="B2625" s="1" t="s">
        <v>14037</v>
      </c>
      <c r="C2625" s="11" t="s">
        <v>14038</v>
      </c>
      <c r="D2625" s="11" t="s">
        <v>14038</v>
      </c>
      <c r="E2625" s="11" t="s">
        <v>14039</v>
      </c>
      <c r="F2625" s="11" t="s">
        <v>14040</v>
      </c>
      <c r="G2625" s="11" t="s">
        <v>14041</v>
      </c>
      <c r="H2625" s="11" t="s">
        <v>14042</v>
      </c>
      <c r="I2625" s="11" t="str">
        <f>HYPERLINK("http://www.theicona.it/","www.theicona.it")</f>
        <v>www.theicona.it</v>
      </c>
      <c r="J2625" s="12">
        <v>2184.953</v>
      </c>
      <c r="K2625" s="12">
        <v>2184.953</v>
      </c>
      <c r="L2625" s="13">
        <v>1404.4939999999999</v>
      </c>
      <c r="M2625" s="12">
        <v>29.773</v>
      </c>
      <c r="N2625" s="12">
        <v>29.773</v>
      </c>
      <c r="O2625" s="12">
        <v>23.271999999999998</v>
      </c>
      <c r="P2625" s="12">
        <v>6</v>
      </c>
      <c r="Q2625" s="12">
        <v>6</v>
      </c>
      <c r="R2625" s="12">
        <v>6</v>
      </c>
    </row>
    <row r="2626" spans="1:18" ht="17" customHeight="1" x14ac:dyDescent="0.15">
      <c r="A2626" s="8" t="s">
        <v>14043</v>
      </c>
      <c r="B2626" s="9" t="s">
        <v>14044</v>
      </c>
      <c r="C2626" s="8" t="s">
        <v>14045</v>
      </c>
      <c r="D2626" s="8" t="s">
        <v>14045</v>
      </c>
      <c r="E2626" s="8" t="s">
        <v>14046</v>
      </c>
      <c r="F2626" s="8" t="s">
        <v>14047</v>
      </c>
      <c r="G2626" s="8" t="s">
        <v>14048</v>
      </c>
      <c r="H2626" s="8" t="s">
        <v>14049</v>
      </c>
      <c r="I2626" s="8" t="str">
        <f>HYPERLINK("http://www.ebfashion.eu/","http://www.ebfashion.eu")</f>
        <v>http://www.ebfashion.eu</v>
      </c>
      <c r="J2626" s="10">
        <v>1281.758</v>
      </c>
      <c r="K2626" s="10">
        <v>1281.758</v>
      </c>
      <c r="L2626" s="10">
        <v>1402.5260000000001</v>
      </c>
      <c r="M2626" s="10">
        <v>-28.181999999999999</v>
      </c>
      <c r="N2626" s="10">
        <v>-28.181999999999999</v>
      </c>
      <c r="O2626" s="10">
        <v>-98.853999999999999</v>
      </c>
      <c r="P2626" s="10">
        <v>8</v>
      </c>
      <c r="Q2626" s="10">
        <v>8</v>
      </c>
      <c r="R2626" s="10">
        <v>9</v>
      </c>
    </row>
    <row r="2627" spans="1:18" ht="17" customHeight="1" x14ac:dyDescent="0.15">
      <c r="A2627" s="11" t="s">
        <v>14050</v>
      </c>
      <c r="B2627" s="1" t="s">
        <v>14051</v>
      </c>
      <c r="C2627" s="11" t="s">
        <v>14052</v>
      </c>
      <c r="D2627" s="11" t="s">
        <v>14052</v>
      </c>
      <c r="E2627" s="11" t="s">
        <v>14053</v>
      </c>
      <c r="F2627" s="11" t="s">
        <v>14054</v>
      </c>
      <c r="G2627" s="11" t="s">
        <v>14055</v>
      </c>
      <c r="H2627" s="11" t="s">
        <v>14049</v>
      </c>
      <c r="I2627" s="11" t="str">
        <f>HYPERLINK("http://www.massrl.info/","www.massrl.info")</f>
        <v>www.massrl.info</v>
      </c>
      <c r="J2627" s="12">
        <v>1166.96</v>
      </c>
      <c r="K2627" s="12">
        <v>1166.96</v>
      </c>
      <c r="L2627" s="13">
        <v>1402.2239999999999</v>
      </c>
      <c r="M2627" s="12">
        <v>66.878</v>
      </c>
      <c r="N2627" s="12">
        <v>66.878</v>
      </c>
      <c r="O2627" s="12">
        <v>37.923000000000002</v>
      </c>
      <c r="P2627" s="12">
        <v>4</v>
      </c>
      <c r="Q2627" s="12">
        <v>4</v>
      </c>
      <c r="R2627" s="12">
        <v>4</v>
      </c>
    </row>
    <row r="2628" spans="1:18" ht="17" customHeight="1" x14ac:dyDescent="0.15">
      <c r="A2628" s="8" t="s">
        <v>14056</v>
      </c>
      <c r="B2628" s="9" t="s">
        <v>14057</v>
      </c>
      <c r="C2628" s="8" t="s">
        <v>14058</v>
      </c>
      <c r="D2628" s="8" t="s">
        <v>14058</v>
      </c>
      <c r="E2628" s="8" t="s">
        <v>14059</v>
      </c>
      <c r="F2628" s="8" t="s">
        <v>14060</v>
      </c>
      <c r="G2628" s="8" t="s">
        <v>14061</v>
      </c>
      <c r="H2628" s="8" t="s">
        <v>14062</v>
      </c>
      <c r="I2628" s="8" t="str">
        <f>HYPERLINK("http://b2b.umbertovallati.it/","b2b.umbertovallati.it")</f>
        <v>b2b.umbertovallati.it</v>
      </c>
      <c r="J2628" s="10">
        <v>1832.192</v>
      </c>
      <c r="K2628" s="10">
        <v>1832.192</v>
      </c>
      <c r="L2628" s="10">
        <v>1401.9480000000001</v>
      </c>
      <c r="M2628" s="10">
        <v>32.567999999999998</v>
      </c>
      <c r="N2628" s="10">
        <v>32.567999999999998</v>
      </c>
      <c r="O2628" s="10">
        <v>45.365000000000002</v>
      </c>
      <c r="P2628" s="15" t="s">
        <v>14063</v>
      </c>
      <c r="Q2628" s="15" t="s">
        <v>14063</v>
      </c>
      <c r="R2628" s="10">
        <v>12</v>
      </c>
    </row>
    <row r="2629" spans="1:18" ht="17" customHeight="1" x14ac:dyDescent="0.15">
      <c r="A2629" s="11" t="s">
        <v>14064</v>
      </c>
      <c r="B2629" s="1" t="s">
        <v>14065</v>
      </c>
      <c r="C2629" s="11" t="s">
        <v>14066</v>
      </c>
      <c r="D2629" s="11" t="s">
        <v>14066</v>
      </c>
      <c r="E2629" s="11" t="s">
        <v>14067</v>
      </c>
      <c r="F2629" s="11" t="s">
        <v>14068</v>
      </c>
      <c r="G2629" s="11" t="s">
        <v>14041</v>
      </c>
      <c r="H2629" s="11" t="s">
        <v>14042</v>
      </c>
      <c r="I2629" s="11" t="str">
        <f>HYPERLINK("http://www.silveredegroup.com/","www.silveredegroup.com")</f>
        <v>www.silveredegroup.com</v>
      </c>
      <c r="J2629" s="12">
        <v>1477.683</v>
      </c>
      <c r="K2629" s="12">
        <v>1477.683</v>
      </c>
      <c r="L2629" s="13">
        <v>1401.028</v>
      </c>
      <c r="M2629" s="12">
        <v>2.2759999999999998</v>
      </c>
      <c r="N2629" s="12">
        <v>2.2759999999999998</v>
      </c>
      <c r="O2629" s="12">
        <v>-186.50399999999999</v>
      </c>
      <c r="P2629" s="12">
        <v>25</v>
      </c>
      <c r="Q2629" s="12">
        <v>25</v>
      </c>
      <c r="R2629" s="12">
        <v>23</v>
      </c>
    </row>
    <row r="2630" spans="1:18" ht="29.5" customHeight="1" x14ac:dyDescent="0.15">
      <c r="A2630" s="8" t="s">
        <v>14069</v>
      </c>
      <c r="B2630" s="9" t="s">
        <v>14070</v>
      </c>
      <c r="C2630" s="8" t="s">
        <v>14071</v>
      </c>
      <c r="D2630" s="8" t="s">
        <v>14071</v>
      </c>
      <c r="E2630" s="8" t="s">
        <v>14072</v>
      </c>
      <c r="F2630" s="8" t="s">
        <v>14040</v>
      </c>
      <c r="G2630" s="8" t="s">
        <v>14073</v>
      </c>
      <c r="H2630" s="8" t="s">
        <v>14074</v>
      </c>
      <c r="I2630" s="8" t="str">
        <f>HYPERLINK("http://www.grazianosalvatelli.it/","www.grazianosalvatelli.it")</f>
        <v>www.grazianosalvatelli.it</v>
      </c>
      <c r="J2630" s="10">
        <v>2153.4090000000001</v>
      </c>
      <c r="K2630" s="10">
        <v>2153.4090000000001</v>
      </c>
      <c r="L2630" s="10">
        <v>1399.1189999999999</v>
      </c>
      <c r="M2630" s="10">
        <v>125.446</v>
      </c>
      <c r="N2630" s="10">
        <v>125.446</v>
      </c>
      <c r="O2630" s="10">
        <v>27.036000000000001</v>
      </c>
      <c r="P2630" s="10">
        <v>12</v>
      </c>
      <c r="Q2630" s="10">
        <v>12</v>
      </c>
      <c r="R2630" s="10">
        <v>13</v>
      </c>
    </row>
    <row r="2631" spans="1:18" ht="17" customHeight="1" x14ac:dyDescent="0.15">
      <c r="A2631" s="11" t="s">
        <v>14075</v>
      </c>
      <c r="B2631" s="1" t="s">
        <v>14076</v>
      </c>
      <c r="C2631" s="11" t="s">
        <v>14077</v>
      </c>
      <c r="D2631" s="11" t="s">
        <v>14077</v>
      </c>
      <c r="E2631" s="11" t="s">
        <v>14078</v>
      </c>
      <c r="F2631" s="11" t="s">
        <v>14054</v>
      </c>
      <c r="G2631" s="11" t="s">
        <v>14041</v>
      </c>
      <c r="H2631" s="11" t="s">
        <v>14042</v>
      </c>
      <c r="I2631" s="11" t="str">
        <f>HYPERLINK("http://www.cslgroup.it/","www.cslgroup.it")</f>
        <v>www.cslgroup.it</v>
      </c>
      <c r="J2631" s="12">
        <v>1526.298</v>
      </c>
      <c r="K2631" s="12">
        <v>1526.298</v>
      </c>
      <c r="L2631" s="13">
        <v>1398.4</v>
      </c>
      <c r="M2631" s="12">
        <v>82.960999999999999</v>
      </c>
      <c r="N2631" s="12">
        <v>82.960999999999999</v>
      </c>
      <c r="O2631" s="12">
        <v>87.091999999999999</v>
      </c>
      <c r="P2631" s="12">
        <v>6</v>
      </c>
      <c r="Q2631" s="12">
        <v>6</v>
      </c>
      <c r="R2631" s="12">
        <v>4</v>
      </c>
    </row>
    <row r="2632" spans="1:18" ht="29.5" customHeight="1" x14ac:dyDescent="0.15">
      <c r="A2632" s="8" t="s">
        <v>14079</v>
      </c>
      <c r="B2632" s="9" t="s">
        <v>14080</v>
      </c>
      <c r="C2632" s="8" t="s">
        <v>14081</v>
      </c>
      <c r="D2632" s="8" t="s">
        <v>14081</v>
      </c>
      <c r="E2632" s="8" t="s">
        <v>14082</v>
      </c>
      <c r="F2632" s="8" t="s">
        <v>14040</v>
      </c>
      <c r="G2632" s="8" t="s">
        <v>14083</v>
      </c>
      <c r="H2632" s="8" t="s">
        <v>14084</v>
      </c>
      <c r="I2632" s="8" t="str">
        <f>HYPERLINK("http://landing.elvaqueroretailers.com/","landing.elvaqueroretailers.com")</f>
        <v>landing.elvaqueroretailers.com</v>
      </c>
      <c r="J2632" s="10">
        <v>1399.6020000000001</v>
      </c>
      <c r="K2632" s="10">
        <v>1399.6020000000001</v>
      </c>
      <c r="L2632" s="10">
        <v>1397.778</v>
      </c>
      <c r="M2632" s="10">
        <v>3.5249999999999999</v>
      </c>
      <c r="N2632" s="10">
        <v>3.5249999999999999</v>
      </c>
      <c r="O2632" s="10">
        <v>28.059000000000001</v>
      </c>
      <c r="P2632" s="10">
        <v>4</v>
      </c>
      <c r="Q2632" s="10">
        <v>4</v>
      </c>
      <c r="R2632" s="10">
        <v>6</v>
      </c>
    </row>
    <row r="2633" spans="1:18" ht="17" customHeight="1" x14ac:dyDescent="0.15">
      <c r="A2633" s="11" t="s">
        <v>14085</v>
      </c>
      <c r="B2633" s="1" t="s">
        <v>14086</v>
      </c>
      <c r="C2633" s="11" t="s">
        <v>14087</v>
      </c>
      <c r="D2633" s="11" t="s">
        <v>14087</v>
      </c>
      <c r="E2633" s="11" t="s">
        <v>14088</v>
      </c>
      <c r="F2633" s="11" t="s">
        <v>14054</v>
      </c>
      <c r="G2633" s="11" t="s">
        <v>14061</v>
      </c>
      <c r="H2633" s="11" t="s">
        <v>14062</v>
      </c>
      <c r="I2633" s="11" t="str">
        <f>HYPERLINK("http://fabbrica247.it/","fabbrica247.it")</f>
        <v>fabbrica247.it</v>
      </c>
      <c r="J2633" s="12">
        <v>1411.376</v>
      </c>
      <c r="K2633" s="12">
        <v>1411.376</v>
      </c>
      <c r="L2633" s="13">
        <v>1397.4480000000001</v>
      </c>
      <c r="M2633" s="12">
        <v>16.553999999999998</v>
      </c>
      <c r="N2633" s="12">
        <v>16.553999999999998</v>
      </c>
      <c r="O2633" s="12">
        <v>-137.733</v>
      </c>
      <c r="P2633" s="12">
        <v>6</v>
      </c>
      <c r="Q2633" s="12">
        <v>6</v>
      </c>
      <c r="R2633" s="12">
        <v>5</v>
      </c>
    </row>
    <row r="2634" spans="1:18" ht="17" customHeight="1" x14ac:dyDescent="0.15">
      <c r="A2634" s="8" t="s">
        <v>14089</v>
      </c>
      <c r="B2634" s="9" t="s">
        <v>14090</v>
      </c>
      <c r="C2634" s="8" t="s">
        <v>14091</v>
      </c>
      <c r="D2634" s="8" t="s">
        <v>14091</v>
      </c>
      <c r="E2634" s="8" t="s">
        <v>14092</v>
      </c>
      <c r="F2634" s="8" t="s">
        <v>14093</v>
      </c>
      <c r="G2634" s="8" t="s">
        <v>14094</v>
      </c>
      <c r="H2634" s="8" t="s">
        <v>14049</v>
      </c>
      <c r="I2634" s="8" t="str">
        <f>HYPERLINK("http://www.alby.it/","http://www.alby.it")</f>
        <v>http://www.alby.it</v>
      </c>
      <c r="J2634" s="10">
        <v>1491.788</v>
      </c>
      <c r="K2634" s="10">
        <v>1491.788</v>
      </c>
      <c r="L2634" s="10">
        <v>1396.6179999999999</v>
      </c>
      <c r="M2634" s="10">
        <v>9.1639999999999997</v>
      </c>
      <c r="N2634" s="10">
        <v>9.1639999999999997</v>
      </c>
      <c r="O2634" s="10">
        <v>8.0939999999999994</v>
      </c>
      <c r="P2634" s="10">
        <v>7</v>
      </c>
      <c r="Q2634" s="10">
        <v>7</v>
      </c>
      <c r="R2634" s="10">
        <v>8</v>
      </c>
    </row>
    <row r="2635" spans="1:18" ht="17" customHeight="1" x14ac:dyDescent="0.15">
      <c r="A2635" s="11" t="s">
        <v>14095</v>
      </c>
      <c r="B2635" s="1" t="s">
        <v>14096</v>
      </c>
      <c r="C2635" s="11" t="s">
        <v>14097</v>
      </c>
      <c r="D2635" s="11" t="s">
        <v>14097</v>
      </c>
      <c r="E2635" s="11" t="s">
        <v>14098</v>
      </c>
      <c r="F2635" s="11" t="s">
        <v>14054</v>
      </c>
      <c r="G2635" s="11" t="s">
        <v>14099</v>
      </c>
      <c r="H2635" s="11" t="s">
        <v>14100</v>
      </c>
      <c r="I2635" s="11" t="str">
        <f>HYPERLINK("http://www.bufishop.it/","www.bufishop.it")</f>
        <v>www.bufishop.it</v>
      </c>
      <c r="J2635" s="12">
        <v>1115.1859999999999</v>
      </c>
      <c r="K2635" s="12">
        <v>1115.1859999999999</v>
      </c>
      <c r="L2635" s="13">
        <v>1396.3969999999999</v>
      </c>
      <c r="M2635" s="12">
        <v>-96.707999999999998</v>
      </c>
      <c r="N2635" s="12">
        <v>-96.707999999999998</v>
      </c>
      <c r="O2635" s="12">
        <v>-276.08600000000001</v>
      </c>
      <c r="P2635" s="12">
        <v>8</v>
      </c>
      <c r="Q2635" s="12">
        <v>8</v>
      </c>
      <c r="R2635" s="12">
        <v>15</v>
      </c>
    </row>
    <row r="2636" spans="1:18" ht="17" customHeight="1" x14ac:dyDescent="0.15">
      <c r="A2636" s="8" t="s">
        <v>14101</v>
      </c>
      <c r="B2636" s="9" t="s">
        <v>14102</v>
      </c>
      <c r="C2636" s="8" t="s">
        <v>14103</v>
      </c>
      <c r="D2636" s="8" t="s">
        <v>14103</v>
      </c>
      <c r="E2636" s="8" t="s">
        <v>14104</v>
      </c>
      <c r="F2636" s="8" t="s">
        <v>14054</v>
      </c>
      <c r="G2636" s="8" t="s">
        <v>14105</v>
      </c>
      <c r="H2636" s="8" t="s">
        <v>14106</v>
      </c>
      <c r="I2636" s="8" t="str">
        <f>HYPERLINK("http://boschinonicouture.it/","boschinonicouture.it")</f>
        <v>boschinonicouture.it</v>
      </c>
      <c r="J2636" s="10">
        <v>2346.6390000000001</v>
      </c>
      <c r="K2636" s="10">
        <v>2346.6390000000001</v>
      </c>
      <c r="L2636" s="10">
        <v>1395.1579999999999</v>
      </c>
      <c r="M2636" s="10">
        <v>200.99799999999999</v>
      </c>
      <c r="N2636" s="10">
        <v>200.99799999999999</v>
      </c>
      <c r="O2636" s="10">
        <v>24.907</v>
      </c>
      <c r="P2636" s="10">
        <v>17</v>
      </c>
      <c r="Q2636" s="10">
        <v>17</v>
      </c>
      <c r="R2636" s="10">
        <v>5</v>
      </c>
    </row>
    <row r="2637" spans="1:18" ht="17" customHeight="1" x14ac:dyDescent="0.15">
      <c r="A2637" s="11" t="s">
        <v>14107</v>
      </c>
      <c r="B2637" s="1" t="s">
        <v>14108</v>
      </c>
      <c r="C2637" s="11" t="s">
        <v>14109</v>
      </c>
      <c r="D2637" s="11" t="s">
        <v>14110</v>
      </c>
      <c r="E2637" s="11" t="s">
        <v>14111</v>
      </c>
      <c r="F2637" s="11" t="s">
        <v>14093</v>
      </c>
      <c r="G2637" s="11" t="s">
        <v>14041</v>
      </c>
      <c r="H2637" s="11" t="s">
        <v>14042</v>
      </c>
      <c r="I2637" s="11" t="str">
        <f>HYPERLINK("http://www.laboniagloves.com/","www.laboniagloves.com")</f>
        <v>www.laboniagloves.com</v>
      </c>
      <c r="J2637" s="12">
        <v>1484.5450000000001</v>
      </c>
      <c r="K2637" s="12">
        <v>1484.5450000000001</v>
      </c>
      <c r="L2637" s="13">
        <v>1395.1969999999999</v>
      </c>
      <c r="M2637" s="12">
        <v>24.538</v>
      </c>
      <c r="N2637" s="12">
        <v>24.538</v>
      </c>
      <c r="O2637" s="12">
        <v>45.808</v>
      </c>
      <c r="P2637" s="14" t="s">
        <v>14063</v>
      </c>
      <c r="Q2637" s="14" t="s">
        <v>14063</v>
      </c>
      <c r="R2637" s="12">
        <v>6</v>
      </c>
    </row>
    <row r="2638" spans="1:18" ht="17" customHeight="1" x14ac:dyDescent="0.15">
      <c r="A2638" s="8" t="s">
        <v>14112</v>
      </c>
      <c r="B2638" s="9" t="s">
        <v>14113</v>
      </c>
      <c r="C2638" s="8" t="s">
        <v>14114</v>
      </c>
      <c r="D2638" s="8" t="s">
        <v>14114</v>
      </c>
      <c r="E2638" s="8" t="s">
        <v>14115</v>
      </c>
      <c r="F2638" s="8" t="s">
        <v>14093</v>
      </c>
      <c r="G2638" s="8" t="s">
        <v>14055</v>
      </c>
      <c r="H2638" s="8" t="s">
        <v>14049</v>
      </c>
      <c r="I2638" s="8" t="str">
        <f>HYPERLINK("http://seddys.com/","seddys.com")</f>
        <v>seddys.com</v>
      </c>
      <c r="J2638" s="10">
        <v>1452.837</v>
      </c>
      <c r="K2638" s="10">
        <v>1452.837</v>
      </c>
      <c r="L2638" s="10">
        <v>1392.806</v>
      </c>
      <c r="M2638" s="10">
        <v>6.2430000000000003</v>
      </c>
      <c r="N2638" s="10">
        <v>6.2430000000000003</v>
      </c>
      <c r="O2638" s="10">
        <v>2.6549999999999998</v>
      </c>
      <c r="P2638" s="10">
        <v>6</v>
      </c>
      <c r="Q2638" s="10">
        <v>6</v>
      </c>
      <c r="R2638" s="10">
        <v>8</v>
      </c>
    </row>
    <row r="2639" spans="1:18" ht="17" customHeight="1" x14ac:dyDescent="0.15">
      <c r="A2639" s="11" t="s">
        <v>14116</v>
      </c>
      <c r="B2639" s="1" t="s">
        <v>14117</v>
      </c>
      <c r="C2639" s="11" t="s">
        <v>14118</v>
      </c>
      <c r="D2639" s="11" t="s">
        <v>14118</v>
      </c>
      <c r="E2639" s="11" t="s">
        <v>14119</v>
      </c>
      <c r="F2639" s="11" t="s">
        <v>14054</v>
      </c>
      <c r="G2639" s="11" t="s">
        <v>14120</v>
      </c>
      <c r="H2639" s="11" t="s">
        <v>14084</v>
      </c>
      <c r="I2639" s="11" t="str">
        <f>HYPERLINK("http://www.solomodasrl.com/","www.solomodasrl.com")</f>
        <v>www.solomodasrl.com</v>
      </c>
      <c r="J2639" s="12">
        <v>2836.6770000000001</v>
      </c>
      <c r="K2639" s="12">
        <v>2836.6770000000001</v>
      </c>
      <c r="L2639" s="13">
        <v>1391.6289999999999</v>
      </c>
      <c r="M2639" s="12">
        <v>21.911000000000001</v>
      </c>
      <c r="N2639" s="12">
        <v>21.911000000000001</v>
      </c>
      <c r="O2639" s="12">
        <v>25.620999999999999</v>
      </c>
      <c r="P2639" s="12">
        <v>5</v>
      </c>
      <c r="Q2639" s="12">
        <v>5</v>
      </c>
      <c r="R2639" s="12">
        <v>5</v>
      </c>
    </row>
    <row r="2640" spans="1:18" ht="29.5" customHeight="1" x14ac:dyDescent="0.15">
      <c r="A2640" s="8" t="s">
        <v>14121</v>
      </c>
      <c r="B2640" s="9" t="s">
        <v>14122</v>
      </c>
      <c r="C2640" s="8" t="s">
        <v>14123</v>
      </c>
      <c r="D2640" s="8" t="s">
        <v>14123</v>
      </c>
      <c r="E2640" s="8" t="s">
        <v>14124</v>
      </c>
      <c r="F2640" s="8" t="s">
        <v>14125</v>
      </c>
      <c r="G2640" s="8" t="s">
        <v>14126</v>
      </c>
      <c r="H2640" s="8" t="s">
        <v>14127</v>
      </c>
      <c r="I2640" s="8" t="str">
        <f>HYPERLINK("http://contessa-elda-srl-01293450555.quantofattura.com/","contessa-elda-srl-01293450555.quantofattura.com")</f>
        <v>contessa-elda-srl-01293450555.quantofattura.com</v>
      </c>
      <c r="J2640" s="10">
        <v>1570.5519999999999</v>
      </c>
      <c r="K2640" s="10">
        <v>1570.5519999999999</v>
      </c>
      <c r="L2640" s="10">
        <v>1391.577</v>
      </c>
      <c r="M2640" s="10">
        <v>61.363999999999997</v>
      </c>
      <c r="N2640" s="10">
        <v>61.363999999999997</v>
      </c>
      <c r="O2640" s="10">
        <v>56.401000000000003</v>
      </c>
      <c r="P2640" s="10">
        <v>15</v>
      </c>
      <c r="Q2640" s="10">
        <v>15</v>
      </c>
      <c r="R2640" s="10">
        <v>14</v>
      </c>
    </row>
    <row r="2641" spans="1:18" ht="17" customHeight="1" x14ac:dyDescent="0.15">
      <c r="A2641" s="11" t="s">
        <v>14128</v>
      </c>
      <c r="B2641" s="1" t="s">
        <v>14129</v>
      </c>
      <c r="C2641" s="11" t="s">
        <v>14130</v>
      </c>
      <c r="D2641" s="11" t="s">
        <v>14130</v>
      </c>
      <c r="E2641" s="11" t="s">
        <v>14131</v>
      </c>
      <c r="F2641" s="11" t="s">
        <v>14054</v>
      </c>
      <c r="G2641" s="11" t="s">
        <v>14041</v>
      </c>
      <c r="H2641" s="11" t="s">
        <v>14042</v>
      </c>
      <c r="I2641" s="11" t="str">
        <f>HYPERLINK("http://www.buyitalianstyle.com/","www.buyitalianstyle.com")</f>
        <v>www.buyitalianstyle.com</v>
      </c>
      <c r="J2641" s="12">
        <v>1299.3920000000001</v>
      </c>
      <c r="K2641" s="12">
        <v>1299.3920000000001</v>
      </c>
      <c r="L2641" s="13">
        <v>1391.316</v>
      </c>
      <c r="M2641" s="12">
        <v>-74.59</v>
      </c>
      <c r="N2641" s="12">
        <v>-74.59</v>
      </c>
      <c r="O2641" s="12">
        <v>9.7390000000000008</v>
      </c>
      <c r="P2641" s="14" t="s">
        <v>14063</v>
      </c>
      <c r="Q2641" s="14" t="s">
        <v>14063</v>
      </c>
      <c r="R2641" s="12">
        <v>26</v>
      </c>
    </row>
    <row r="2642" spans="1:18" ht="17" customHeight="1" x14ac:dyDescent="0.15">
      <c r="A2642" s="8" t="s">
        <v>14132</v>
      </c>
      <c r="B2642" s="9" t="s">
        <v>14133</v>
      </c>
      <c r="C2642" s="8" t="s">
        <v>14134</v>
      </c>
      <c r="D2642" s="8" t="s">
        <v>14134</v>
      </c>
      <c r="E2642" s="8" t="s">
        <v>14135</v>
      </c>
      <c r="F2642" s="8" t="s">
        <v>14136</v>
      </c>
      <c r="G2642" s="8" t="s">
        <v>14137</v>
      </c>
      <c r="H2642" s="8" t="s">
        <v>14138</v>
      </c>
      <c r="I2642" s="8" t="str">
        <f>HYPERLINK("http://www.albertodiparma.com/","www.albertodiparma.com")</f>
        <v>www.albertodiparma.com</v>
      </c>
      <c r="J2642" s="10">
        <v>1002.404</v>
      </c>
      <c r="K2642" s="10">
        <v>1002.404</v>
      </c>
      <c r="L2642" s="10">
        <v>1390.239</v>
      </c>
      <c r="M2642" s="10">
        <v>2.5449999999999999</v>
      </c>
      <c r="N2642" s="10">
        <v>2.5449999999999999</v>
      </c>
      <c r="O2642" s="10">
        <v>149.84800000000001</v>
      </c>
      <c r="P2642" s="10">
        <v>7</v>
      </c>
      <c r="Q2642" s="10">
        <v>7</v>
      </c>
      <c r="R2642" s="10">
        <v>7</v>
      </c>
    </row>
    <row r="2643" spans="1:18" ht="17" customHeight="1" x14ac:dyDescent="0.15">
      <c r="A2643" s="11" t="s">
        <v>14139</v>
      </c>
      <c r="B2643" s="1" t="s">
        <v>14140</v>
      </c>
      <c r="C2643" s="11" t="s">
        <v>14141</v>
      </c>
      <c r="D2643" s="11" t="s">
        <v>14141</v>
      </c>
      <c r="E2643" s="11" t="s">
        <v>14142</v>
      </c>
      <c r="F2643" s="11" t="s">
        <v>14093</v>
      </c>
      <c r="G2643" s="11" t="s">
        <v>14143</v>
      </c>
      <c r="H2643" s="11" t="s">
        <v>14138</v>
      </c>
      <c r="I2643" s="11" t="str">
        <f>HYPERLINK("http://www.virginiabizzi.com/","www.virginiabizzi.com")</f>
        <v>www.virginiabizzi.com</v>
      </c>
      <c r="J2643" s="12">
        <v>1991.566</v>
      </c>
      <c r="K2643" s="12">
        <v>1696.6849999999999</v>
      </c>
      <c r="L2643" s="13">
        <v>1389.1790000000001</v>
      </c>
      <c r="M2643" s="12">
        <v>22.277999999999999</v>
      </c>
      <c r="N2643" s="12">
        <v>21.547999999999998</v>
      </c>
      <c r="O2643" s="12">
        <v>20.582000000000001</v>
      </c>
      <c r="P2643" s="12">
        <v>5</v>
      </c>
      <c r="Q2643" s="12">
        <v>5</v>
      </c>
      <c r="R2643" s="12">
        <v>5</v>
      </c>
    </row>
    <row r="2644" spans="1:18" ht="17" customHeight="1" x14ac:dyDescent="0.15">
      <c r="A2644" s="8" t="s">
        <v>14144</v>
      </c>
      <c r="B2644" s="9" t="s">
        <v>14145</v>
      </c>
      <c r="C2644" s="8" t="s">
        <v>14146</v>
      </c>
      <c r="D2644" s="8" t="s">
        <v>14146</v>
      </c>
      <c r="E2644" s="8" t="s">
        <v>14147</v>
      </c>
      <c r="F2644" s="8" t="s">
        <v>14054</v>
      </c>
      <c r="G2644" s="8" t="s">
        <v>14148</v>
      </c>
      <c r="H2644" s="8" t="s">
        <v>14100</v>
      </c>
      <c r="I2644" s="8" t="str">
        <f>HYPERLINK("http://www.antoniasrl.it/","www.antoniasrl.it")</f>
        <v>www.antoniasrl.it</v>
      </c>
      <c r="J2644" s="10">
        <v>1190.4359999999999</v>
      </c>
      <c r="K2644" s="10">
        <v>1623.7249999999999</v>
      </c>
      <c r="L2644" s="10">
        <v>1384.5139999999999</v>
      </c>
      <c r="M2644" s="10">
        <v>-344.09199999999998</v>
      </c>
      <c r="N2644" s="10">
        <v>-829.66800000000001</v>
      </c>
      <c r="O2644" s="10">
        <v>-453.70299999999997</v>
      </c>
      <c r="P2644" s="15" t="s">
        <v>14063</v>
      </c>
      <c r="Q2644" s="15" t="s">
        <v>14063</v>
      </c>
      <c r="R2644" s="10">
        <v>45</v>
      </c>
    </row>
    <row r="2645" spans="1:18" ht="17" customHeight="1" x14ac:dyDescent="0.15">
      <c r="A2645" s="11" t="s">
        <v>14149</v>
      </c>
      <c r="B2645" s="1" t="s">
        <v>14150</v>
      </c>
      <c r="C2645" s="11" t="s">
        <v>14151</v>
      </c>
      <c r="D2645" s="11" t="s">
        <v>14151</v>
      </c>
      <c r="E2645" s="11" t="s">
        <v>14152</v>
      </c>
      <c r="F2645" s="11" t="s">
        <v>14040</v>
      </c>
      <c r="G2645" s="11" t="s">
        <v>14153</v>
      </c>
      <c r="H2645" s="11" t="s">
        <v>14049</v>
      </c>
      <c r="I2645" s="11" t="str">
        <f>HYPERLINK("http://www.maurishoes.com/","www.maurishoes.com")</f>
        <v>www.maurishoes.com</v>
      </c>
      <c r="J2645" s="12">
        <v>1235.204</v>
      </c>
      <c r="K2645" s="12">
        <v>1235.204</v>
      </c>
      <c r="L2645" s="13">
        <v>1383.1120000000001</v>
      </c>
      <c r="M2645" s="12">
        <v>11.279</v>
      </c>
      <c r="N2645" s="12">
        <v>11.279</v>
      </c>
      <c r="O2645" s="12">
        <v>12.824</v>
      </c>
      <c r="P2645" s="12">
        <v>11</v>
      </c>
      <c r="Q2645" s="12">
        <v>11</v>
      </c>
      <c r="R2645" s="12">
        <v>11</v>
      </c>
    </row>
    <row r="2646" spans="1:18" ht="17" customHeight="1" x14ac:dyDescent="0.15">
      <c r="A2646" s="8" t="s">
        <v>14154</v>
      </c>
      <c r="B2646" s="9" t="s">
        <v>14155</v>
      </c>
      <c r="C2646" s="8" t="s">
        <v>14156</v>
      </c>
      <c r="D2646" s="8" t="s">
        <v>14156</v>
      </c>
      <c r="E2646" s="8" t="s">
        <v>14157</v>
      </c>
      <c r="F2646" s="8" t="s">
        <v>14068</v>
      </c>
      <c r="G2646" s="8" t="s">
        <v>14073</v>
      </c>
      <c r="H2646" s="8" t="s">
        <v>14074</v>
      </c>
      <c r="I2646" s="8" t="str">
        <f>HYPERLINK("http://www.starplastsnc.it/","www.starplastsnc.it")</f>
        <v>www.starplastsnc.it</v>
      </c>
      <c r="J2646" s="10">
        <v>1381.586</v>
      </c>
      <c r="K2646" s="15" t="s">
        <v>14063</v>
      </c>
      <c r="L2646" s="10">
        <v>1381.586</v>
      </c>
      <c r="M2646" s="10">
        <v>29.462</v>
      </c>
      <c r="N2646" s="15" t="s">
        <v>14063</v>
      </c>
      <c r="O2646" s="10">
        <v>29.462</v>
      </c>
      <c r="P2646" s="10">
        <v>9</v>
      </c>
      <c r="Q2646" s="15" t="s">
        <v>14063</v>
      </c>
      <c r="R2646" s="10">
        <v>9</v>
      </c>
    </row>
    <row r="2647" spans="1:18" ht="17" customHeight="1" x14ac:dyDescent="0.15">
      <c r="A2647" s="11" t="s">
        <v>14158</v>
      </c>
      <c r="B2647" s="1" t="s">
        <v>14159</v>
      </c>
      <c r="C2647" s="11" t="s">
        <v>14160</v>
      </c>
      <c r="D2647" s="11" t="s">
        <v>14160</v>
      </c>
      <c r="E2647" s="11" t="s">
        <v>14161</v>
      </c>
      <c r="F2647" s="11" t="s">
        <v>14136</v>
      </c>
      <c r="G2647" s="11" t="s">
        <v>14162</v>
      </c>
      <c r="H2647" s="11" t="s">
        <v>14084</v>
      </c>
      <c r="I2647" s="11" t="str">
        <f>HYPERLINK("http://www.kontessaccessori.it/","www.kontessaccessori.it")</f>
        <v>www.kontessaccessori.it</v>
      </c>
      <c r="J2647" s="12">
        <v>1341.09</v>
      </c>
      <c r="K2647" s="12">
        <v>1341.09</v>
      </c>
      <c r="L2647" s="13">
        <v>1381.5450000000001</v>
      </c>
      <c r="M2647" s="12">
        <v>10.371</v>
      </c>
      <c r="N2647" s="12">
        <v>10.371</v>
      </c>
      <c r="O2647" s="12">
        <v>15.566000000000001</v>
      </c>
      <c r="P2647" s="12">
        <v>4</v>
      </c>
      <c r="Q2647" s="12">
        <v>4</v>
      </c>
      <c r="R2647" s="12">
        <v>10</v>
      </c>
    </row>
    <row r="2648" spans="1:18" ht="17" customHeight="1" x14ac:dyDescent="0.15">
      <c r="A2648" s="8" t="s">
        <v>14163</v>
      </c>
      <c r="B2648" s="9" t="s">
        <v>14164</v>
      </c>
      <c r="C2648" s="8" t="s">
        <v>14165</v>
      </c>
      <c r="D2648" s="8" t="s">
        <v>14165</v>
      </c>
      <c r="E2648" s="8" t="s">
        <v>14166</v>
      </c>
      <c r="F2648" s="8" t="s">
        <v>14060</v>
      </c>
      <c r="G2648" s="8" t="s">
        <v>14167</v>
      </c>
      <c r="H2648" s="8" t="s">
        <v>14138</v>
      </c>
      <c r="I2648" s="8" t="str">
        <f>HYPERLINK("http://www.ceciliabenetti.com/","www.ceciliabenetti.com")</f>
        <v>www.ceciliabenetti.com</v>
      </c>
      <c r="J2648" s="10">
        <v>525.62</v>
      </c>
      <c r="K2648" s="10">
        <v>525.62</v>
      </c>
      <c r="L2648" s="10">
        <v>1379.7750000000001</v>
      </c>
      <c r="M2648" s="10">
        <v>-216.76499999999999</v>
      </c>
      <c r="N2648" s="10">
        <v>-216.76499999999999</v>
      </c>
      <c r="O2648" s="10">
        <v>28.209</v>
      </c>
      <c r="P2648" s="10">
        <v>4</v>
      </c>
      <c r="Q2648" s="10">
        <v>4</v>
      </c>
      <c r="R2648" s="10">
        <v>5</v>
      </c>
    </row>
    <row r="2649" spans="1:18" ht="17" customHeight="1" x14ac:dyDescent="0.15">
      <c r="A2649" s="11" t="s">
        <v>14168</v>
      </c>
      <c r="B2649" s="1" t="s">
        <v>14169</v>
      </c>
      <c r="C2649" s="11" t="s">
        <v>14170</v>
      </c>
      <c r="D2649" s="11" t="s">
        <v>14170</v>
      </c>
      <c r="E2649" s="11" t="s">
        <v>14171</v>
      </c>
      <c r="F2649" s="11" t="s">
        <v>14054</v>
      </c>
      <c r="G2649" s="11" t="s">
        <v>14137</v>
      </c>
      <c r="H2649" s="11" t="s">
        <v>14138</v>
      </c>
      <c r="I2649" s="11" t="str">
        <f>HYPERLINK("http://www.equipagepantaloni.com/","www.equipagepantaloni.com")</f>
        <v>www.equipagepantaloni.com</v>
      </c>
      <c r="J2649" s="12">
        <v>1800.646</v>
      </c>
      <c r="K2649" s="12">
        <v>1800.646</v>
      </c>
      <c r="L2649" s="13">
        <v>1379.462</v>
      </c>
      <c r="M2649" s="12">
        <v>60.514000000000003</v>
      </c>
      <c r="N2649" s="12">
        <v>60.514000000000003</v>
      </c>
      <c r="O2649" s="12">
        <v>28.997</v>
      </c>
      <c r="P2649" s="12">
        <v>27</v>
      </c>
      <c r="Q2649" s="12">
        <v>27</v>
      </c>
      <c r="R2649" s="12">
        <v>27</v>
      </c>
    </row>
    <row r="2650" spans="1:18" ht="17" customHeight="1" x14ac:dyDescent="0.15">
      <c r="A2650" s="8" t="s">
        <v>14172</v>
      </c>
      <c r="B2650" s="9" t="s">
        <v>14173</v>
      </c>
      <c r="C2650" s="8" t="s">
        <v>14174</v>
      </c>
      <c r="D2650" s="8" t="s">
        <v>14174</v>
      </c>
      <c r="E2650" s="8" t="s">
        <v>14175</v>
      </c>
      <c r="F2650" s="8" t="s">
        <v>14054</v>
      </c>
      <c r="G2650" s="8" t="s">
        <v>14167</v>
      </c>
      <c r="H2650" s="8" t="s">
        <v>14138</v>
      </c>
      <c r="I2650" s="8" t="str">
        <f>HYPERLINK("http://www.moovesrl.it/","www.moovesrl.it")</f>
        <v>www.moovesrl.it</v>
      </c>
      <c r="J2650" s="10">
        <v>1236.7280000000001</v>
      </c>
      <c r="K2650" s="10">
        <v>1236.7280000000001</v>
      </c>
      <c r="L2650" s="10">
        <v>1379.174</v>
      </c>
      <c r="M2650" s="10">
        <v>0.72199999999999998</v>
      </c>
      <c r="N2650" s="10">
        <v>0.72199999999999998</v>
      </c>
      <c r="O2650" s="10">
        <v>1.1279999999999999</v>
      </c>
      <c r="P2650" s="10">
        <v>9</v>
      </c>
      <c r="Q2650" s="10">
        <v>9</v>
      </c>
      <c r="R2650" s="10">
        <v>10</v>
      </c>
    </row>
    <row r="2651" spans="1:18" ht="17" customHeight="1" x14ac:dyDescent="0.15">
      <c r="A2651" s="11" t="s">
        <v>14176</v>
      </c>
      <c r="B2651" s="1" t="s">
        <v>14177</v>
      </c>
      <c r="C2651" s="11" t="s">
        <v>14178</v>
      </c>
      <c r="D2651" s="11" t="s">
        <v>14178</v>
      </c>
      <c r="E2651" s="11" t="s">
        <v>14179</v>
      </c>
      <c r="F2651" s="11" t="s">
        <v>14093</v>
      </c>
      <c r="G2651" s="11" t="s">
        <v>14180</v>
      </c>
      <c r="H2651" s="11" t="s">
        <v>14084</v>
      </c>
      <c r="I2651" s="11" t="str">
        <f>HYPERLINK("http://tallispa.com/","tallispa.com")</f>
        <v>tallispa.com</v>
      </c>
      <c r="J2651" s="12">
        <v>649.41300000000001</v>
      </c>
      <c r="K2651" s="12">
        <v>1055.481</v>
      </c>
      <c r="L2651" s="13">
        <v>1378.4449999999999</v>
      </c>
      <c r="M2651" s="12">
        <v>365.61399999999998</v>
      </c>
      <c r="N2651" s="12">
        <v>-390.21600000000001</v>
      </c>
      <c r="O2651" s="12">
        <v>11.757999999999999</v>
      </c>
      <c r="P2651" s="14" t="s">
        <v>14063</v>
      </c>
      <c r="Q2651" s="14" t="s">
        <v>14063</v>
      </c>
      <c r="R2651" s="12">
        <v>11</v>
      </c>
    </row>
    <row r="2652" spans="1:18" ht="17" customHeight="1" x14ac:dyDescent="0.15">
      <c r="A2652" s="8" t="s">
        <v>14181</v>
      </c>
      <c r="B2652" s="9" t="s">
        <v>14182</v>
      </c>
      <c r="C2652" s="8" t="s">
        <v>14183</v>
      </c>
      <c r="D2652" s="8" t="s">
        <v>14183</v>
      </c>
      <c r="E2652" s="8" t="s">
        <v>14184</v>
      </c>
      <c r="F2652" s="8" t="s">
        <v>14060</v>
      </c>
      <c r="G2652" s="8" t="s">
        <v>14105</v>
      </c>
      <c r="H2652" s="8" t="s">
        <v>14106</v>
      </c>
      <c r="I2652" s="8" t="str">
        <f>HYPERLINK("http://www.info.brian.com/","www.info.brian.com")</f>
        <v>www.info.brian.com</v>
      </c>
      <c r="J2652" s="10">
        <v>1133.2919999999999</v>
      </c>
      <c r="K2652" s="10">
        <v>1133.2919999999999</v>
      </c>
      <c r="L2652" s="10">
        <v>1377.078</v>
      </c>
      <c r="M2652" s="10">
        <v>233.08099999999999</v>
      </c>
      <c r="N2652" s="10">
        <v>233.08099999999999</v>
      </c>
      <c r="O2652" s="10">
        <v>349.00400000000002</v>
      </c>
      <c r="P2652" s="10">
        <v>13</v>
      </c>
      <c r="Q2652" s="10">
        <v>13</v>
      </c>
      <c r="R2652" s="10">
        <v>13</v>
      </c>
    </row>
    <row r="2653" spans="1:18" ht="29.5" customHeight="1" x14ac:dyDescent="0.15">
      <c r="A2653" s="11" t="s">
        <v>14185</v>
      </c>
      <c r="B2653" s="1" t="s">
        <v>14186</v>
      </c>
      <c r="C2653" s="11" t="s">
        <v>14187</v>
      </c>
      <c r="D2653" s="11" t="s">
        <v>14187</v>
      </c>
      <c r="E2653" s="11" t="s">
        <v>14188</v>
      </c>
      <c r="F2653" s="11" t="s">
        <v>14068</v>
      </c>
      <c r="G2653" s="11" t="s">
        <v>14083</v>
      </c>
      <c r="H2653" s="11" t="s">
        <v>14084</v>
      </c>
      <c r="I2653" s="11" t="str">
        <f>HYPERLINK("http://tomaificiolidis.it/","tomaificiolidis.it")</f>
        <v>tomaificiolidis.it</v>
      </c>
      <c r="J2653" s="12">
        <v>1454.6559999999999</v>
      </c>
      <c r="K2653" s="12">
        <v>1454.6559999999999</v>
      </c>
      <c r="L2653" s="13">
        <v>1376.6179999999999</v>
      </c>
      <c r="M2653" s="12">
        <v>8.0069999999999997</v>
      </c>
      <c r="N2653" s="12">
        <v>8.0069999999999997</v>
      </c>
      <c r="O2653" s="12">
        <v>-12.189</v>
      </c>
      <c r="P2653" s="14" t="s">
        <v>14063</v>
      </c>
      <c r="Q2653" s="14" t="s">
        <v>14063</v>
      </c>
      <c r="R2653" s="12">
        <v>18</v>
      </c>
    </row>
    <row r="2654" spans="1:18" ht="17" customHeight="1" x14ac:dyDescent="0.15">
      <c r="A2654" s="8" t="s">
        <v>14189</v>
      </c>
      <c r="B2654" s="9" t="s">
        <v>14190</v>
      </c>
      <c r="C2654" s="8" t="s">
        <v>14191</v>
      </c>
      <c r="D2654" s="8" t="s">
        <v>14191</v>
      </c>
      <c r="E2654" s="8" t="s">
        <v>14192</v>
      </c>
      <c r="F2654" s="8" t="s">
        <v>14060</v>
      </c>
      <c r="G2654" s="8" t="s">
        <v>14193</v>
      </c>
      <c r="H2654" s="8" t="s">
        <v>14138</v>
      </c>
      <c r="I2654" s="8" t="str">
        <f>HYPERLINK("http://www.francescamercuriali.com/","www.francescamercuriali.com")</f>
        <v>www.francescamercuriali.com</v>
      </c>
      <c r="J2654" s="10">
        <v>1263.471</v>
      </c>
      <c r="K2654" s="10">
        <v>1263.471</v>
      </c>
      <c r="L2654" s="10">
        <v>1375.7850000000001</v>
      </c>
      <c r="M2654" s="10">
        <v>-53.457999999999998</v>
      </c>
      <c r="N2654" s="10">
        <v>-53.457999999999998</v>
      </c>
      <c r="O2654" s="10">
        <v>11.491</v>
      </c>
      <c r="P2654" s="15" t="s">
        <v>14063</v>
      </c>
      <c r="Q2654" s="15" t="s">
        <v>14063</v>
      </c>
      <c r="R2654" s="10">
        <v>13</v>
      </c>
    </row>
    <row r="2655" spans="1:18" ht="17" customHeight="1" x14ac:dyDescent="0.15">
      <c r="A2655" s="11" t="s">
        <v>14194</v>
      </c>
      <c r="B2655" s="1" t="s">
        <v>14195</v>
      </c>
      <c r="C2655" s="11" t="s">
        <v>14196</v>
      </c>
      <c r="D2655" s="11" t="s">
        <v>14196</v>
      </c>
      <c r="E2655" s="11" t="s">
        <v>14197</v>
      </c>
      <c r="F2655" s="11" t="s">
        <v>14054</v>
      </c>
      <c r="G2655" s="11" t="s">
        <v>14198</v>
      </c>
      <c r="H2655" s="11" t="s">
        <v>14100</v>
      </c>
      <c r="I2655" s="11" t="str">
        <f>HYPERLINK("http://www.manuelaconti.com/","www.manuelaconti.com")</f>
        <v>www.manuelaconti.com</v>
      </c>
      <c r="J2655" s="12">
        <v>1423.694</v>
      </c>
      <c r="K2655" s="12">
        <v>1423.694</v>
      </c>
      <c r="L2655" s="13">
        <v>1375.23</v>
      </c>
      <c r="M2655" s="12">
        <v>10.686999999999999</v>
      </c>
      <c r="N2655" s="12">
        <v>10.686999999999999</v>
      </c>
      <c r="O2655" s="12">
        <v>6.9509999999999996</v>
      </c>
      <c r="P2655" s="12">
        <v>9</v>
      </c>
      <c r="Q2655" s="12">
        <v>9</v>
      </c>
      <c r="R2655" s="12">
        <v>5</v>
      </c>
    </row>
    <row r="2656" spans="1:18" ht="17" customHeight="1" x14ac:dyDescent="0.15">
      <c r="A2656" s="8" t="s">
        <v>14199</v>
      </c>
      <c r="B2656" s="9" t="s">
        <v>14200</v>
      </c>
      <c r="C2656" s="8" t="s">
        <v>14201</v>
      </c>
      <c r="D2656" s="8" t="s">
        <v>14202</v>
      </c>
      <c r="E2656" s="8" t="s">
        <v>14203</v>
      </c>
      <c r="F2656" s="8" t="s">
        <v>14204</v>
      </c>
      <c r="G2656" s="8" t="s">
        <v>14120</v>
      </c>
      <c r="H2656" s="8" t="s">
        <v>14084</v>
      </c>
      <c r="I2656" s="8" t="str">
        <f>HYPERLINK("http://confezionibieffe.it/","confezionibieffe.it")</f>
        <v>confezionibieffe.it</v>
      </c>
      <c r="J2656" s="10">
        <v>1693.3969999999999</v>
      </c>
      <c r="K2656" s="10">
        <v>1693.3969999999999</v>
      </c>
      <c r="L2656" s="10">
        <v>1374.809</v>
      </c>
      <c r="M2656" s="10">
        <v>76.087000000000003</v>
      </c>
      <c r="N2656" s="10">
        <v>76.087000000000003</v>
      </c>
      <c r="O2656" s="10">
        <v>-4.1280000000000001</v>
      </c>
      <c r="P2656" s="10">
        <v>7</v>
      </c>
      <c r="Q2656" s="10">
        <v>7</v>
      </c>
      <c r="R2656" s="10">
        <v>7</v>
      </c>
    </row>
    <row r="2657" spans="1:18" ht="17" customHeight="1" x14ac:dyDescent="0.15">
      <c r="A2657" s="11" t="s">
        <v>14205</v>
      </c>
      <c r="B2657" s="1" t="s">
        <v>14206</v>
      </c>
      <c r="C2657" s="11" t="s">
        <v>14207</v>
      </c>
      <c r="D2657" s="11" t="s">
        <v>14207</v>
      </c>
      <c r="E2657" s="11" t="s">
        <v>14208</v>
      </c>
      <c r="F2657" s="11" t="s">
        <v>14209</v>
      </c>
      <c r="G2657" s="11" t="s">
        <v>14210</v>
      </c>
      <c r="H2657" s="11" t="s">
        <v>14211</v>
      </c>
      <c r="I2657" s="11" t="str">
        <f>HYPERLINK("http://www.loifur.it/","www.loifur.it")</f>
        <v>www.loifur.it</v>
      </c>
      <c r="J2657" s="12">
        <v>772.11500000000001</v>
      </c>
      <c r="K2657" s="12">
        <v>772.11500000000001</v>
      </c>
      <c r="L2657" s="13">
        <v>1374.597</v>
      </c>
      <c r="M2657" s="12">
        <v>-18.478999999999999</v>
      </c>
      <c r="N2657" s="12">
        <v>-18.478999999999999</v>
      </c>
      <c r="O2657" s="12">
        <v>41.079000000000001</v>
      </c>
      <c r="P2657" s="12">
        <v>10</v>
      </c>
      <c r="Q2657" s="12">
        <v>10</v>
      </c>
      <c r="R2657" s="12">
        <v>10</v>
      </c>
    </row>
    <row r="2658" spans="1:18" ht="17" customHeight="1" x14ac:dyDescent="0.15">
      <c r="A2658" s="8" t="s">
        <v>14212</v>
      </c>
      <c r="B2658" s="9" t="s">
        <v>14213</v>
      </c>
      <c r="C2658" s="8" t="s">
        <v>14214</v>
      </c>
      <c r="D2658" s="8" t="s">
        <v>14214</v>
      </c>
      <c r="E2658" s="8" t="s">
        <v>14215</v>
      </c>
      <c r="F2658" s="8" t="s">
        <v>14216</v>
      </c>
      <c r="G2658" s="8" t="s">
        <v>14210</v>
      </c>
      <c r="H2658" s="8" t="s">
        <v>14211</v>
      </c>
      <c r="I2658" s="8" t="str">
        <f>HYPERLINK("http://www.conceriadaniela.com/","www.conceriadaniela.com")</f>
        <v>www.conceriadaniela.com</v>
      </c>
      <c r="J2658" s="10">
        <v>892.65</v>
      </c>
      <c r="K2658" s="10">
        <v>892.65</v>
      </c>
      <c r="L2658" s="10">
        <v>1374.249</v>
      </c>
      <c r="M2658" s="10">
        <v>-7.242</v>
      </c>
      <c r="N2658" s="10">
        <v>-7.242</v>
      </c>
      <c r="O2658" s="10">
        <v>9.3309999999999995</v>
      </c>
      <c r="P2658" s="10">
        <v>6</v>
      </c>
      <c r="Q2658" s="10">
        <v>6</v>
      </c>
      <c r="R2658" s="10">
        <v>7</v>
      </c>
    </row>
    <row r="2659" spans="1:18" ht="17" customHeight="1" x14ac:dyDescent="0.15">
      <c r="A2659" s="11" t="s">
        <v>14217</v>
      </c>
      <c r="B2659" s="1" t="s">
        <v>14218</v>
      </c>
      <c r="C2659" s="11" t="s">
        <v>14219</v>
      </c>
      <c r="D2659" s="11" t="s">
        <v>14219</v>
      </c>
      <c r="E2659" s="11" t="s">
        <v>14220</v>
      </c>
      <c r="F2659" s="11" t="s">
        <v>14221</v>
      </c>
      <c r="G2659" s="11" t="s">
        <v>14222</v>
      </c>
      <c r="H2659" s="11" t="s">
        <v>14223</v>
      </c>
      <c r="I2659" s="11" t="str">
        <f>HYPERLINK("http://brennaconfezioni.it/","brennaconfezioni.it")</f>
        <v>brennaconfezioni.it</v>
      </c>
      <c r="J2659" s="12">
        <v>1557.816</v>
      </c>
      <c r="K2659" s="12">
        <v>1557.816</v>
      </c>
      <c r="L2659" s="13">
        <v>1373.5550000000001</v>
      </c>
      <c r="M2659" s="12">
        <v>22.074999999999999</v>
      </c>
      <c r="N2659" s="12">
        <v>22.074999999999999</v>
      </c>
      <c r="O2659" s="12">
        <v>-62.171999999999997</v>
      </c>
      <c r="P2659" s="12">
        <v>15</v>
      </c>
      <c r="Q2659" s="12">
        <v>15</v>
      </c>
      <c r="R2659" s="12">
        <v>13</v>
      </c>
    </row>
    <row r="2660" spans="1:18" ht="17" customHeight="1" x14ac:dyDescent="0.15">
      <c r="A2660" s="8" t="s">
        <v>14224</v>
      </c>
      <c r="B2660" s="9" t="s">
        <v>14225</v>
      </c>
      <c r="C2660" s="8" t="s">
        <v>14226</v>
      </c>
      <c r="D2660" s="8" t="s">
        <v>14226</v>
      </c>
      <c r="E2660" s="8" t="s">
        <v>14227</v>
      </c>
      <c r="F2660" s="8" t="s">
        <v>14228</v>
      </c>
      <c r="G2660" s="8" t="s">
        <v>14229</v>
      </c>
      <c r="H2660" s="8" t="s">
        <v>14230</v>
      </c>
      <c r="I2660" s="8" t="str">
        <f>HYPERLINK("http://www.carbottibags.com/","www.carbottibags.com")</f>
        <v>www.carbottibags.com</v>
      </c>
      <c r="J2660" s="10">
        <v>1721.1849999999999</v>
      </c>
      <c r="K2660" s="10">
        <v>1721.1849999999999</v>
      </c>
      <c r="L2660" s="10">
        <v>1372.316</v>
      </c>
      <c r="M2660" s="10">
        <v>299.97899999999998</v>
      </c>
      <c r="N2660" s="10">
        <v>299.97899999999998</v>
      </c>
      <c r="O2660" s="10">
        <v>271.36</v>
      </c>
      <c r="P2660" s="15" t="s">
        <v>14231</v>
      </c>
      <c r="Q2660" s="15" t="s">
        <v>14231</v>
      </c>
      <c r="R2660" s="10">
        <v>13</v>
      </c>
    </row>
    <row r="2661" spans="1:18" ht="17" customHeight="1" x14ac:dyDescent="0.15">
      <c r="A2661" s="11" t="s">
        <v>14232</v>
      </c>
      <c r="B2661" s="1" t="s">
        <v>14233</v>
      </c>
      <c r="C2661" s="11" t="s">
        <v>14234</v>
      </c>
      <c r="D2661" s="11" t="s">
        <v>14234</v>
      </c>
      <c r="E2661" s="11" t="s">
        <v>14235</v>
      </c>
      <c r="F2661" s="11" t="s">
        <v>14221</v>
      </c>
      <c r="G2661" s="11" t="s">
        <v>14236</v>
      </c>
      <c r="H2661" s="11" t="s">
        <v>14223</v>
      </c>
      <c r="I2661" s="11" t="str">
        <f>HYPERLINK("http://gruppolm.com/","gruppolm.com")</f>
        <v>gruppolm.com</v>
      </c>
      <c r="J2661" s="12">
        <v>1722.4770000000001</v>
      </c>
      <c r="K2661" s="12">
        <v>1722.4770000000001</v>
      </c>
      <c r="L2661" s="13">
        <v>1371.3440000000001</v>
      </c>
      <c r="M2661" s="12">
        <v>12.215999999999999</v>
      </c>
      <c r="N2661" s="12">
        <v>12.215999999999999</v>
      </c>
      <c r="O2661" s="12">
        <v>5.2859999999999996</v>
      </c>
      <c r="P2661" s="12">
        <v>10</v>
      </c>
      <c r="Q2661" s="12">
        <v>10</v>
      </c>
      <c r="R2661" s="12">
        <v>6</v>
      </c>
    </row>
    <row r="2662" spans="1:18" ht="17" customHeight="1" x14ac:dyDescent="0.15">
      <c r="A2662" s="8" t="s">
        <v>14237</v>
      </c>
      <c r="B2662" s="9" t="s">
        <v>14238</v>
      </c>
      <c r="C2662" s="8" t="s">
        <v>14239</v>
      </c>
      <c r="D2662" s="8" t="s">
        <v>14239</v>
      </c>
      <c r="E2662" s="8" t="s">
        <v>14240</v>
      </c>
      <c r="F2662" s="8" t="s">
        <v>14241</v>
      </c>
      <c r="G2662" s="8" t="s">
        <v>14242</v>
      </c>
      <c r="H2662" s="8" t="s">
        <v>14211</v>
      </c>
      <c r="I2662" s="8" t="str">
        <f>HYPERLINK("http://www.terrida.com/","www.terrida.com")</f>
        <v>www.terrida.com</v>
      </c>
      <c r="J2662" s="10">
        <v>1067.51</v>
      </c>
      <c r="K2662" s="10">
        <v>1067.51</v>
      </c>
      <c r="L2662" s="10">
        <v>1370.5889999999999</v>
      </c>
      <c r="M2662" s="10">
        <v>-165.172</v>
      </c>
      <c r="N2662" s="10">
        <v>-165.172</v>
      </c>
      <c r="O2662" s="10">
        <v>-104.152</v>
      </c>
      <c r="P2662" s="10">
        <v>3</v>
      </c>
      <c r="Q2662" s="10">
        <v>3</v>
      </c>
      <c r="R2662" s="10">
        <v>5</v>
      </c>
    </row>
    <row r="2663" spans="1:18" ht="17" customHeight="1" x14ac:dyDescent="0.15">
      <c r="A2663" s="11" t="s">
        <v>14243</v>
      </c>
      <c r="B2663" s="1" t="s">
        <v>14244</v>
      </c>
      <c r="C2663" s="11" t="s">
        <v>14245</v>
      </c>
      <c r="D2663" s="11" t="s">
        <v>14245</v>
      </c>
      <c r="E2663" s="11" t="s">
        <v>14246</v>
      </c>
      <c r="F2663" s="11" t="s">
        <v>14247</v>
      </c>
      <c r="G2663" s="11" t="s">
        <v>14229</v>
      </c>
      <c r="H2663" s="11" t="s">
        <v>14230</v>
      </c>
      <c r="I2663" s="11" t="str">
        <f>HYPERLINK("http://www.palazzosartoriale.com/","www.palazzosartoriale.com")</f>
        <v>www.palazzosartoriale.com</v>
      </c>
      <c r="J2663" s="12">
        <v>1547.3340000000001</v>
      </c>
      <c r="K2663" s="12">
        <v>1547.3340000000001</v>
      </c>
      <c r="L2663" s="13">
        <v>1370.5229999999999</v>
      </c>
      <c r="M2663" s="12">
        <v>209.233</v>
      </c>
      <c r="N2663" s="12">
        <v>209.233</v>
      </c>
      <c r="O2663" s="12">
        <v>203.96899999999999</v>
      </c>
      <c r="P2663" s="14" t="s">
        <v>14231</v>
      </c>
      <c r="Q2663" s="14" t="s">
        <v>14231</v>
      </c>
      <c r="R2663" s="12">
        <v>10</v>
      </c>
    </row>
    <row r="2664" spans="1:18" ht="17" customHeight="1" x14ac:dyDescent="0.15">
      <c r="A2664" s="8" t="s">
        <v>14248</v>
      </c>
      <c r="B2664" s="9" t="s">
        <v>14249</v>
      </c>
      <c r="C2664" s="8" t="s">
        <v>14250</v>
      </c>
      <c r="D2664" s="8" t="s">
        <v>14250</v>
      </c>
      <c r="E2664" s="8" t="s">
        <v>14251</v>
      </c>
      <c r="F2664" s="8" t="s">
        <v>14247</v>
      </c>
      <c r="G2664" s="8" t="s">
        <v>14252</v>
      </c>
      <c r="H2664" s="8" t="s">
        <v>14253</v>
      </c>
      <c r="I2664" s="8" t="str">
        <f>HYPERLINK("http://mdesign-firenze.com/","mdesign-firenze.com")</f>
        <v>mdesign-firenze.com</v>
      </c>
      <c r="J2664" s="10">
        <v>941.70399999999995</v>
      </c>
      <c r="K2664" s="10">
        <v>941.70399999999995</v>
      </c>
      <c r="L2664" s="10">
        <v>1369.248</v>
      </c>
      <c r="M2664" s="10">
        <v>-4.99</v>
      </c>
      <c r="N2664" s="10">
        <v>-4.99</v>
      </c>
      <c r="O2664" s="10">
        <v>35.296999999999997</v>
      </c>
      <c r="P2664" s="15" t="s">
        <v>14231</v>
      </c>
      <c r="Q2664" s="15" t="s">
        <v>14231</v>
      </c>
      <c r="R2664" s="10">
        <v>0</v>
      </c>
    </row>
    <row r="2665" spans="1:18" ht="17" customHeight="1" x14ac:dyDescent="0.15">
      <c r="A2665" s="11" t="s">
        <v>14254</v>
      </c>
      <c r="B2665" s="1" t="s">
        <v>14255</v>
      </c>
      <c r="C2665" s="11" t="s">
        <v>14256</v>
      </c>
      <c r="D2665" s="11" t="s">
        <v>14256</v>
      </c>
      <c r="E2665" s="11" t="s">
        <v>14257</v>
      </c>
      <c r="F2665" s="11" t="s">
        <v>14216</v>
      </c>
      <c r="G2665" s="11" t="s">
        <v>14210</v>
      </c>
      <c r="H2665" s="11" t="s">
        <v>14211</v>
      </c>
      <c r="I2665" s="11" t="str">
        <f>HYPERLINK("http://www.prodital.biz/","www.prodital.biz")</f>
        <v>www.prodital.biz</v>
      </c>
      <c r="J2665" s="12">
        <v>1491.441</v>
      </c>
      <c r="K2665" s="12">
        <v>1491.441</v>
      </c>
      <c r="L2665" s="13">
        <v>1365.0250000000001</v>
      </c>
      <c r="M2665" s="12">
        <v>6.8529999999999998</v>
      </c>
      <c r="N2665" s="12">
        <v>6.8529999999999998</v>
      </c>
      <c r="O2665" s="12">
        <v>6.4720000000000004</v>
      </c>
      <c r="P2665" s="12">
        <v>5</v>
      </c>
      <c r="Q2665" s="12">
        <v>5</v>
      </c>
      <c r="R2665" s="12">
        <v>6</v>
      </c>
    </row>
    <row r="2666" spans="1:18" ht="17" customHeight="1" x14ac:dyDescent="0.15">
      <c r="A2666" s="8" t="s">
        <v>14258</v>
      </c>
      <c r="B2666" s="9" t="s">
        <v>14259</v>
      </c>
      <c r="C2666" s="8" t="s">
        <v>14260</v>
      </c>
      <c r="D2666" s="8" t="s">
        <v>14260</v>
      </c>
      <c r="E2666" s="8" t="s">
        <v>14261</v>
      </c>
      <c r="F2666" s="8" t="s">
        <v>14221</v>
      </c>
      <c r="G2666" s="8" t="s">
        <v>14262</v>
      </c>
      <c r="H2666" s="8" t="s">
        <v>14253</v>
      </c>
      <c r="I2666" s="8" t="str">
        <f>HYPERLINK("http://www.kaleidosmoda.com/","www.kaleidosmoda.com")</f>
        <v>www.kaleidosmoda.com</v>
      </c>
      <c r="J2666" s="10">
        <v>1297.44</v>
      </c>
      <c r="K2666" s="10">
        <v>1297.44</v>
      </c>
      <c r="L2666" s="10">
        <v>1364.6510000000001</v>
      </c>
      <c r="M2666" s="10">
        <v>9.1850000000000005</v>
      </c>
      <c r="N2666" s="10">
        <v>9.1850000000000005</v>
      </c>
      <c r="O2666" s="10">
        <v>5.6669999999999998</v>
      </c>
      <c r="P2666" s="15" t="s">
        <v>14231</v>
      </c>
      <c r="Q2666" s="15" t="s">
        <v>14231</v>
      </c>
      <c r="R2666" s="10">
        <v>4</v>
      </c>
    </row>
    <row r="2667" spans="1:18" ht="17" customHeight="1" x14ac:dyDescent="0.15">
      <c r="A2667" s="11" t="s">
        <v>14263</v>
      </c>
      <c r="B2667" s="1" t="s">
        <v>14264</v>
      </c>
      <c r="C2667" s="11" t="s">
        <v>14265</v>
      </c>
      <c r="D2667" s="11" t="s">
        <v>14265</v>
      </c>
      <c r="E2667" s="11" t="s">
        <v>14266</v>
      </c>
      <c r="F2667" s="11" t="s">
        <v>14267</v>
      </c>
      <c r="G2667" s="11" t="s">
        <v>14268</v>
      </c>
      <c r="H2667" s="11" t="s">
        <v>14269</v>
      </c>
      <c r="I2667" s="11" t="str">
        <f>HYPERLINK("http://www.blitzmoda.it/","www.blitzmoda.it")</f>
        <v>www.blitzmoda.it</v>
      </c>
      <c r="J2667" s="12">
        <v>1966.1089999999999</v>
      </c>
      <c r="K2667" s="12">
        <v>1966.1089999999999</v>
      </c>
      <c r="L2667" s="13">
        <v>1362.838</v>
      </c>
      <c r="M2667" s="12">
        <v>353.572</v>
      </c>
      <c r="N2667" s="12">
        <v>353.572</v>
      </c>
      <c r="O2667" s="12">
        <v>161.56200000000001</v>
      </c>
      <c r="P2667" s="12">
        <v>9</v>
      </c>
      <c r="Q2667" s="12">
        <v>9</v>
      </c>
      <c r="R2667" s="12">
        <v>9</v>
      </c>
    </row>
    <row r="2668" spans="1:18" ht="17" customHeight="1" x14ac:dyDescent="0.15">
      <c r="A2668" s="8" t="s">
        <v>14270</v>
      </c>
      <c r="B2668" s="9" t="s">
        <v>14271</v>
      </c>
      <c r="C2668" s="8" t="s">
        <v>14272</v>
      </c>
      <c r="D2668" s="8" t="s">
        <v>14272</v>
      </c>
      <c r="E2668" s="8" t="s">
        <v>14273</v>
      </c>
      <c r="F2668" s="8" t="s">
        <v>14274</v>
      </c>
      <c r="G2668" s="8" t="s">
        <v>14275</v>
      </c>
      <c r="H2668" s="8" t="s">
        <v>14276</v>
      </c>
      <c r="I2668" s="8" t="str">
        <f>HYPERLINK("http://www.settefili.it/","www.settefili.it")</f>
        <v>www.settefili.it</v>
      </c>
      <c r="J2668" s="10">
        <v>1451.472</v>
      </c>
      <c r="K2668" s="10">
        <v>1451.472</v>
      </c>
      <c r="L2668" s="10">
        <v>1362.8109999999999</v>
      </c>
      <c r="M2668" s="10">
        <v>11.477</v>
      </c>
      <c r="N2668" s="10">
        <v>11.477</v>
      </c>
      <c r="O2668" s="10">
        <v>27.831</v>
      </c>
      <c r="P2668" s="10">
        <v>12</v>
      </c>
      <c r="Q2668" s="10">
        <v>12</v>
      </c>
      <c r="R2668" s="10">
        <v>10</v>
      </c>
    </row>
    <row r="2669" spans="1:18" ht="17" customHeight="1" x14ac:dyDescent="0.15">
      <c r="A2669" s="11" t="s">
        <v>14277</v>
      </c>
      <c r="B2669" s="1" t="s">
        <v>14278</v>
      </c>
      <c r="C2669" s="11" t="s">
        <v>14279</v>
      </c>
      <c r="D2669" s="11" t="s">
        <v>14280</v>
      </c>
      <c r="E2669" s="11" t="s">
        <v>14281</v>
      </c>
      <c r="F2669" s="11" t="s">
        <v>14267</v>
      </c>
      <c r="G2669" s="11" t="s">
        <v>14282</v>
      </c>
      <c r="H2669" s="11" t="s">
        <v>14269</v>
      </c>
      <c r="I2669" s="11" t="str">
        <f>HYPERLINK("http://www.modacalvi.it/","www.modacalvi.it")</f>
        <v>www.modacalvi.it</v>
      </c>
      <c r="J2669" s="12">
        <v>1449.213</v>
      </c>
      <c r="K2669" s="12">
        <v>1449.213</v>
      </c>
      <c r="L2669" s="13">
        <v>1361.598</v>
      </c>
      <c r="M2669" s="12">
        <v>-447.91199999999998</v>
      </c>
      <c r="N2669" s="12">
        <v>-447.91199999999998</v>
      </c>
      <c r="O2669" s="12">
        <v>-159.34</v>
      </c>
      <c r="P2669" s="14" t="s">
        <v>14231</v>
      </c>
      <c r="Q2669" s="14" t="s">
        <v>14231</v>
      </c>
      <c r="R2669" s="12">
        <v>2</v>
      </c>
    </row>
    <row r="2670" spans="1:18" ht="17" customHeight="1" x14ac:dyDescent="0.15">
      <c r="A2670" s="8" t="s">
        <v>14283</v>
      </c>
      <c r="B2670" s="9" t="s">
        <v>14284</v>
      </c>
      <c r="C2670" s="8" t="s">
        <v>14285</v>
      </c>
      <c r="D2670" s="8" t="s">
        <v>14285</v>
      </c>
      <c r="E2670" s="8" t="s">
        <v>14286</v>
      </c>
      <c r="F2670" s="8" t="s">
        <v>14287</v>
      </c>
      <c r="G2670" s="8" t="s">
        <v>14282</v>
      </c>
      <c r="H2670" s="8" t="s">
        <v>14269</v>
      </c>
      <c r="I2670" s="8" t="str">
        <f>HYPERLINK("http://larianna.it/","larianna.it")</f>
        <v>larianna.it</v>
      </c>
      <c r="J2670" s="10">
        <v>1427.462</v>
      </c>
      <c r="K2670" s="10">
        <v>1427.462</v>
      </c>
      <c r="L2670" s="10">
        <v>1361.155</v>
      </c>
      <c r="M2670" s="10">
        <v>60.499000000000002</v>
      </c>
      <c r="N2670" s="10">
        <v>60.499000000000002</v>
      </c>
      <c r="O2670" s="10">
        <v>34.46</v>
      </c>
      <c r="P2670" s="10">
        <v>14</v>
      </c>
      <c r="Q2670" s="10">
        <v>14</v>
      </c>
      <c r="R2670" s="10">
        <v>14</v>
      </c>
    </row>
    <row r="2671" spans="1:18" ht="29.5" customHeight="1" x14ac:dyDescent="0.15">
      <c r="A2671" s="11" t="s">
        <v>14288</v>
      </c>
      <c r="B2671" s="1" t="s">
        <v>14289</v>
      </c>
      <c r="C2671" s="11" t="s">
        <v>14290</v>
      </c>
      <c r="D2671" s="11" t="s">
        <v>14290</v>
      </c>
      <c r="E2671" s="11" t="s">
        <v>14291</v>
      </c>
      <c r="F2671" s="11" t="s">
        <v>14221</v>
      </c>
      <c r="G2671" s="11" t="s">
        <v>14282</v>
      </c>
      <c r="H2671" s="11" t="s">
        <v>14269</v>
      </c>
      <c r="I2671" s="11" t="str">
        <f>HYPERLINK("http://dgdipalma.it/","dgdipalma.it")</f>
        <v>dgdipalma.it</v>
      </c>
      <c r="J2671" s="12">
        <v>1234.643</v>
      </c>
      <c r="K2671" s="12">
        <v>1234.643</v>
      </c>
      <c r="L2671" s="13">
        <v>1360.923</v>
      </c>
      <c r="M2671" s="12">
        <v>-14.548999999999999</v>
      </c>
      <c r="N2671" s="12">
        <v>-14.548999999999999</v>
      </c>
      <c r="O2671" s="12">
        <v>111.22</v>
      </c>
      <c r="P2671" s="12">
        <v>3</v>
      </c>
      <c r="Q2671" s="12">
        <v>3</v>
      </c>
      <c r="R2671" s="12">
        <v>2</v>
      </c>
    </row>
    <row r="2672" spans="1:18" ht="17" customHeight="1" x14ac:dyDescent="0.15">
      <c r="A2672" s="8" t="s">
        <v>14292</v>
      </c>
      <c r="B2672" s="9" t="s">
        <v>14293</v>
      </c>
      <c r="C2672" s="8" t="s">
        <v>14294</v>
      </c>
      <c r="D2672" s="8" t="s">
        <v>14294</v>
      </c>
      <c r="E2672" s="8" t="s">
        <v>14295</v>
      </c>
      <c r="F2672" s="8" t="s">
        <v>14296</v>
      </c>
      <c r="G2672" s="8" t="s">
        <v>14297</v>
      </c>
      <c r="H2672" s="8" t="s">
        <v>14298</v>
      </c>
      <c r="I2672" s="8" t="str">
        <f>HYPERLINK("http://www.jberre.it/","www.jberre.it")</f>
        <v>www.jberre.it</v>
      </c>
      <c r="J2672" s="10">
        <v>1643.9110000000001</v>
      </c>
      <c r="K2672" s="10">
        <v>1643.9110000000001</v>
      </c>
      <c r="L2672" s="10">
        <v>1360.777</v>
      </c>
      <c r="M2672" s="10">
        <v>2.9</v>
      </c>
      <c r="N2672" s="10">
        <v>2.9</v>
      </c>
      <c r="O2672" s="10">
        <v>18.192</v>
      </c>
      <c r="P2672" s="10">
        <v>4</v>
      </c>
      <c r="Q2672" s="10">
        <v>4</v>
      </c>
      <c r="R2672" s="10">
        <v>4</v>
      </c>
    </row>
    <row r="2673" spans="1:18" ht="17" customHeight="1" x14ac:dyDescent="0.15">
      <c r="A2673" s="11" t="s">
        <v>14299</v>
      </c>
      <c r="B2673" s="1" t="s">
        <v>14300</v>
      </c>
      <c r="C2673" s="11" t="s">
        <v>14301</v>
      </c>
      <c r="D2673" s="11" t="s">
        <v>14301</v>
      </c>
      <c r="E2673" s="11" t="s">
        <v>14302</v>
      </c>
      <c r="F2673" s="11" t="s">
        <v>14267</v>
      </c>
      <c r="G2673" s="11" t="s">
        <v>14303</v>
      </c>
      <c r="H2673" s="11" t="s">
        <v>14276</v>
      </c>
      <c r="I2673" s="11" t="str">
        <f>HYPERLINK("http://www.eleonoraamadei.com/","www.eleonoraamadei.com")</f>
        <v>www.eleonoraamadei.com</v>
      </c>
      <c r="J2673" s="12">
        <v>1320.9949999999999</v>
      </c>
      <c r="K2673" s="12">
        <v>1320.9949999999999</v>
      </c>
      <c r="L2673" s="13">
        <v>1360.1510000000001</v>
      </c>
      <c r="M2673" s="12">
        <v>6.2370000000000001</v>
      </c>
      <c r="N2673" s="12">
        <v>6.2370000000000001</v>
      </c>
      <c r="O2673" s="12">
        <v>4.1529999999999996</v>
      </c>
      <c r="P2673" s="12">
        <v>5</v>
      </c>
      <c r="Q2673" s="12">
        <v>5</v>
      </c>
      <c r="R2673" s="12">
        <v>4</v>
      </c>
    </row>
    <row r="2674" spans="1:18" ht="29.5" customHeight="1" x14ac:dyDescent="0.15">
      <c r="A2674" s="8" t="s">
        <v>14304</v>
      </c>
      <c r="B2674" s="9" t="s">
        <v>14305</v>
      </c>
      <c r="C2674" s="8" t="s">
        <v>14306</v>
      </c>
      <c r="D2674" s="8" t="s">
        <v>14306</v>
      </c>
      <c r="E2674" s="8" t="s">
        <v>14307</v>
      </c>
      <c r="F2674" s="8" t="s">
        <v>14267</v>
      </c>
      <c r="G2674" s="8" t="s">
        <v>14308</v>
      </c>
      <c r="H2674" s="8" t="s">
        <v>14276</v>
      </c>
      <c r="I2674" s="8" t="str">
        <f>HYPERLINK("http://www.manifatturaceccarelli.com/","www.manifatturaceccarelli.com")</f>
        <v>www.manifatturaceccarelli.com</v>
      </c>
      <c r="J2674" s="10">
        <v>3207.576</v>
      </c>
      <c r="K2674" s="10">
        <v>3207.576</v>
      </c>
      <c r="L2674" s="10">
        <v>1355.7550000000001</v>
      </c>
      <c r="M2674" s="10">
        <v>739.37400000000002</v>
      </c>
      <c r="N2674" s="10">
        <v>739.37400000000002</v>
      </c>
      <c r="O2674" s="10">
        <v>409.53300000000002</v>
      </c>
      <c r="P2674" s="10">
        <v>11</v>
      </c>
      <c r="Q2674" s="10">
        <v>11</v>
      </c>
      <c r="R2674" s="10">
        <v>11</v>
      </c>
    </row>
    <row r="2675" spans="1:18" ht="55.75" customHeight="1" x14ac:dyDescent="0.15">
      <c r="A2675" s="11" t="s">
        <v>14309</v>
      </c>
      <c r="B2675" s="1" t="s">
        <v>14310</v>
      </c>
      <c r="C2675" s="11" t="s">
        <v>14311</v>
      </c>
      <c r="D2675" s="11" t="s">
        <v>14311</v>
      </c>
      <c r="E2675" s="11" t="s">
        <v>14312</v>
      </c>
      <c r="F2675" s="11" t="s">
        <v>14241</v>
      </c>
      <c r="G2675" s="11" t="s">
        <v>14313</v>
      </c>
      <c r="H2675" s="11" t="s">
        <v>14269</v>
      </c>
      <c r="I2675" s="11" t="str">
        <f>HYPERLINK("http://pelletteriamarant.com/","pelletteriamarant.com")</f>
        <v>pelletteriamarant.com</v>
      </c>
      <c r="J2675" s="12">
        <v>1420.193</v>
      </c>
      <c r="K2675" s="12">
        <v>1420.193</v>
      </c>
      <c r="L2675" s="13">
        <v>1355.2360000000001</v>
      </c>
      <c r="M2675" s="12">
        <v>36.97</v>
      </c>
      <c r="N2675" s="12">
        <v>36.97</v>
      </c>
      <c r="O2675" s="12">
        <v>48.226999999999997</v>
      </c>
      <c r="P2675" s="12">
        <v>8</v>
      </c>
      <c r="Q2675" s="12">
        <v>8</v>
      </c>
      <c r="R2675" s="12">
        <v>7</v>
      </c>
    </row>
    <row r="2676" spans="1:18" ht="17" customHeight="1" x14ac:dyDescent="0.15">
      <c r="A2676" s="8" t="s">
        <v>14314</v>
      </c>
      <c r="B2676" s="9" t="s">
        <v>14315</v>
      </c>
      <c r="C2676" s="8" t="s">
        <v>14316</v>
      </c>
      <c r="D2676" s="8" t="s">
        <v>14316</v>
      </c>
      <c r="E2676" s="8" t="s">
        <v>14317</v>
      </c>
      <c r="F2676" s="8" t="s">
        <v>14318</v>
      </c>
      <c r="G2676" s="8" t="s">
        <v>14319</v>
      </c>
      <c r="H2676" s="8" t="s">
        <v>14230</v>
      </c>
      <c r="I2676" s="8" t="str">
        <f>HYPERLINK("http://camiceriamira.it/","camiceriamira.it")</f>
        <v>camiceriamira.it</v>
      </c>
      <c r="J2676" s="10">
        <v>1745.028</v>
      </c>
      <c r="K2676" s="10">
        <v>1745.028</v>
      </c>
      <c r="L2676" s="10">
        <v>1354.9280000000001</v>
      </c>
      <c r="M2676" s="10">
        <v>27.855</v>
      </c>
      <c r="N2676" s="10">
        <v>27.855</v>
      </c>
      <c r="O2676" s="10">
        <v>70.599999999999994</v>
      </c>
      <c r="P2676" s="15" t="s">
        <v>14231</v>
      </c>
      <c r="Q2676" s="15" t="s">
        <v>14231</v>
      </c>
      <c r="R2676" s="10">
        <v>4</v>
      </c>
    </row>
    <row r="2677" spans="1:18" ht="29.5" customHeight="1" x14ac:dyDescent="0.15">
      <c r="A2677" s="11" t="s">
        <v>14320</v>
      </c>
      <c r="B2677" s="1" t="s">
        <v>14321</v>
      </c>
      <c r="C2677" s="11" t="s">
        <v>14322</v>
      </c>
      <c r="D2677" s="11" t="s">
        <v>14322</v>
      </c>
      <c r="E2677" s="11" t="s">
        <v>14323</v>
      </c>
      <c r="F2677" s="11" t="s">
        <v>14267</v>
      </c>
      <c r="G2677" s="11" t="s">
        <v>14324</v>
      </c>
      <c r="H2677" s="11" t="s">
        <v>14298</v>
      </c>
      <c r="I2677" s="11" t="str">
        <f>HYPERLINK("http://www.border-line.org/","www.border-line.org")</f>
        <v>www.border-line.org</v>
      </c>
      <c r="J2677" s="12">
        <v>1318.828</v>
      </c>
      <c r="K2677" s="12">
        <v>1318.828</v>
      </c>
      <c r="L2677" s="13">
        <v>1354.663</v>
      </c>
      <c r="M2677" s="12">
        <v>55.098999999999997</v>
      </c>
      <c r="N2677" s="12">
        <v>55.098999999999997</v>
      </c>
      <c r="O2677" s="12">
        <v>44.009</v>
      </c>
      <c r="P2677" s="14" t="s">
        <v>14231</v>
      </c>
      <c r="Q2677" s="14" t="s">
        <v>14231</v>
      </c>
      <c r="R2677" s="12">
        <v>21</v>
      </c>
    </row>
    <row r="2678" spans="1:18" ht="17" customHeight="1" x14ac:dyDescent="0.15">
      <c r="A2678" s="8" t="s">
        <v>14325</v>
      </c>
      <c r="B2678" s="9" t="s">
        <v>14326</v>
      </c>
      <c r="C2678" s="8" t="s">
        <v>14327</v>
      </c>
      <c r="D2678" s="8" t="s">
        <v>14327</v>
      </c>
      <c r="E2678" s="8" t="s">
        <v>14328</v>
      </c>
      <c r="F2678" s="8" t="s">
        <v>14216</v>
      </c>
      <c r="G2678" s="8" t="s">
        <v>14282</v>
      </c>
      <c r="H2678" s="8" t="s">
        <v>14269</v>
      </c>
      <c r="I2678" s="8" t="str">
        <f>HYPERLINK("http://www.oscipellami.it/","www.oscipellami.it")</f>
        <v>www.oscipellami.it</v>
      </c>
      <c r="J2678" s="10">
        <v>1126.6679999999999</v>
      </c>
      <c r="K2678" s="10">
        <v>1126.6679999999999</v>
      </c>
      <c r="L2678" s="10">
        <v>1354.41</v>
      </c>
      <c r="M2678" s="10">
        <v>42.735999999999997</v>
      </c>
      <c r="N2678" s="10">
        <v>42.735999999999997</v>
      </c>
      <c r="O2678" s="10">
        <v>138.13800000000001</v>
      </c>
      <c r="P2678" s="15" t="s">
        <v>14231</v>
      </c>
      <c r="Q2678" s="15" t="s">
        <v>14231</v>
      </c>
      <c r="R2678" s="10">
        <v>4</v>
      </c>
    </row>
    <row r="2679" spans="1:18" ht="17" customHeight="1" x14ac:dyDescent="0.15">
      <c r="A2679" s="11" t="s">
        <v>14329</v>
      </c>
      <c r="B2679" s="1" t="s">
        <v>14330</v>
      </c>
      <c r="C2679" s="11" t="s">
        <v>14331</v>
      </c>
      <c r="D2679" s="11" t="s">
        <v>14331</v>
      </c>
      <c r="E2679" s="11" t="s">
        <v>14332</v>
      </c>
      <c r="F2679" s="11" t="s">
        <v>14333</v>
      </c>
      <c r="G2679" s="11" t="s">
        <v>14282</v>
      </c>
      <c r="H2679" s="11" t="s">
        <v>14269</v>
      </c>
      <c r="I2679" s="11" t="str">
        <f>HYPERLINK("http://www.gianmarcof.it/","www.gianmarcof.it")</f>
        <v>www.gianmarcof.it</v>
      </c>
      <c r="J2679" s="12">
        <v>1571.828</v>
      </c>
      <c r="K2679" s="12">
        <v>1571.828</v>
      </c>
      <c r="L2679" s="13">
        <v>1354.2529999999999</v>
      </c>
      <c r="M2679" s="12">
        <v>70.507999999999996</v>
      </c>
      <c r="N2679" s="12">
        <v>70.507999999999996</v>
      </c>
      <c r="O2679" s="12">
        <v>27.56</v>
      </c>
      <c r="P2679" s="14" t="s">
        <v>14231</v>
      </c>
      <c r="Q2679" s="14" t="s">
        <v>14231</v>
      </c>
      <c r="R2679" s="12">
        <v>4</v>
      </c>
    </row>
    <row r="2680" spans="1:18" ht="55.75" customHeight="1" x14ac:dyDescent="0.15">
      <c r="A2680" s="8" t="s">
        <v>14334</v>
      </c>
      <c r="B2680" s="9" t="s">
        <v>14335</v>
      </c>
      <c r="C2680" s="8" t="s">
        <v>14336</v>
      </c>
      <c r="D2680" s="8" t="s">
        <v>14336</v>
      </c>
      <c r="E2680" s="8" t="s">
        <v>14337</v>
      </c>
      <c r="F2680" s="8" t="s">
        <v>14287</v>
      </c>
      <c r="G2680" s="8" t="s">
        <v>14338</v>
      </c>
      <c r="H2680" s="8" t="s">
        <v>14339</v>
      </c>
      <c r="I2680" s="8" t="str">
        <f>HYPERLINK("http://www.renzoni.net/","www.renzoni.net")</f>
        <v>www.renzoni.net</v>
      </c>
      <c r="J2680" s="10">
        <v>1736.3620000000001</v>
      </c>
      <c r="K2680" s="10">
        <v>1736.3620000000001</v>
      </c>
      <c r="L2680" s="10">
        <v>1352.788</v>
      </c>
      <c r="M2680" s="10">
        <v>17.855</v>
      </c>
      <c r="N2680" s="10">
        <v>17.855</v>
      </c>
      <c r="O2680" s="10">
        <v>7.6790000000000003</v>
      </c>
      <c r="P2680" s="10">
        <v>2</v>
      </c>
      <c r="Q2680" s="10">
        <v>2</v>
      </c>
      <c r="R2680" s="10">
        <v>2</v>
      </c>
    </row>
    <row r="2681" spans="1:18" ht="17" customHeight="1" x14ac:dyDescent="0.15">
      <c r="A2681" s="11" t="s">
        <v>14340</v>
      </c>
      <c r="B2681" s="1" t="s">
        <v>14341</v>
      </c>
      <c r="C2681" s="11" t="s">
        <v>14342</v>
      </c>
      <c r="D2681" s="11" t="s">
        <v>14342</v>
      </c>
      <c r="E2681" s="11" t="s">
        <v>14343</v>
      </c>
      <c r="F2681" s="11" t="s">
        <v>14287</v>
      </c>
      <c r="G2681" s="11" t="s">
        <v>14338</v>
      </c>
      <c r="H2681" s="11" t="s">
        <v>14339</v>
      </c>
      <c r="I2681" s="11" t="str">
        <f>HYPERLINK("http://www.exa-srl.it/","www.exa-srl.it")</f>
        <v>www.exa-srl.it</v>
      </c>
      <c r="J2681" s="12">
        <v>1329.8440000000001</v>
      </c>
      <c r="K2681" s="12">
        <v>1329.8440000000001</v>
      </c>
      <c r="L2681" s="13">
        <v>1352.194</v>
      </c>
      <c r="M2681" s="12">
        <v>-2.4870000000000001</v>
      </c>
      <c r="N2681" s="12">
        <v>-2.4870000000000001</v>
      </c>
      <c r="O2681" s="12">
        <v>7.306</v>
      </c>
      <c r="P2681" s="12">
        <v>25</v>
      </c>
      <c r="Q2681" s="12">
        <v>25</v>
      </c>
      <c r="R2681" s="12">
        <v>24</v>
      </c>
    </row>
    <row r="2682" spans="1:18" ht="17" customHeight="1" x14ac:dyDescent="0.15">
      <c r="A2682" s="8" t="s">
        <v>14344</v>
      </c>
      <c r="B2682" s="9" t="s">
        <v>14345</v>
      </c>
      <c r="C2682" s="8" t="s">
        <v>14346</v>
      </c>
      <c r="D2682" s="8" t="s">
        <v>14346</v>
      </c>
      <c r="E2682" s="8" t="s">
        <v>14347</v>
      </c>
      <c r="F2682" s="8" t="s">
        <v>14287</v>
      </c>
      <c r="G2682" s="8" t="s">
        <v>14338</v>
      </c>
      <c r="H2682" s="8" t="s">
        <v>14339</v>
      </c>
      <c r="I2682" s="8" t="str">
        <f>HYPERLINK("http://www.robertomorellisrl.it/","www.robertomorellisrl.it")</f>
        <v>www.robertomorellisrl.it</v>
      </c>
      <c r="J2682" s="10">
        <v>1596.2370000000001</v>
      </c>
      <c r="K2682" s="10">
        <v>1596.2370000000001</v>
      </c>
      <c r="L2682" s="10">
        <v>1351.7529999999999</v>
      </c>
      <c r="M2682" s="10">
        <v>6.4219999999999997</v>
      </c>
      <c r="N2682" s="10">
        <v>6.4219999999999997</v>
      </c>
      <c r="O2682" s="10">
        <v>6.9850000000000003</v>
      </c>
      <c r="P2682" s="10">
        <v>6</v>
      </c>
      <c r="Q2682" s="10">
        <v>6</v>
      </c>
      <c r="R2682" s="10">
        <v>5</v>
      </c>
    </row>
    <row r="2683" spans="1:18" ht="17" customHeight="1" x14ac:dyDescent="0.15">
      <c r="A2683" s="11" t="s">
        <v>14348</v>
      </c>
      <c r="B2683" s="1" t="s">
        <v>14349</v>
      </c>
      <c r="C2683" s="11" t="s">
        <v>14350</v>
      </c>
      <c r="D2683" s="11" t="s">
        <v>14350</v>
      </c>
      <c r="E2683" s="11" t="s">
        <v>14351</v>
      </c>
      <c r="F2683" s="11" t="s">
        <v>14241</v>
      </c>
      <c r="G2683" s="11" t="s">
        <v>14352</v>
      </c>
      <c r="H2683" s="11" t="s">
        <v>14353</v>
      </c>
      <c r="I2683" s="11" t="str">
        <f>HYPERLINK("http://pomme.it/","pomme.it")</f>
        <v>pomme.it</v>
      </c>
      <c r="J2683" s="12">
        <v>1371.607</v>
      </c>
      <c r="K2683" s="12">
        <v>1371.607</v>
      </c>
      <c r="L2683" s="13">
        <v>1351.2159999999999</v>
      </c>
      <c r="M2683" s="12">
        <v>-511.84100000000001</v>
      </c>
      <c r="N2683" s="12">
        <v>-511.84100000000001</v>
      </c>
      <c r="O2683" s="12">
        <v>-285.55700000000002</v>
      </c>
      <c r="P2683" s="12">
        <v>33</v>
      </c>
      <c r="Q2683" s="12">
        <v>33</v>
      </c>
      <c r="R2683" s="12">
        <v>39</v>
      </c>
    </row>
    <row r="2684" spans="1:18" ht="17" customHeight="1" x14ac:dyDescent="0.15">
      <c r="A2684" s="8" t="s">
        <v>14354</v>
      </c>
      <c r="B2684" s="9" t="s">
        <v>14355</v>
      </c>
      <c r="C2684" s="8" t="s">
        <v>14356</v>
      </c>
      <c r="D2684" s="8" t="s">
        <v>14356</v>
      </c>
      <c r="E2684" s="8" t="s">
        <v>14357</v>
      </c>
      <c r="F2684" s="8" t="s">
        <v>14247</v>
      </c>
      <c r="G2684" s="8" t="s">
        <v>14358</v>
      </c>
      <c r="H2684" s="8" t="s">
        <v>14230</v>
      </c>
      <c r="I2684" s="8" t="str">
        <f>HYPERLINK("http://www.gdslab.it/","www.gdslab.it")</f>
        <v>www.gdslab.it</v>
      </c>
      <c r="J2684" s="10">
        <v>1404.009</v>
      </c>
      <c r="K2684" s="10">
        <v>1404.009</v>
      </c>
      <c r="L2684" s="10">
        <v>1349.28</v>
      </c>
      <c r="M2684" s="10">
        <v>18.535</v>
      </c>
      <c r="N2684" s="10">
        <v>18.535</v>
      </c>
      <c r="O2684" s="10">
        <v>14.471</v>
      </c>
      <c r="P2684" s="15" t="s">
        <v>14231</v>
      </c>
      <c r="Q2684" s="15" t="s">
        <v>14231</v>
      </c>
      <c r="R2684" s="10">
        <v>16</v>
      </c>
    </row>
    <row r="2685" spans="1:18" ht="17" customHeight="1" x14ac:dyDescent="0.15">
      <c r="A2685" s="11" t="s">
        <v>14359</v>
      </c>
      <c r="B2685" s="1" t="s">
        <v>14360</v>
      </c>
      <c r="C2685" s="11" t="s">
        <v>14361</v>
      </c>
      <c r="D2685" s="11" t="s">
        <v>14361</v>
      </c>
      <c r="E2685" s="11" t="s">
        <v>14362</v>
      </c>
      <c r="F2685" s="11" t="s">
        <v>14363</v>
      </c>
      <c r="G2685" s="11" t="s">
        <v>14364</v>
      </c>
      <c r="H2685" s="11" t="s">
        <v>14276</v>
      </c>
      <c r="I2685" s="11" t="str">
        <f>HYPERLINK("http://www.girardi.net/","www.girardi.net")</f>
        <v>www.girardi.net</v>
      </c>
      <c r="J2685" s="12">
        <v>1342.712</v>
      </c>
      <c r="K2685" s="12">
        <v>1342.712</v>
      </c>
      <c r="L2685" s="13">
        <v>1348.56</v>
      </c>
      <c r="M2685" s="12">
        <v>-41.365000000000002</v>
      </c>
      <c r="N2685" s="12">
        <v>-41.365000000000002</v>
      </c>
      <c r="O2685" s="12">
        <v>-87.007000000000005</v>
      </c>
      <c r="P2685" s="12">
        <v>12</v>
      </c>
      <c r="Q2685" s="12">
        <v>12</v>
      </c>
      <c r="R2685" s="12">
        <v>12</v>
      </c>
    </row>
    <row r="2686" spans="1:18" ht="29.5" customHeight="1" x14ac:dyDescent="0.15">
      <c r="A2686" s="8" t="s">
        <v>14365</v>
      </c>
      <c r="B2686" s="9" t="s">
        <v>14366</v>
      </c>
      <c r="C2686" s="8" t="s">
        <v>14367</v>
      </c>
      <c r="D2686" s="8" t="s">
        <v>14367</v>
      </c>
      <c r="E2686" s="8" t="s">
        <v>14368</v>
      </c>
      <c r="F2686" s="8" t="s">
        <v>14216</v>
      </c>
      <c r="G2686" s="8" t="s">
        <v>14210</v>
      </c>
      <c r="H2686" s="8" t="s">
        <v>14211</v>
      </c>
      <c r="I2686" s="8" t="str">
        <f>HYPERLINK("http://www.conceriabertoldi.com/","http://www.conceriabertoldi.com")</f>
        <v>http://www.conceriabertoldi.com</v>
      </c>
      <c r="J2686" s="10">
        <v>1563.527</v>
      </c>
      <c r="K2686" s="10">
        <v>1563.527</v>
      </c>
      <c r="L2686" s="10">
        <v>1346.759</v>
      </c>
      <c r="M2686" s="10">
        <v>42.652000000000001</v>
      </c>
      <c r="N2686" s="10">
        <v>42.652000000000001</v>
      </c>
      <c r="O2686" s="10">
        <v>64.5</v>
      </c>
      <c r="P2686" s="10">
        <v>2</v>
      </c>
      <c r="Q2686" s="10">
        <v>2</v>
      </c>
      <c r="R2686" s="10">
        <v>2</v>
      </c>
    </row>
    <row r="2687" spans="1:18" ht="17" customHeight="1" x14ac:dyDescent="0.15">
      <c r="A2687" s="11" t="s">
        <v>14369</v>
      </c>
      <c r="B2687" s="1" t="s">
        <v>14370</v>
      </c>
      <c r="C2687" s="11" t="s">
        <v>14371</v>
      </c>
      <c r="D2687" s="11" t="s">
        <v>14371</v>
      </c>
      <c r="E2687" s="11" t="s">
        <v>14372</v>
      </c>
      <c r="F2687" s="11" t="s">
        <v>14241</v>
      </c>
      <c r="G2687" s="11" t="s">
        <v>14373</v>
      </c>
      <c r="H2687" s="11" t="s">
        <v>14223</v>
      </c>
      <c r="I2687" s="11" t="str">
        <f>HYPERLINK("http://ggconfezioni.com/","ggconfezioni.com")</f>
        <v>ggconfezioni.com</v>
      </c>
      <c r="J2687" s="12">
        <v>1148.422</v>
      </c>
      <c r="K2687" s="12">
        <v>1148.422</v>
      </c>
      <c r="L2687" s="13">
        <v>1346.528</v>
      </c>
      <c r="M2687" s="12">
        <v>40.630000000000003</v>
      </c>
      <c r="N2687" s="12">
        <v>40.630000000000003</v>
      </c>
      <c r="O2687" s="12">
        <v>35.277000000000001</v>
      </c>
      <c r="P2687" s="12">
        <v>5</v>
      </c>
      <c r="Q2687" s="12">
        <v>5</v>
      </c>
      <c r="R2687" s="12">
        <v>5</v>
      </c>
    </row>
    <row r="2688" spans="1:18" ht="17" customHeight="1" x14ac:dyDescent="0.15">
      <c r="A2688" s="8" t="s">
        <v>14374</v>
      </c>
      <c r="B2688" s="9" t="s">
        <v>14375</v>
      </c>
      <c r="C2688" s="8" t="s">
        <v>14376</v>
      </c>
      <c r="D2688" s="8" t="s">
        <v>14376</v>
      </c>
      <c r="E2688" s="8" t="s">
        <v>14377</v>
      </c>
      <c r="F2688" s="8" t="s">
        <v>14287</v>
      </c>
      <c r="G2688" s="8" t="s">
        <v>14338</v>
      </c>
      <c r="H2688" s="8" t="s">
        <v>14339</v>
      </c>
      <c r="I2688" s="8" t="str">
        <f>HYPERLINK("http://www.inlinesrl.it/","www.inlinesrl.it")</f>
        <v>www.inlinesrl.it</v>
      </c>
      <c r="J2688" s="10">
        <v>1590.076</v>
      </c>
      <c r="K2688" s="10">
        <v>1590.076</v>
      </c>
      <c r="L2688" s="10">
        <v>1346.259</v>
      </c>
      <c r="M2688" s="10">
        <v>111.26600000000001</v>
      </c>
      <c r="N2688" s="10">
        <v>111.26600000000001</v>
      </c>
      <c r="O2688" s="10">
        <v>64.497</v>
      </c>
      <c r="P2688" s="10">
        <v>9</v>
      </c>
      <c r="Q2688" s="10">
        <v>9</v>
      </c>
      <c r="R2688" s="10">
        <v>4</v>
      </c>
    </row>
    <row r="2689" spans="1:18" ht="17" customHeight="1" x14ac:dyDescent="0.15">
      <c r="A2689" s="11" t="s">
        <v>14378</v>
      </c>
      <c r="B2689" s="1" t="s">
        <v>14379</v>
      </c>
      <c r="C2689" s="11" t="s">
        <v>14380</v>
      </c>
      <c r="D2689" s="11" t="s">
        <v>14380</v>
      </c>
      <c r="E2689" s="11" t="s">
        <v>14381</v>
      </c>
      <c r="F2689" s="11" t="s">
        <v>14382</v>
      </c>
      <c r="G2689" s="11" t="s">
        <v>14383</v>
      </c>
      <c r="H2689" s="11" t="s">
        <v>14384</v>
      </c>
      <c r="I2689" s="11" t="str">
        <f>HYPERLINK("http://www.pellicceriaarcella.it/","www.pellicceriaarcella.it")</f>
        <v>www.pellicceriaarcella.it</v>
      </c>
      <c r="J2689" s="12">
        <v>1556.9870000000001</v>
      </c>
      <c r="K2689" s="12">
        <v>1556.9870000000001</v>
      </c>
      <c r="L2689" s="13">
        <v>1343.4870000000001</v>
      </c>
      <c r="M2689" s="12">
        <v>51.506</v>
      </c>
      <c r="N2689" s="12">
        <v>51.506</v>
      </c>
      <c r="O2689" s="12">
        <v>22.023</v>
      </c>
      <c r="P2689" s="14" t="s">
        <v>14385</v>
      </c>
      <c r="Q2689" s="14" t="s">
        <v>14385</v>
      </c>
      <c r="R2689" s="12">
        <v>5</v>
      </c>
    </row>
    <row r="2690" spans="1:18" ht="17" customHeight="1" x14ac:dyDescent="0.15">
      <c r="A2690" s="8" t="s">
        <v>14386</v>
      </c>
      <c r="B2690" s="9" t="s">
        <v>14387</v>
      </c>
      <c r="C2690" s="8" t="s">
        <v>14388</v>
      </c>
      <c r="D2690" s="8" t="s">
        <v>14388</v>
      </c>
      <c r="E2690" s="8" t="s">
        <v>14389</v>
      </c>
      <c r="F2690" s="8" t="s">
        <v>14390</v>
      </c>
      <c r="G2690" s="8" t="s">
        <v>14391</v>
      </c>
      <c r="H2690" s="8" t="s">
        <v>14392</v>
      </c>
      <c r="I2690" s="8" t="str">
        <f>HYPERLINK("http://www.conceria-alpaca.it/","www.conceria-alpaca.it")</f>
        <v>www.conceria-alpaca.it</v>
      </c>
      <c r="J2690" s="10">
        <v>1378.3119999999999</v>
      </c>
      <c r="K2690" s="10">
        <v>1378.3119999999999</v>
      </c>
      <c r="L2690" s="10">
        <v>1343.2049999999999</v>
      </c>
      <c r="M2690" s="10">
        <v>37.045999999999999</v>
      </c>
      <c r="N2690" s="10">
        <v>37.045999999999999</v>
      </c>
      <c r="O2690" s="10">
        <v>23.939</v>
      </c>
      <c r="P2690" s="10">
        <v>3</v>
      </c>
      <c r="Q2690" s="10">
        <v>3</v>
      </c>
      <c r="R2690" s="10">
        <v>3</v>
      </c>
    </row>
    <row r="2691" spans="1:18" ht="29.5" customHeight="1" x14ac:dyDescent="0.15">
      <c r="A2691" s="11" t="s">
        <v>14393</v>
      </c>
      <c r="B2691" s="1" t="s">
        <v>14394</v>
      </c>
      <c r="C2691" s="11" t="s">
        <v>14395</v>
      </c>
      <c r="D2691" s="11" t="s">
        <v>14395</v>
      </c>
      <c r="E2691" s="11" t="s">
        <v>14396</v>
      </c>
      <c r="F2691" s="11" t="s">
        <v>14397</v>
      </c>
      <c r="G2691" s="11" t="s">
        <v>14398</v>
      </c>
      <c r="H2691" s="11" t="s">
        <v>14399</v>
      </c>
      <c r="I2691" s="11" t="str">
        <f>HYPERLINK("http://clcalzaturificio.it/","clcalzaturificio.it")</f>
        <v>clcalzaturificio.it</v>
      </c>
      <c r="J2691" s="12">
        <v>1374.921</v>
      </c>
      <c r="K2691" s="12">
        <v>1374.921</v>
      </c>
      <c r="L2691" s="13">
        <v>1342.7170000000001</v>
      </c>
      <c r="M2691" s="12">
        <v>130.09</v>
      </c>
      <c r="N2691" s="12">
        <v>130.09</v>
      </c>
      <c r="O2691" s="12">
        <v>9.157</v>
      </c>
      <c r="P2691" s="14" t="s">
        <v>14385</v>
      </c>
      <c r="Q2691" s="14" t="s">
        <v>14385</v>
      </c>
      <c r="R2691" s="12">
        <v>15</v>
      </c>
    </row>
    <row r="2692" spans="1:18" ht="17" customHeight="1" x14ac:dyDescent="0.15">
      <c r="A2692" s="8" t="s">
        <v>14400</v>
      </c>
      <c r="B2692" s="9" t="s">
        <v>14401</v>
      </c>
      <c r="C2692" s="8" t="s">
        <v>14402</v>
      </c>
      <c r="D2692" s="8" t="s">
        <v>14402</v>
      </c>
      <c r="E2692" s="8" t="s">
        <v>14403</v>
      </c>
      <c r="F2692" s="8" t="s">
        <v>14397</v>
      </c>
      <c r="G2692" s="8" t="s">
        <v>14404</v>
      </c>
      <c r="H2692" s="8" t="s">
        <v>14392</v>
      </c>
      <c r="I2692" s="8" t="str">
        <f>HYPERLINK("http://www.lereginedelforte.com/","www.lereginedelforte.com")</f>
        <v>www.lereginedelforte.com</v>
      </c>
      <c r="J2692" s="10">
        <v>1749.2070000000001</v>
      </c>
      <c r="K2692" s="10">
        <v>1749.2070000000001</v>
      </c>
      <c r="L2692" s="10">
        <v>1342.203</v>
      </c>
      <c r="M2692" s="10">
        <v>16.64</v>
      </c>
      <c r="N2692" s="10">
        <v>16.64</v>
      </c>
      <c r="O2692" s="10">
        <v>41.183999999999997</v>
      </c>
      <c r="P2692" s="15" t="s">
        <v>14385</v>
      </c>
      <c r="Q2692" s="15" t="s">
        <v>14385</v>
      </c>
      <c r="R2692" s="10">
        <v>11</v>
      </c>
    </row>
    <row r="2693" spans="1:18" ht="17" customHeight="1" x14ac:dyDescent="0.15">
      <c r="A2693" s="11" t="s">
        <v>14405</v>
      </c>
      <c r="B2693" s="1" t="s">
        <v>14406</v>
      </c>
      <c r="C2693" s="11" t="s">
        <v>14407</v>
      </c>
      <c r="D2693" s="11" t="s">
        <v>14407</v>
      </c>
      <c r="E2693" s="11" t="s">
        <v>14408</v>
      </c>
      <c r="F2693" s="11" t="s">
        <v>14409</v>
      </c>
      <c r="G2693" s="11" t="s">
        <v>14410</v>
      </c>
      <c r="H2693" s="11" t="s">
        <v>14411</v>
      </c>
      <c r="I2693" s="11" t="str">
        <f>HYPERLINK("http://www.suolificiogalletti.it/","www.suolificiogalletti.it")</f>
        <v>www.suolificiogalletti.it</v>
      </c>
      <c r="J2693" s="12">
        <v>1615.3150000000001</v>
      </c>
      <c r="K2693" s="12">
        <v>1615.3150000000001</v>
      </c>
      <c r="L2693" s="13">
        <v>1340.729</v>
      </c>
      <c r="M2693" s="12">
        <v>43.573</v>
      </c>
      <c r="N2693" s="12">
        <v>43.573</v>
      </c>
      <c r="O2693" s="12">
        <v>32.042999999999999</v>
      </c>
      <c r="P2693" s="12">
        <v>12</v>
      </c>
      <c r="Q2693" s="12">
        <v>12</v>
      </c>
      <c r="R2693" s="12">
        <v>9</v>
      </c>
    </row>
    <row r="2694" spans="1:18" ht="17" customHeight="1" x14ac:dyDescent="0.15">
      <c r="A2694" s="8" t="s">
        <v>14412</v>
      </c>
      <c r="B2694" s="9" t="s">
        <v>14413</v>
      </c>
      <c r="C2694" s="8" t="s">
        <v>14414</v>
      </c>
      <c r="D2694" s="8" t="s">
        <v>14414</v>
      </c>
      <c r="E2694" s="8" t="s">
        <v>14415</v>
      </c>
      <c r="F2694" s="8" t="s">
        <v>14416</v>
      </c>
      <c r="G2694" s="8" t="s">
        <v>14417</v>
      </c>
      <c r="H2694" s="8" t="s">
        <v>14418</v>
      </c>
      <c r="I2694" s="8" t="str">
        <f>HYPERLINK("http://www.projectsrl.org/","www.projectsrl.org")</f>
        <v>www.projectsrl.org</v>
      </c>
      <c r="J2694" s="10">
        <v>1160.1949999999999</v>
      </c>
      <c r="K2694" s="10">
        <v>1160.1949999999999</v>
      </c>
      <c r="L2694" s="10">
        <v>1339.1980000000001</v>
      </c>
      <c r="M2694" s="10">
        <v>21.067</v>
      </c>
      <c r="N2694" s="10">
        <v>21.067</v>
      </c>
      <c r="O2694" s="10">
        <v>15.209</v>
      </c>
      <c r="P2694" s="10">
        <v>4</v>
      </c>
      <c r="Q2694" s="10">
        <v>4</v>
      </c>
      <c r="R2694" s="10">
        <v>5</v>
      </c>
    </row>
    <row r="2695" spans="1:18" ht="17" customHeight="1" x14ac:dyDescent="0.15">
      <c r="A2695" s="11" t="s">
        <v>14419</v>
      </c>
      <c r="B2695" s="1" t="s">
        <v>14420</v>
      </c>
      <c r="C2695" s="11" t="s">
        <v>14421</v>
      </c>
      <c r="D2695" s="11" t="s">
        <v>14421</v>
      </c>
      <c r="E2695" s="11" t="s">
        <v>14422</v>
      </c>
      <c r="F2695" s="11" t="s">
        <v>14416</v>
      </c>
      <c r="G2695" s="11" t="s">
        <v>14423</v>
      </c>
      <c r="H2695" s="11" t="s">
        <v>14411</v>
      </c>
      <c r="I2695" s="11" t="str">
        <f>HYPERLINK("http://www.babygraziella.it/","www.babygraziella.it")</f>
        <v>www.babygraziella.it</v>
      </c>
      <c r="J2695" s="12">
        <v>1370.8030000000001</v>
      </c>
      <c r="K2695" s="12">
        <v>1370.8030000000001</v>
      </c>
      <c r="L2695" s="13">
        <v>1336.73</v>
      </c>
      <c r="M2695" s="12">
        <v>-1.4119999999999999</v>
      </c>
      <c r="N2695" s="12">
        <v>-1.4119999999999999</v>
      </c>
      <c r="O2695" s="12">
        <v>1.56</v>
      </c>
      <c r="P2695" s="12">
        <v>12</v>
      </c>
      <c r="Q2695" s="12">
        <v>12</v>
      </c>
      <c r="R2695" s="12">
        <v>12</v>
      </c>
    </row>
    <row r="2696" spans="1:18" ht="17" customHeight="1" x14ac:dyDescent="0.15">
      <c r="A2696" s="8" t="s">
        <v>14424</v>
      </c>
      <c r="B2696" s="9" t="s">
        <v>14425</v>
      </c>
      <c r="C2696" s="8" t="s">
        <v>14426</v>
      </c>
      <c r="D2696" s="8" t="s">
        <v>14426</v>
      </c>
      <c r="E2696" s="8" t="s">
        <v>14427</v>
      </c>
      <c r="F2696" s="8" t="s">
        <v>14428</v>
      </c>
      <c r="G2696" s="8" t="s">
        <v>14429</v>
      </c>
      <c r="H2696" s="8" t="s">
        <v>14430</v>
      </c>
      <c r="I2696" s="8" t="str">
        <f>HYPERLINK("http://www.tsfsrl.com/","www.tsfsrl.com")</f>
        <v>www.tsfsrl.com</v>
      </c>
      <c r="J2696" s="10">
        <v>1511.5309999999999</v>
      </c>
      <c r="K2696" s="10">
        <v>1511.5309999999999</v>
      </c>
      <c r="L2696" s="10">
        <v>1335.6990000000001</v>
      </c>
      <c r="M2696" s="10">
        <v>16.891999999999999</v>
      </c>
      <c r="N2696" s="10">
        <v>16.891999999999999</v>
      </c>
      <c r="O2696" s="10">
        <v>2.2690000000000001</v>
      </c>
      <c r="P2696" s="10">
        <v>5</v>
      </c>
      <c r="Q2696" s="10">
        <v>5</v>
      </c>
      <c r="R2696" s="10">
        <v>4</v>
      </c>
    </row>
    <row r="2697" spans="1:18" ht="17" customHeight="1" x14ac:dyDescent="0.15">
      <c r="A2697" s="11" t="s">
        <v>14431</v>
      </c>
      <c r="B2697" s="1" t="s">
        <v>14432</v>
      </c>
      <c r="C2697" s="11" t="s">
        <v>14433</v>
      </c>
      <c r="D2697" s="11" t="s">
        <v>14433</v>
      </c>
      <c r="E2697" s="11" t="s">
        <v>14434</v>
      </c>
      <c r="F2697" s="11" t="s">
        <v>14435</v>
      </c>
      <c r="G2697" s="11" t="s">
        <v>14391</v>
      </c>
      <c r="H2697" s="11" t="s">
        <v>14392</v>
      </c>
      <c r="I2697" s="11" t="str">
        <f>HYPERLINK("http://www.laborsrl.org/","www.laborsrl.org")</f>
        <v>www.laborsrl.org</v>
      </c>
      <c r="J2697" s="12">
        <v>1069.0840000000001</v>
      </c>
      <c r="K2697" s="12">
        <v>1069.0840000000001</v>
      </c>
      <c r="L2697" s="13">
        <v>1334.796</v>
      </c>
      <c r="M2697" s="12">
        <v>67.995999999999995</v>
      </c>
      <c r="N2697" s="12">
        <v>67.995999999999995</v>
      </c>
      <c r="O2697" s="12">
        <v>119.822</v>
      </c>
      <c r="P2697" s="12">
        <v>6</v>
      </c>
      <c r="Q2697" s="12">
        <v>6</v>
      </c>
      <c r="R2697" s="12">
        <v>6</v>
      </c>
    </row>
    <row r="2698" spans="1:18" ht="17" customHeight="1" x14ac:dyDescent="0.15">
      <c r="A2698" s="8" t="s">
        <v>14436</v>
      </c>
      <c r="B2698" s="9" t="s">
        <v>14437</v>
      </c>
      <c r="C2698" s="8" t="s">
        <v>14438</v>
      </c>
      <c r="D2698" s="8" t="s">
        <v>14438</v>
      </c>
      <c r="E2698" s="8" t="s">
        <v>14439</v>
      </c>
      <c r="F2698" s="8" t="s">
        <v>14440</v>
      </c>
      <c r="G2698" s="8" t="s">
        <v>14441</v>
      </c>
      <c r="H2698" s="8" t="s">
        <v>14442</v>
      </c>
      <c r="I2698" s="8" t="str">
        <f>HYPERLINK("http://leabruni.it/","leabruni.it")</f>
        <v>leabruni.it</v>
      </c>
      <c r="J2698" s="10">
        <v>2281.0990000000002</v>
      </c>
      <c r="K2698" s="10">
        <v>2281.0990000000002</v>
      </c>
      <c r="L2698" s="10">
        <v>1331.617</v>
      </c>
      <c r="M2698" s="10">
        <v>110.78100000000001</v>
      </c>
      <c r="N2698" s="10">
        <v>110.78100000000001</v>
      </c>
      <c r="O2698" s="10">
        <v>-27.038</v>
      </c>
      <c r="P2698" s="10">
        <v>8</v>
      </c>
      <c r="Q2698" s="10">
        <v>8</v>
      </c>
      <c r="R2698" s="10">
        <v>8</v>
      </c>
    </row>
    <row r="2699" spans="1:18" ht="17" customHeight="1" x14ac:dyDescent="0.15">
      <c r="A2699" s="11" t="s">
        <v>14443</v>
      </c>
      <c r="B2699" s="1" t="s">
        <v>14444</v>
      </c>
      <c r="C2699" s="11" t="s">
        <v>14445</v>
      </c>
      <c r="D2699" s="11" t="s">
        <v>14445</v>
      </c>
      <c r="E2699" s="11" t="s">
        <v>14446</v>
      </c>
      <c r="F2699" s="11" t="s">
        <v>14409</v>
      </c>
      <c r="G2699" s="11" t="s">
        <v>14410</v>
      </c>
      <c r="H2699" s="11" t="s">
        <v>14411</v>
      </c>
      <c r="I2699" s="11" t="str">
        <f>HYPERLINK("http://www.mafsrl.net/","www.mafsrl.net")</f>
        <v>www.mafsrl.net</v>
      </c>
      <c r="J2699" s="12">
        <v>1096.2090000000001</v>
      </c>
      <c r="K2699" s="12">
        <v>1096.2090000000001</v>
      </c>
      <c r="L2699" s="13">
        <v>1330.8150000000001</v>
      </c>
      <c r="M2699" s="12">
        <v>71.950999999999993</v>
      </c>
      <c r="N2699" s="12">
        <v>71.950999999999993</v>
      </c>
      <c r="O2699" s="12">
        <v>83.707999999999998</v>
      </c>
      <c r="P2699" s="12">
        <v>14</v>
      </c>
      <c r="Q2699" s="12">
        <v>14</v>
      </c>
      <c r="R2699" s="12">
        <v>15</v>
      </c>
    </row>
    <row r="2700" spans="1:18" ht="17" customHeight="1" x14ac:dyDescent="0.15">
      <c r="A2700" s="8" t="s">
        <v>14447</v>
      </c>
      <c r="B2700" s="9" t="s">
        <v>14448</v>
      </c>
      <c r="C2700" s="8" t="s">
        <v>14449</v>
      </c>
      <c r="D2700" s="8" t="s">
        <v>14449</v>
      </c>
      <c r="E2700" s="8" t="s">
        <v>14450</v>
      </c>
      <c r="F2700" s="8" t="s">
        <v>14440</v>
      </c>
      <c r="G2700" s="8" t="s">
        <v>14451</v>
      </c>
      <c r="H2700" s="8" t="s">
        <v>14430</v>
      </c>
      <c r="I2700" s="8" t="str">
        <f>HYPERLINK("http://angysix.com/","angysix.com")</f>
        <v>angysix.com</v>
      </c>
      <c r="J2700" s="10">
        <v>1106.384</v>
      </c>
      <c r="K2700" s="10">
        <v>1106.384</v>
      </c>
      <c r="L2700" s="10">
        <v>1330.442</v>
      </c>
      <c r="M2700" s="10">
        <v>-569.87900000000002</v>
      </c>
      <c r="N2700" s="10">
        <v>-569.87900000000002</v>
      </c>
      <c r="O2700" s="10">
        <v>-194.524</v>
      </c>
      <c r="P2700" s="10">
        <v>9</v>
      </c>
      <c r="Q2700" s="10">
        <v>9</v>
      </c>
      <c r="R2700" s="10">
        <v>16</v>
      </c>
    </row>
    <row r="2701" spans="1:18" ht="17" customHeight="1" x14ac:dyDescent="0.15">
      <c r="A2701" s="11" t="s">
        <v>14452</v>
      </c>
      <c r="B2701" s="1" t="s">
        <v>14453</v>
      </c>
      <c r="C2701" s="11" t="s">
        <v>14454</v>
      </c>
      <c r="D2701" s="11" t="s">
        <v>14454</v>
      </c>
      <c r="E2701" s="11" t="s">
        <v>14455</v>
      </c>
      <c r="F2701" s="11" t="s">
        <v>14440</v>
      </c>
      <c r="G2701" s="11" t="s">
        <v>14456</v>
      </c>
      <c r="H2701" s="11" t="s">
        <v>14457</v>
      </c>
      <c r="I2701" s="11" t="str">
        <f>HYPERLINK("http://www.italkids.it/","www.italkids.it")</f>
        <v>www.italkids.it</v>
      </c>
      <c r="J2701" s="12">
        <v>1404.395</v>
      </c>
      <c r="K2701" s="12">
        <v>1404.395</v>
      </c>
      <c r="L2701" s="13">
        <v>1329.402</v>
      </c>
      <c r="M2701" s="12">
        <v>157.042</v>
      </c>
      <c r="N2701" s="12">
        <v>157.042</v>
      </c>
      <c r="O2701" s="12">
        <v>171.83600000000001</v>
      </c>
      <c r="P2701" s="14" t="s">
        <v>14385</v>
      </c>
      <c r="Q2701" s="14" t="s">
        <v>14385</v>
      </c>
      <c r="R2701" s="12">
        <v>11</v>
      </c>
    </row>
    <row r="2702" spans="1:18" ht="17" customHeight="1" x14ac:dyDescent="0.15">
      <c r="A2702" s="8" t="s">
        <v>14458</v>
      </c>
      <c r="B2702" s="9" t="s">
        <v>14459</v>
      </c>
      <c r="C2702" s="8" t="s">
        <v>14460</v>
      </c>
      <c r="D2702" s="8" t="s">
        <v>14460</v>
      </c>
      <c r="E2702" s="8" t="s">
        <v>14461</v>
      </c>
      <c r="F2702" s="8" t="s">
        <v>14440</v>
      </c>
      <c r="G2702" s="8" t="s">
        <v>14462</v>
      </c>
      <c r="H2702" s="8" t="s">
        <v>14457</v>
      </c>
      <c r="I2702" s="8" t="str">
        <f>HYPERLINK("http://bottegadalmut.com/","bottegadalmut.com")</f>
        <v>bottegadalmut.com</v>
      </c>
      <c r="J2702" s="10">
        <v>1864.1030000000001</v>
      </c>
      <c r="K2702" s="10">
        <v>1864.1030000000001</v>
      </c>
      <c r="L2702" s="10">
        <v>1327.8610000000001</v>
      </c>
      <c r="M2702" s="10">
        <v>11.952</v>
      </c>
      <c r="N2702" s="10">
        <v>11.952</v>
      </c>
      <c r="O2702" s="10">
        <v>38.081000000000003</v>
      </c>
      <c r="P2702" s="10">
        <v>14</v>
      </c>
      <c r="Q2702" s="10">
        <v>14</v>
      </c>
      <c r="R2702" s="10">
        <v>9</v>
      </c>
    </row>
    <row r="2703" spans="1:18" ht="17" customHeight="1" x14ac:dyDescent="0.15">
      <c r="A2703" s="11" t="s">
        <v>14463</v>
      </c>
      <c r="B2703" s="1" t="s">
        <v>14464</v>
      </c>
      <c r="C2703" s="11" t="s">
        <v>14465</v>
      </c>
      <c r="D2703" s="11" t="s">
        <v>14465</v>
      </c>
      <c r="E2703" s="11" t="s">
        <v>14466</v>
      </c>
      <c r="F2703" s="11" t="s">
        <v>14416</v>
      </c>
      <c r="G2703" s="11" t="s">
        <v>14417</v>
      </c>
      <c r="H2703" s="11" t="s">
        <v>14418</v>
      </c>
      <c r="I2703" s="11" t="str">
        <f>HYPERLINK("http://bark-italy.com/","bark-italy.com")</f>
        <v>bark-italy.com</v>
      </c>
      <c r="J2703" s="12">
        <v>1251.9010000000001</v>
      </c>
      <c r="K2703" s="12">
        <v>1251.9010000000001</v>
      </c>
      <c r="L2703" s="13">
        <v>1325.9590000000001</v>
      </c>
      <c r="M2703" s="12">
        <v>20.492000000000001</v>
      </c>
      <c r="N2703" s="12">
        <v>20.492000000000001</v>
      </c>
      <c r="O2703" s="12">
        <v>23.035</v>
      </c>
      <c r="P2703" s="12">
        <v>3</v>
      </c>
      <c r="Q2703" s="12">
        <v>3</v>
      </c>
      <c r="R2703" s="12">
        <v>3</v>
      </c>
    </row>
    <row r="2704" spans="1:18" ht="29.5" customHeight="1" x14ac:dyDescent="0.15">
      <c r="A2704" s="8" t="s">
        <v>14467</v>
      </c>
      <c r="B2704" s="9" t="s">
        <v>14468</v>
      </c>
      <c r="C2704" s="8" t="s">
        <v>14469</v>
      </c>
      <c r="D2704" s="8" t="s">
        <v>14469</v>
      </c>
      <c r="E2704" s="8" t="s">
        <v>14470</v>
      </c>
      <c r="F2704" s="8" t="s">
        <v>14382</v>
      </c>
      <c r="G2704" s="8" t="s">
        <v>14423</v>
      </c>
      <c r="H2704" s="8" t="s">
        <v>14411</v>
      </c>
      <c r="I2704" s="8" t="str">
        <f>HYPERLINK("http://www.altile.it/","www.altile.it")</f>
        <v>www.altile.it</v>
      </c>
      <c r="J2704" s="10">
        <v>1172.404</v>
      </c>
      <c r="K2704" s="10">
        <v>1172.404</v>
      </c>
      <c r="L2704" s="10">
        <v>1324.9960000000001</v>
      </c>
      <c r="M2704" s="10">
        <v>2.6080000000000001</v>
      </c>
      <c r="N2704" s="10">
        <v>2.6080000000000001</v>
      </c>
      <c r="O2704" s="10">
        <v>113.62</v>
      </c>
      <c r="P2704" s="10">
        <v>20</v>
      </c>
      <c r="Q2704" s="10">
        <v>20</v>
      </c>
      <c r="R2704" s="10">
        <v>18</v>
      </c>
    </row>
    <row r="2705" spans="1:18" ht="17" customHeight="1" x14ac:dyDescent="0.15">
      <c r="A2705" s="11" t="s">
        <v>14471</v>
      </c>
      <c r="B2705" s="1" t="s">
        <v>14472</v>
      </c>
      <c r="C2705" s="11" t="s">
        <v>14473</v>
      </c>
      <c r="D2705" s="11" t="s">
        <v>14473</v>
      </c>
      <c r="E2705" s="11" t="s">
        <v>14474</v>
      </c>
      <c r="F2705" s="11" t="s">
        <v>14440</v>
      </c>
      <c r="G2705" s="11" t="s">
        <v>14475</v>
      </c>
      <c r="H2705" s="11" t="s">
        <v>14411</v>
      </c>
      <c r="I2705" s="11" t="str">
        <f>HYPERLINK("http://www.acquasarta.it/","www.acquasarta.it")</f>
        <v>www.acquasarta.it</v>
      </c>
      <c r="J2705" s="12">
        <v>1597.98</v>
      </c>
      <c r="K2705" s="12">
        <v>1597.98</v>
      </c>
      <c r="L2705" s="13">
        <v>1324.664</v>
      </c>
      <c r="M2705" s="12">
        <v>50.912999999999997</v>
      </c>
      <c r="N2705" s="12">
        <v>50.912999999999997</v>
      </c>
      <c r="O2705" s="12">
        <v>55.917999999999999</v>
      </c>
      <c r="P2705" s="12">
        <v>21</v>
      </c>
      <c r="Q2705" s="12">
        <v>21</v>
      </c>
      <c r="R2705" s="12">
        <v>21</v>
      </c>
    </row>
    <row r="2706" spans="1:18" ht="17" customHeight="1" x14ac:dyDescent="0.15">
      <c r="A2706" s="8" t="s">
        <v>14476</v>
      </c>
      <c r="B2706" s="9" t="s">
        <v>14477</v>
      </c>
      <c r="C2706" s="8" t="s">
        <v>14478</v>
      </c>
      <c r="D2706" s="8" t="s">
        <v>14478</v>
      </c>
      <c r="E2706" s="8" t="s">
        <v>14479</v>
      </c>
      <c r="F2706" s="8" t="s">
        <v>14480</v>
      </c>
      <c r="G2706" s="8" t="s">
        <v>14481</v>
      </c>
      <c r="H2706" s="8" t="s">
        <v>14392</v>
      </c>
      <c r="I2706" s="8" t="str">
        <f>HYPERLINK("http://www.everfashion.it/","www.everfashion.it")</f>
        <v>www.everfashion.it</v>
      </c>
      <c r="J2706" s="10">
        <v>1089.6980000000001</v>
      </c>
      <c r="K2706" s="10">
        <v>1089.6980000000001</v>
      </c>
      <c r="L2706" s="10">
        <v>1324.732</v>
      </c>
      <c r="M2706" s="10">
        <v>1.3720000000000001</v>
      </c>
      <c r="N2706" s="10">
        <v>1.3720000000000001</v>
      </c>
      <c r="O2706" s="10">
        <v>3.6480000000000001</v>
      </c>
      <c r="P2706" s="10">
        <v>1</v>
      </c>
      <c r="Q2706" s="10">
        <v>1</v>
      </c>
      <c r="R2706" s="10">
        <v>1</v>
      </c>
    </row>
    <row r="2707" spans="1:18" ht="17" customHeight="1" x14ac:dyDescent="0.15">
      <c r="A2707" s="11" t="s">
        <v>14482</v>
      </c>
      <c r="B2707" s="1" t="s">
        <v>14483</v>
      </c>
      <c r="C2707" s="11" t="s">
        <v>14484</v>
      </c>
      <c r="D2707" s="11" t="s">
        <v>14485</v>
      </c>
      <c r="E2707" s="11" t="s">
        <v>14486</v>
      </c>
      <c r="F2707" s="11" t="s">
        <v>14440</v>
      </c>
      <c r="G2707" s="11" t="s">
        <v>14487</v>
      </c>
      <c r="H2707" s="11" t="s">
        <v>14418</v>
      </c>
      <c r="I2707" s="11" t="str">
        <f>HYPERLINK("http://www.ennevu.com/","www.ennevu.com")</f>
        <v>www.ennevu.com</v>
      </c>
      <c r="J2707" s="12">
        <v>1611.3630000000001</v>
      </c>
      <c r="K2707" s="12">
        <v>1611.3630000000001</v>
      </c>
      <c r="L2707" s="13">
        <v>1323.989</v>
      </c>
      <c r="M2707" s="12">
        <v>66.64</v>
      </c>
      <c r="N2707" s="12">
        <v>66.64</v>
      </c>
      <c r="O2707" s="12">
        <v>5.4530000000000003</v>
      </c>
      <c r="P2707" s="12">
        <v>6</v>
      </c>
      <c r="Q2707" s="12">
        <v>6</v>
      </c>
      <c r="R2707" s="12">
        <v>6</v>
      </c>
    </row>
    <row r="2708" spans="1:18" ht="17" customHeight="1" x14ac:dyDescent="0.15">
      <c r="A2708" s="8" t="s">
        <v>14488</v>
      </c>
      <c r="B2708" s="9" t="s">
        <v>14489</v>
      </c>
      <c r="C2708" s="8" t="s">
        <v>14490</v>
      </c>
      <c r="D2708" s="8" t="s">
        <v>14491</v>
      </c>
      <c r="E2708" s="8" t="s">
        <v>14492</v>
      </c>
      <c r="F2708" s="8" t="s">
        <v>14493</v>
      </c>
      <c r="G2708" s="8" t="s">
        <v>14494</v>
      </c>
      <c r="H2708" s="8" t="s">
        <v>14399</v>
      </c>
      <c r="I2708" s="8" t="str">
        <f>HYPERLINK("http://www.aldocastagna.com/","www.aldocastagna.com")</f>
        <v>www.aldocastagna.com</v>
      </c>
      <c r="J2708" s="10">
        <v>1395.076</v>
      </c>
      <c r="K2708" s="10">
        <v>1395.076</v>
      </c>
      <c r="L2708" s="10">
        <v>1323.97</v>
      </c>
      <c r="M2708" s="10">
        <v>84.674999999999997</v>
      </c>
      <c r="N2708" s="10">
        <v>84.674999999999997</v>
      </c>
      <c r="O2708" s="10">
        <v>100.72799999999999</v>
      </c>
      <c r="P2708" s="10">
        <v>13</v>
      </c>
      <c r="Q2708" s="10">
        <v>13</v>
      </c>
      <c r="R2708" s="10">
        <v>12</v>
      </c>
    </row>
    <row r="2709" spans="1:18" ht="17" customHeight="1" x14ac:dyDescent="0.15">
      <c r="A2709" s="11" t="s">
        <v>14495</v>
      </c>
      <c r="B2709" s="1" t="s">
        <v>14496</v>
      </c>
      <c r="C2709" s="11" t="s">
        <v>14497</v>
      </c>
      <c r="D2709" s="11" t="s">
        <v>14497</v>
      </c>
      <c r="E2709" s="11" t="s">
        <v>14498</v>
      </c>
      <c r="F2709" s="11" t="s">
        <v>14480</v>
      </c>
      <c r="G2709" s="11" t="s">
        <v>14499</v>
      </c>
      <c r="H2709" s="11" t="s">
        <v>14442</v>
      </c>
      <c r="I2709" s="11" t="str">
        <f>HYPERLINK("http://www.chefworks.it/","www.chefworks.it")</f>
        <v>www.chefworks.it</v>
      </c>
      <c r="J2709" s="12">
        <v>1351.1210000000001</v>
      </c>
      <c r="K2709" s="12">
        <v>1351.1210000000001</v>
      </c>
      <c r="L2709" s="13">
        <v>1321.8620000000001</v>
      </c>
      <c r="M2709" s="12">
        <v>33.85</v>
      </c>
      <c r="N2709" s="12">
        <v>33.85</v>
      </c>
      <c r="O2709" s="12">
        <v>31.734000000000002</v>
      </c>
      <c r="P2709" s="12">
        <v>13</v>
      </c>
      <c r="Q2709" s="12">
        <v>13</v>
      </c>
      <c r="R2709" s="12">
        <v>17</v>
      </c>
    </row>
    <row r="2710" spans="1:18" ht="17" customHeight="1" x14ac:dyDescent="0.15">
      <c r="A2710" s="8" t="s">
        <v>14500</v>
      </c>
      <c r="B2710" s="9" t="s">
        <v>14501</v>
      </c>
      <c r="C2710" s="8" t="s">
        <v>14502</v>
      </c>
      <c r="D2710" s="8" t="s">
        <v>14502</v>
      </c>
      <c r="E2710" s="8" t="s">
        <v>14503</v>
      </c>
      <c r="F2710" s="8" t="s">
        <v>14504</v>
      </c>
      <c r="G2710" s="8" t="s">
        <v>14505</v>
      </c>
      <c r="H2710" s="8" t="s">
        <v>14392</v>
      </c>
      <c r="I2710" s="8" t="str">
        <f>HYPERLINK("http://www.confezionimanuela.com/","www.confezionimanuela.com")</f>
        <v>www.confezionimanuela.com</v>
      </c>
      <c r="J2710" s="10">
        <v>1074.741</v>
      </c>
      <c r="K2710" s="10">
        <v>1074.741</v>
      </c>
      <c r="L2710" s="10">
        <v>1321.46</v>
      </c>
      <c r="M2710" s="10">
        <v>2.456</v>
      </c>
      <c r="N2710" s="10">
        <v>2.456</v>
      </c>
      <c r="O2710" s="10">
        <v>2.331</v>
      </c>
      <c r="P2710" s="10">
        <v>5</v>
      </c>
      <c r="Q2710" s="10">
        <v>5</v>
      </c>
      <c r="R2710" s="10">
        <v>4</v>
      </c>
    </row>
    <row r="2711" spans="1:18" ht="17" customHeight="1" x14ac:dyDescent="0.15">
      <c r="A2711" s="11" t="s">
        <v>14506</v>
      </c>
      <c r="B2711" s="1" t="s">
        <v>14507</v>
      </c>
      <c r="C2711" s="11" t="s">
        <v>14508</v>
      </c>
      <c r="D2711" s="11" t="s">
        <v>14508</v>
      </c>
      <c r="E2711" s="11" t="s">
        <v>14509</v>
      </c>
      <c r="F2711" s="11" t="s">
        <v>14480</v>
      </c>
      <c r="G2711" s="11" t="s">
        <v>14510</v>
      </c>
      <c r="H2711" s="11" t="s">
        <v>14511</v>
      </c>
      <c r="I2711" s="11" t="str">
        <f>HYPERLINK("http://www.favresrl.it/","www.favresrl.it")</f>
        <v>www.favresrl.it</v>
      </c>
      <c r="J2711" s="12">
        <v>1578.2639999999999</v>
      </c>
      <c r="K2711" s="12">
        <v>1578.2639999999999</v>
      </c>
      <c r="L2711" s="13">
        <v>1318.09</v>
      </c>
      <c r="M2711" s="12">
        <v>7.8319999999999999</v>
      </c>
      <c r="N2711" s="12">
        <v>7.8319999999999999</v>
      </c>
      <c r="O2711" s="12">
        <v>3.3290000000000002</v>
      </c>
      <c r="P2711" s="14" t="s">
        <v>14385</v>
      </c>
      <c r="Q2711" s="14" t="s">
        <v>14385</v>
      </c>
      <c r="R2711" s="12">
        <v>28</v>
      </c>
    </row>
    <row r="2712" spans="1:18" ht="17" customHeight="1" x14ac:dyDescent="0.15">
      <c r="A2712" s="8" t="s">
        <v>14512</v>
      </c>
      <c r="B2712" s="9" t="s">
        <v>14513</v>
      </c>
      <c r="C2712" s="8" t="s">
        <v>14514</v>
      </c>
      <c r="D2712" s="8" t="s">
        <v>14514</v>
      </c>
      <c r="E2712" s="8" t="s">
        <v>14515</v>
      </c>
      <c r="F2712" s="8" t="s">
        <v>14397</v>
      </c>
      <c r="G2712" s="8" t="s">
        <v>14516</v>
      </c>
      <c r="H2712" s="8" t="s">
        <v>14384</v>
      </c>
      <c r="I2712" s="8" t="str">
        <f>HYPERLINK("http://orizo.it/","orizo.it")</f>
        <v>orizo.it</v>
      </c>
      <c r="J2712" s="10">
        <v>1239.134</v>
      </c>
      <c r="K2712" s="10">
        <v>1239.134</v>
      </c>
      <c r="L2712" s="10">
        <v>1317.91</v>
      </c>
      <c r="M2712" s="10">
        <v>-32.368000000000002</v>
      </c>
      <c r="N2712" s="10">
        <v>-32.368000000000002</v>
      </c>
      <c r="O2712" s="10">
        <v>-84.903000000000006</v>
      </c>
      <c r="P2712" s="10">
        <v>1</v>
      </c>
      <c r="Q2712" s="10">
        <v>1</v>
      </c>
      <c r="R2712" s="10">
        <v>5</v>
      </c>
    </row>
    <row r="2713" spans="1:18" ht="17" customHeight="1" x14ac:dyDescent="0.15">
      <c r="A2713" s="11" t="s">
        <v>14517</v>
      </c>
      <c r="B2713" s="1" t="s">
        <v>14518</v>
      </c>
      <c r="C2713" s="11" t="s">
        <v>14519</v>
      </c>
      <c r="D2713" s="11" t="s">
        <v>14519</v>
      </c>
      <c r="E2713" s="11" t="s">
        <v>14520</v>
      </c>
      <c r="F2713" s="11" t="s">
        <v>14435</v>
      </c>
      <c r="G2713" s="11" t="s">
        <v>14521</v>
      </c>
      <c r="H2713" s="11" t="s">
        <v>14392</v>
      </c>
      <c r="I2713" s="11" t="str">
        <f>HYPERLINK("http://pelletteria2a.it/","pelletteria2a.it")</f>
        <v>pelletteria2a.it</v>
      </c>
      <c r="J2713" s="12">
        <v>1317.0060000000001</v>
      </c>
      <c r="K2713" s="14" t="s">
        <v>14385</v>
      </c>
      <c r="L2713" s="13">
        <v>1317.0060000000001</v>
      </c>
      <c r="M2713" s="12">
        <v>1.7999999999999999E-2</v>
      </c>
      <c r="N2713" s="14" t="s">
        <v>14385</v>
      </c>
      <c r="O2713" s="12">
        <v>1.7999999999999999E-2</v>
      </c>
      <c r="P2713" s="14" t="s">
        <v>14385</v>
      </c>
      <c r="Q2713" s="14" t="s">
        <v>14385</v>
      </c>
      <c r="R2713" s="14" t="s">
        <v>14385</v>
      </c>
    </row>
    <row r="2714" spans="1:18" ht="29.5" customHeight="1" x14ac:dyDescent="0.15">
      <c r="A2714" s="8" t="s">
        <v>14522</v>
      </c>
      <c r="B2714" s="9" t="s">
        <v>14523</v>
      </c>
      <c r="C2714" s="8" t="s">
        <v>14524</v>
      </c>
      <c r="D2714" s="8" t="s">
        <v>14524</v>
      </c>
      <c r="E2714" s="8" t="s">
        <v>14525</v>
      </c>
      <c r="F2714" s="8" t="s">
        <v>14397</v>
      </c>
      <c r="G2714" s="8" t="s">
        <v>14526</v>
      </c>
      <c r="H2714" s="8" t="s">
        <v>14430</v>
      </c>
      <c r="I2714" s="8" t="str">
        <f>HYPERLINK("http://www.rm1891.com/","www.rm1891.com")</f>
        <v>www.rm1891.com</v>
      </c>
      <c r="J2714" s="10">
        <v>856.86199999999997</v>
      </c>
      <c r="K2714" s="10">
        <v>856.86199999999997</v>
      </c>
      <c r="L2714" s="10">
        <v>1313.8389999999999</v>
      </c>
      <c r="M2714" s="10">
        <v>-642.57799999999997</v>
      </c>
      <c r="N2714" s="10">
        <v>-642.57799999999997</v>
      </c>
      <c r="O2714" s="10">
        <v>-1.4319999999999999</v>
      </c>
      <c r="P2714" s="15" t="s">
        <v>14385</v>
      </c>
      <c r="Q2714" s="15" t="s">
        <v>14385</v>
      </c>
      <c r="R2714" s="10">
        <v>12</v>
      </c>
    </row>
    <row r="2715" spans="1:18" ht="17" customHeight="1" x14ac:dyDescent="0.15">
      <c r="A2715" s="11" t="s">
        <v>14527</v>
      </c>
      <c r="B2715" s="1" t="s">
        <v>14528</v>
      </c>
      <c r="C2715" s="11" t="s">
        <v>14529</v>
      </c>
      <c r="D2715" s="11" t="s">
        <v>14529</v>
      </c>
      <c r="E2715" s="11" t="s">
        <v>14530</v>
      </c>
      <c r="F2715" s="11" t="s">
        <v>14390</v>
      </c>
      <c r="G2715" s="11" t="s">
        <v>14391</v>
      </c>
      <c r="H2715" s="11" t="s">
        <v>14392</v>
      </c>
      <c r="I2715" s="11" t="str">
        <f>HYPERLINK("http://www.startleather.it/","www.startleather.it")</f>
        <v>www.startleather.it</v>
      </c>
      <c r="J2715" s="12">
        <v>1225.845</v>
      </c>
      <c r="K2715" s="12">
        <v>1225.845</v>
      </c>
      <c r="L2715" s="13">
        <v>1311.3879999999999</v>
      </c>
      <c r="M2715" s="12">
        <v>18.081</v>
      </c>
      <c r="N2715" s="12">
        <v>18.081</v>
      </c>
      <c r="O2715" s="12">
        <v>45.601999999999997</v>
      </c>
      <c r="P2715" s="12">
        <v>6</v>
      </c>
      <c r="Q2715" s="12">
        <v>6</v>
      </c>
      <c r="R2715" s="12">
        <v>6</v>
      </c>
    </row>
    <row r="2716" spans="1:18" ht="17" customHeight="1" x14ac:dyDescent="0.15">
      <c r="A2716" s="8" t="s">
        <v>14531</v>
      </c>
      <c r="B2716" s="9" t="s">
        <v>14532</v>
      </c>
      <c r="C2716" s="8" t="s">
        <v>14533</v>
      </c>
      <c r="D2716" s="8" t="s">
        <v>14533</v>
      </c>
      <c r="E2716" s="8" t="s">
        <v>14534</v>
      </c>
      <c r="F2716" s="8" t="s">
        <v>14535</v>
      </c>
      <c r="G2716" s="8" t="s">
        <v>14521</v>
      </c>
      <c r="H2716" s="8" t="s">
        <v>14392</v>
      </c>
      <c r="I2716" s="8" t="str">
        <f>HYPERLINK("http://cirricollection.it/","cirricollection.it")</f>
        <v>cirricollection.it</v>
      </c>
      <c r="J2716" s="10">
        <v>987.33600000000001</v>
      </c>
      <c r="K2716" s="10">
        <v>987.33600000000001</v>
      </c>
      <c r="L2716" s="10">
        <v>1309.5630000000001</v>
      </c>
      <c r="M2716" s="10">
        <v>121.086</v>
      </c>
      <c r="N2716" s="10">
        <v>121.086</v>
      </c>
      <c r="O2716" s="10">
        <v>127.4</v>
      </c>
      <c r="P2716" s="10">
        <v>2</v>
      </c>
      <c r="Q2716" s="10">
        <v>2</v>
      </c>
      <c r="R2716" s="10">
        <v>2</v>
      </c>
    </row>
    <row r="2717" spans="1:18" ht="17" customHeight="1" x14ac:dyDescent="0.15">
      <c r="A2717" s="11" t="s">
        <v>14536</v>
      </c>
      <c r="B2717" s="1" t="s">
        <v>14537</v>
      </c>
      <c r="C2717" s="11" t="s">
        <v>14538</v>
      </c>
      <c r="D2717" s="11" t="s">
        <v>14538</v>
      </c>
      <c r="E2717" s="11" t="s">
        <v>14539</v>
      </c>
      <c r="F2717" s="11" t="s">
        <v>14397</v>
      </c>
      <c r="G2717" s="11" t="s">
        <v>14540</v>
      </c>
      <c r="H2717" s="11" t="s">
        <v>14411</v>
      </c>
      <c r="I2717" s="11" t="str">
        <f>HYPERLINK("http://www.barleycorn.it/","www.barleycorn.it")</f>
        <v>www.barleycorn.it</v>
      </c>
      <c r="J2717" s="12">
        <v>1453.8309999999999</v>
      </c>
      <c r="K2717" s="12">
        <v>1453.8309999999999</v>
      </c>
      <c r="L2717" s="13">
        <v>1309.0909999999999</v>
      </c>
      <c r="M2717" s="12">
        <v>-191.904</v>
      </c>
      <c r="N2717" s="12">
        <v>-191.904</v>
      </c>
      <c r="O2717" s="12">
        <v>8.6170000000000009</v>
      </c>
      <c r="P2717" s="12">
        <v>7</v>
      </c>
      <c r="Q2717" s="12">
        <v>7</v>
      </c>
      <c r="R2717" s="12">
        <v>8</v>
      </c>
    </row>
    <row r="2718" spans="1:18" ht="17" customHeight="1" x14ac:dyDescent="0.15">
      <c r="A2718" s="8" t="s">
        <v>14541</v>
      </c>
      <c r="B2718" s="9" t="s">
        <v>14542</v>
      </c>
      <c r="C2718" s="8" t="s">
        <v>14543</v>
      </c>
      <c r="D2718" s="8" t="s">
        <v>14543</v>
      </c>
      <c r="E2718" s="8" t="s">
        <v>14544</v>
      </c>
      <c r="F2718" s="8" t="s">
        <v>14390</v>
      </c>
      <c r="G2718" s="8" t="s">
        <v>14494</v>
      </c>
      <c r="H2718" s="8" t="s">
        <v>14399</v>
      </c>
      <c r="I2718" s="8" t="str">
        <f>HYPERLINK("http://www.copecapelli.com/","www.copecapelli.com")</f>
        <v>www.copecapelli.com</v>
      </c>
      <c r="J2718" s="10">
        <v>766.08399999999995</v>
      </c>
      <c r="K2718" s="10">
        <v>766.08399999999995</v>
      </c>
      <c r="L2718" s="10">
        <v>1308.857</v>
      </c>
      <c r="M2718" s="10">
        <v>-151.68899999999999</v>
      </c>
      <c r="N2718" s="10">
        <v>-151.68899999999999</v>
      </c>
      <c r="O2718" s="10">
        <v>247.07400000000001</v>
      </c>
      <c r="P2718" s="10">
        <v>11</v>
      </c>
      <c r="Q2718" s="10">
        <v>11</v>
      </c>
      <c r="R2718" s="10">
        <v>12</v>
      </c>
    </row>
    <row r="2719" spans="1:18" ht="17" customHeight="1" x14ac:dyDescent="0.15">
      <c r="A2719" s="11" t="s">
        <v>14545</v>
      </c>
      <c r="B2719" s="1" t="s">
        <v>14546</v>
      </c>
      <c r="C2719" s="11" t="s">
        <v>14547</v>
      </c>
      <c r="D2719" s="11" t="s">
        <v>14547</v>
      </c>
      <c r="E2719" s="11" t="s">
        <v>14548</v>
      </c>
      <c r="F2719" s="11" t="s">
        <v>14397</v>
      </c>
      <c r="G2719" s="11" t="s">
        <v>14540</v>
      </c>
      <c r="H2719" s="11" t="s">
        <v>14411</v>
      </c>
      <c r="I2719" s="11" t="str">
        <f>HYPERLINK("http://www.verdecchia.it/","www.verdecchia.it")</f>
        <v>www.verdecchia.it</v>
      </c>
      <c r="J2719" s="12">
        <v>1196.4770000000001</v>
      </c>
      <c r="K2719" s="12">
        <v>1196.4770000000001</v>
      </c>
      <c r="L2719" s="13">
        <v>1308.1890000000001</v>
      </c>
      <c r="M2719" s="12">
        <v>35.655999999999999</v>
      </c>
      <c r="N2719" s="12">
        <v>35.655999999999999</v>
      </c>
      <c r="O2719" s="12">
        <v>128.65299999999999</v>
      </c>
      <c r="P2719" s="12">
        <v>8</v>
      </c>
      <c r="Q2719" s="12">
        <v>8</v>
      </c>
      <c r="R2719" s="12">
        <v>7</v>
      </c>
    </row>
    <row r="2720" spans="1:18" ht="17" customHeight="1" x14ac:dyDescent="0.15">
      <c r="A2720" s="8" t="s">
        <v>14549</v>
      </c>
      <c r="B2720" s="9" t="s">
        <v>14550</v>
      </c>
      <c r="C2720" s="8" t="s">
        <v>14551</v>
      </c>
      <c r="D2720" s="8" t="s">
        <v>14551</v>
      </c>
      <c r="E2720" s="8" t="s">
        <v>14552</v>
      </c>
      <c r="F2720" s="8" t="s">
        <v>14480</v>
      </c>
      <c r="G2720" s="8" t="s">
        <v>14526</v>
      </c>
      <c r="H2720" s="8" t="s">
        <v>14430</v>
      </c>
      <c r="I2720" s="8" t="str">
        <f>HYPERLINK("http://www.m2accessori.it/","www.m2accessori.it")</f>
        <v>www.m2accessori.it</v>
      </c>
      <c r="J2720" s="10">
        <v>986.05499999999995</v>
      </c>
      <c r="K2720" s="10">
        <v>986.05499999999995</v>
      </c>
      <c r="L2720" s="10">
        <v>1305.847</v>
      </c>
      <c r="M2720" s="10">
        <v>16.023</v>
      </c>
      <c r="N2720" s="10">
        <v>16.023</v>
      </c>
      <c r="O2720" s="10">
        <v>6.7249999999999996</v>
      </c>
      <c r="P2720" s="15" t="s">
        <v>14385</v>
      </c>
      <c r="Q2720" s="15" t="s">
        <v>14385</v>
      </c>
      <c r="R2720" s="10">
        <v>2</v>
      </c>
    </row>
    <row r="2721" spans="1:18" ht="17" customHeight="1" x14ac:dyDescent="0.15">
      <c r="A2721" s="11" t="s">
        <v>14553</v>
      </c>
      <c r="B2721" s="1" t="s">
        <v>14554</v>
      </c>
      <c r="C2721" s="11" t="s">
        <v>14555</v>
      </c>
      <c r="D2721" s="11" t="s">
        <v>14555</v>
      </c>
      <c r="E2721" s="11" t="s">
        <v>14556</v>
      </c>
      <c r="F2721" s="11" t="s">
        <v>14557</v>
      </c>
      <c r="G2721" s="11" t="s">
        <v>14558</v>
      </c>
      <c r="H2721" s="11" t="s">
        <v>14559</v>
      </c>
      <c r="I2721" s="11" t="str">
        <f>HYPERLINK("http://www.servicemoda.it/","www.servicemoda.it")</f>
        <v>www.servicemoda.it</v>
      </c>
      <c r="J2721" s="12">
        <v>1104.1289999999999</v>
      </c>
      <c r="K2721" s="12">
        <v>1104.1289999999999</v>
      </c>
      <c r="L2721" s="13">
        <v>1303.4090000000001</v>
      </c>
      <c r="M2721" s="12">
        <v>1.0940000000000001</v>
      </c>
      <c r="N2721" s="12">
        <v>1.0940000000000001</v>
      </c>
      <c r="O2721" s="12">
        <v>5.7610000000000001</v>
      </c>
      <c r="P2721" s="14" t="s">
        <v>14560</v>
      </c>
      <c r="Q2721" s="14" t="s">
        <v>14560</v>
      </c>
      <c r="R2721" s="12">
        <v>14</v>
      </c>
    </row>
    <row r="2722" spans="1:18" ht="17" customHeight="1" x14ac:dyDescent="0.15">
      <c r="A2722" s="8" t="s">
        <v>14561</v>
      </c>
      <c r="B2722" s="9" t="s">
        <v>14562</v>
      </c>
      <c r="C2722" s="8" t="s">
        <v>14563</v>
      </c>
      <c r="D2722" s="8" t="s">
        <v>14564</v>
      </c>
      <c r="E2722" s="8" t="s">
        <v>14565</v>
      </c>
      <c r="F2722" s="8" t="s">
        <v>14566</v>
      </c>
      <c r="G2722" s="8" t="s">
        <v>14567</v>
      </c>
      <c r="H2722" s="8" t="s">
        <v>14568</v>
      </c>
      <c r="I2722" s="8" t="str">
        <f>HYPERLINK("http://www.italsuole.it/","www.italsuole.it")</f>
        <v>www.italsuole.it</v>
      </c>
      <c r="J2722" s="10">
        <v>1004.147</v>
      </c>
      <c r="K2722" s="10">
        <v>1004.147</v>
      </c>
      <c r="L2722" s="10">
        <v>1300.854</v>
      </c>
      <c r="M2722" s="10">
        <v>3.3140000000000001</v>
      </c>
      <c r="N2722" s="10">
        <v>3.3140000000000001</v>
      </c>
      <c r="O2722" s="10">
        <v>-130.84100000000001</v>
      </c>
      <c r="P2722" s="10">
        <v>18</v>
      </c>
      <c r="Q2722" s="10">
        <v>18</v>
      </c>
      <c r="R2722" s="10">
        <v>20</v>
      </c>
    </row>
    <row r="2723" spans="1:18" ht="17" customHeight="1" x14ac:dyDescent="0.15">
      <c r="A2723" s="11" t="s">
        <v>14569</v>
      </c>
      <c r="B2723" s="1" t="s">
        <v>14570</v>
      </c>
      <c r="C2723" s="11" t="s">
        <v>14571</v>
      </c>
      <c r="D2723" s="11" t="s">
        <v>14571</v>
      </c>
      <c r="E2723" s="11" t="s">
        <v>14572</v>
      </c>
      <c r="F2723" s="11" t="s">
        <v>14573</v>
      </c>
      <c r="G2723" s="11" t="s">
        <v>14574</v>
      </c>
      <c r="H2723" s="11" t="s">
        <v>14568</v>
      </c>
      <c r="I2723" s="11" t="str">
        <f>HYPERLINK("http://www.preziosogroup.com/","www.preziosogroup.com")</f>
        <v>www.preziosogroup.com</v>
      </c>
      <c r="J2723" s="12">
        <v>1729.855</v>
      </c>
      <c r="K2723" s="12">
        <v>1729.855</v>
      </c>
      <c r="L2723" s="13">
        <v>1299.759</v>
      </c>
      <c r="M2723" s="12">
        <v>8.3979999999999997</v>
      </c>
      <c r="N2723" s="12">
        <v>8.3979999999999997</v>
      </c>
      <c r="O2723" s="12">
        <v>230.28299999999999</v>
      </c>
      <c r="P2723" s="12">
        <v>16</v>
      </c>
      <c r="Q2723" s="12">
        <v>16</v>
      </c>
      <c r="R2723" s="12">
        <v>11</v>
      </c>
    </row>
    <row r="2724" spans="1:18" ht="17" customHeight="1" x14ac:dyDescent="0.15">
      <c r="A2724" s="8" t="s">
        <v>14575</v>
      </c>
      <c r="B2724" s="9" t="s">
        <v>14576</v>
      </c>
      <c r="C2724" s="8" t="s">
        <v>14577</v>
      </c>
      <c r="D2724" s="8" t="s">
        <v>14577</v>
      </c>
      <c r="E2724" s="8" t="s">
        <v>14578</v>
      </c>
      <c r="F2724" s="8" t="s">
        <v>14557</v>
      </c>
      <c r="G2724" s="8" t="s">
        <v>14579</v>
      </c>
      <c r="H2724" s="8" t="s">
        <v>14559</v>
      </c>
      <c r="I2724" s="8" t="str">
        <f>HYPERLINK("http://www.magliaclub.com/","www.magliaclub.com")</f>
        <v>www.magliaclub.com</v>
      </c>
      <c r="J2724" s="10">
        <v>1718.402</v>
      </c>
      <c r="K2724" s="10">
        <v>1718.402</v>
      </c>
      <c r="L2724" s="10">
        <v>1299.7439999999999</v>
      </c>
      <c r="M2724" s="10">
        <v>-29.173999999999999</v>
      </c>
      <c r="N2724" s="10">
        <v>-29.173999999999999</v>
      </c>
      <c r="O2724" s="10">
        <v>-268.041</v>
      </c>
      <c r="P2724" s="10">
        <v>6</v>
      </c>
      <c r="Q2724" s="10">
        <v>6</v>
      </c>
      <c r="R2724" s="10">
        <v>6</v>
      </c>
    </row>
    <row r="2725" spans="1:18" ht="17" customHeight="1" x14ac:dyDescent="0.15">
      <c r="A2725" s="11" t="s">
        <v>14580</v>
      </c>
      <c r="B2725" s="1" t="s">
        <v>14581</v>
      </c>
      <c r="C2725" s="11" t="s">
        <v>14582</v>
      </c>
      <c r="D2725" s="11" t="s">
        <v>14582</v>
      </c>
      <c r="E2725" s="11" t="s">
        <v>14583</v>
      </c>
      <c r="F2725" s="11" t="s">
        <v>14584</v>
      </c>
      <c r="G2725" s="11" t="s">
        <v>14585</v>
      </c>
      <c r="H2725" s="11" t="s">
        <v>14586</v>
      </c>
      <c r="I2725" s="11" t="str">
        <f>HYPERLINK("http://www.amarynth.it/","www.amarynth.it")</f>
        <v>www.amarynth.it</v>
      </c>
      <c r="J2725" s="12">
        <v>1083.693</v>
      </c>
      <c r="K2725" s="12">
        <v>1083.693</v>
      </c>
      <c r="L2725" s="13">
        <v>1299.5360000000001</v>
      </c>
      <c r="M2725" s="12">
        <v>2.6360000000000001</v>
      </c>
      <c r="N2725" s="12">
        <v>2.6360000000000001</v>
      </c>
      <c r="O2725" s="12">
        <v>6.0780000000000003</v>
      </c>
      <c r="P2725" s="12">
        <v>7</v>
      </c>
      <c r="Q2725" s="12">
        <v>7</v>
      </c>
      <c r="R2725" s="12">
        <v>8</v>
      </c>
    </row>
    <row r="2726" spans="1:18" ht="17" customHeight="1" x14ac:dyDescent="0.15">
      <c r="A2726" s="8" t="s">
        <v>14587</v>
      </c>
      <c r="B2726" s="9" t="s">
        <v>14588</v>
      </c>
      <c r="C2726" s="8" t="s">
        <v>14589</v>
      </c>
      <c r="D2726" s="8" t="s">
        <v>14589</v>
      </c>
      <c r="E2726" s="8" t="s">
        <v>14590</v>
      </c>
      <c r="F2726" s="8" t="s">
        <v>14584</v>
      </c>
      <c r="G2726" s="8" t="s">
        <v>14591</v>
      </c>
      <c r="H2726" s="8" t="s">
        <v>14592</v>
      </c>
      <c r="I2726" s="8" t="str">
        <f>HYPERLINK("http://www.camplin.eu/","www.camplin.eu")</f>
        <v>www.camplin.eu</v>
      </c>
      <c r="J2726" s="10">
        <v>1508.626</v>
      </c>
      <c r="K2726" s="10">
        <v>1508.626</v>
      </c>
      <c r="L2726" s="10">
        <v>1297.624</v>
      </c>
      <c r="M2726" s="10">
        <v>11.032</v>
      </c>
      <c r="N2726" s="10">
        <v>11.032</v>
      </c>
      <c r="O2726" s="10">
        <v>6.0449999999999999</v>
      </c>
      <c r="P2726" s="10">
        <v>5</v>
      </c>
      <c r="Q2726" s="10">
        <v>5</v>
      </c>
      <c r="R2726" s="10">
        <v>4</v>
      </c>
    </row>
    <row r="2727" spans="1:18" ht="17" customHeight="1" x14ac:dyDescent="0.15">
      <c r="A2727" s="11" t="s">
        <v>14593</v>
      </c>
      <c r="B2727" s="1" t="s">
        <v>14594</v>
      </c>
      <c r="C2727" s="11" t="s">
        <v>14595</v>
      </c>
      <c r="D2727" s="11" t="s">
        <v>14595</v>
      </c>
      <c r="E2727" s="11" t="s">
        <v>14596</v>
      </c>
      <c r="F2727" s="11" t="s">
        <v>14573</v>
      </c>
      <c r="G2727" s="11" t="s">
        <v>14597</v>
      </c>
      <c r="H2727" s="11" t="s">
        <v>14559</v>
      </c>
      <c r="I2727" s="11" t="str">
        <f>HYPERLINK("http://avenue67.it/","avenue67.it")</f>
        <v>avenue67.it</v>
      </c>
      <c r="J2727" s="12">
        <v>1222.01</v>
      </c>
      <c r="K2727" s="12">
        <v>1222.01</v>
      </c>
      <c r="L2727" s="13">
        <v>1295.683</v>
      </c>
      <c r="M2727" s="12">
        <v>32.927</v>
      </c>
      <c r="N2727" s="12">
        <v>32.927</v>
      </c>
      <c r="O2727" s="12">
        <v>118.374</v>
      </c>
      <c r="P2727" s="12">
        <v>2</v>
      </c>
      <c r="Q2727" s="12">
        <v>2</v>
      </c>
      <c r="R2727" s="12">
        <v>2</v>
      </c>
    </row>
    <row r="2728" spans="1:18" ht="17" customHeight="1" x14ac:dyDescent="0.15">
      <c r="A2728" s="8" t="s">
        <v>14598</v>
      </c>
      <c r="B2728" s="9" t="s">
        <v>14599</v>
      </c>
      <c r="C2728" s="8" t="s">
        <v>14600</v>
      </c>
      <c r="D2728" s="8" t="s">
        <v>14600</v>
      </c>
      <c r="E2728" s="8" t="s">
        <v>14601</v>
      </c>
      <c r="F2728" s="8" t="s">
        <v>14602</v>
      </c>
      <c r="G2728" s="8" t="s">
        <v>14603</v>
      </c>
      <c r="H2728" s="8" t="s">
        <v>14604</v>
      </c>
      <c r="I2728" s="8" t="str">
        <f>HYPERLINK("http://www.italianasport.it/","www.italianasport.it")</f>
        <v>www.italianasport.it</v>
      </c>
      <c r="J2728" s="10">
        <v>1505.94</v>
      </c>
      <c r="K2728" s="10">
        <v>1505.94</v>
      </c>
      <c r="L2728" s="10">
        <v>1291.962</v>
      </c>
      <c r="M2728" s="10">
        <v>49.073999999999998</v>
      </c>
      <c r="N2728" s="10">
        <v>49.073999999999998</v>
      </c>
      <c r="O2728" s="10">
        <v>38.351999999999997</v>
      </c>
      <c r="P2728" s="10">
        <v>4</v>
      </c>
      <c r="Q2728" s="10">
        <v>4</v>
      </c>
      <c r="R2728" s="10">
        <v>4</v>
      </c>
    </row>
    <row r="2729" spans="1:18" ht="17" customHeight="1" x14ac:dyDescent="0.15">
      <c r="A2729" s="11" t="s">
        <v>14605</v>
      </c>
      <c r="B2729" s="1" t="s">
        <v>14606</v>
      </c>
      <c r="C2729" s="11" t="s">
        <v>14607</v>
      </c>
      <c r="D2729" s="11" t="s">
        <v>14608</v>
      </c>
      <c r="E2729" s="11" t="s">
        <v>14609</v>
      </c>
      <c r="F2729" s="11" t="s">
        <v>14610</v>
      </c>
      <c r="G2729" s="11" t="s">
        <v>14574</v>
      </c>
      <c r="H2729" s="11" t="s">
        <v>14568</v>
      </c>
      <c r="I2729" s="11" t="str">
        <f>HYPERLINK("http://www.camiceriavalery.it/","www.camiceriavalery.it")</f>
        <v>www.camiceriavalery.it</v>
      </c>
      <c r="J2729" s="12">
        <v>1636.596</v>
      </c>
      <c r="K2729" s="12">
        <v>1636.596</v>
      </c>
      <c r="L2729" s="13">
        <v>1290.0619999999999</v>
      </c>
      <c r="M2729" s="12">
        <v>34.767000000000003</v>
      </c>
      <c r="N2729" s="12">
        <v>34.767000000000003</v>
      </c>
      <c r="O2729" s="12">
        <v>78.936000000000007</v>
      </c>
      <c r="P2729" s="14" t="s">
        <v>14560</v>
      </c>
      <c r="Q2729" s="14" t="s">
        <v>14560</v>
      </c>
      <c r="R2729" s="12">
        <v>9</v>
      </c>
    </row>
    <row r="2730" spans="1:18" ht="17" customHeight="1" x14ac:dyDescent="0.15">
      <c r="A2730" s="8" t="s">
        <v>14611</v>
      </c>
      <c r="B2730" s="9" t="s">
        <v>14612</v>
      </c>
      <c r="C2730" s="8" t="s">
        <v>14613</v>
      </c>
      <c r="D2730" s="8" t="s">
        <v>14613</v>
      </c>
      <c r="E2730" s="8" t="s">
        <v>14614</v>
      </c>
      <c r="F2730" s="8" t="s">
        <v>14566</v>
      </c>
      <c r="G2730" s="8" t="s">
        <v>14615</v>
      </c>
      <c r="H2730" s="8" t="s">
        <v>14559</v>
      </c>
      <c r="I2730" s="8" t="str">
        <f>HYPERLINK("http://www.palmadoro.it/","www.palmadoro.it")</f>
        <v>www.palmadoro.it</v>
      </c>
      <c r="J2730" s="10">
        <v>1254.6220000000001</v>
      </c>
      <c r="K2730" s="10">
        <v>1254.6220000000001</v>
      </c>
      <c r="L2730" s="10">
        <v>1289.6189999999999</v>
      </c>
      <c r="M2730" s="10">
        <v>37.125</v>
      </c>
      <c r="N2730" s="10">
        <v>37.125</v>
      </c>
      <c r="O2730" s="10">
        <v>127.617</v>
      </c>
      <c r="P2730" s="10">
        <v>7</v>
      </c>
      <c r="Q2730" s="10">
        <v>7</v>
      </c>
      <c r="R2730" s="10">
        <v>6</v>
      </c>
    </row>
    <row r="2731" spans="1:18" ht="17" customHeight="1" x14ac:dyDescent="0.15">
      <c r="A2731" s="11" t="s">
        <v>14616</v>
      </c>
      <c r="B2731" s="1" t="s">
        <v>14617</v>
      </c>
      <c r="C2731" s="11" t="s">
        <v>14618</v>
      </c>
      <c r="D2731" s="11" t="s">
        <v>14618</v>
      </c>
      <c r="E2731" s="11" t="s">
        <v>14619</v>
      </c>
      <c r="F2731" s="11" t="s">
        <v>14566</v>
      </c>
      <c r="G2731" s="11" t="s">
        <v>14620</v>
      </c>
      <c r="H2731" s="11" t="s">
        <v>14592</v>
      </c>
      <c r="I2731" s="11" t="str">
        <f>HYPERLINK("http://www.frada.it/","www.frada.it")</f>
        <v>www.frada.it</v>
      </c>
      <c r="J2731" s="12">
        <v>1058.992</v>
      </c>
      <c r="K2731" s="12">
        <v>1058.992</v>
      </c>
      <c r="L2731" s="13">
        <v>1289.403</v>
      </c>
      <c r="M2731" s="12">
        <v>118.934</v>
      </c>
      <c r="N2731" s="12">
        <v>118.934</v>
      </c>
      <c r="O2731" s="12">
        <v>220.994</v>
      </c>
      <c r="P2731" s="12">
        <v>4</v>
      </c>
      <c r="Q2731" s="12">
        <v>4</v>
      </c>
      <c r="R2731" s="12">
        <v>4</v>
      </c>
    </row>
    <row r="2732" spans="1:18" ht="17" customHeight="1" x14ac:dyDescent="0.15">
      <c r="A2732" s="8" t="s">
        <v>14621</v>
      </c>
      <c r="B2732" s="9" t="s">
        <v>14622</v>
      </c>
      <c r="C2732" s="8" t="s">
        <v>14623</v>
      </c>
      <c r="D2732" s="8" t="s">
        <v>14623</v>
      </c>
      <c r="E2732" s="8" t="s">
        <v>14624</v>
      </c>
      <c r="F2732" s="8" t="s">
        <v>14557</v>
      </c>
      <c r="G2732" s="8" t="s">
        <v>14591</v>
      </c>
      <c r="H2732" s="8" t="s">
        <v>14592</v>
      </c>
      <c r="I2732" s="8" t="str">
        <f>HYPERLINK("http://www.confezionitrifoglio.it/","www.confezionitrifoglio.it")</f>
        <v>www.confezionitrifoglio.it</v>
      </c>
      <c r="J2732" s="10">
        <v>1594.0930000000001</v>
      </c>
      <c r="K2732" s="10">
        <v>1594.0930000000001</v>
      </c>
      <c r="L2732" s="10">
        <v>1286.673</v>
      </c>
      <c r="M2732" s="10">
        <v>15.538</v>
      </c>
      <c r="N2732" s="10">
        <v>15.538</v>
      </c>
      <c r="O2732" s="10">
        <v>7.9480000000000004</v>
      </c>
      <c r="P2732" s="10">
        <v>9</v>
      </c>
      <c r="Q2732" s="10">
        <v>9</v>
      </c>
      <c r="R2732" s="10">
        <v>9</v>
      </c>
    </row>
    <row r="2733" spans="1:18" ht="17" customHeight="1" x14ac:dyDescent="0.15">
      <c r="A2733" s="11" t="s">
        <v>14625</v>
      </c>
      <c r="B2733" s="1" t="s">
        <v>14626</v>
      </c>
      <c r="C2733" s="11" t="s">
        <v>14627</v>
      </c>
      <c r="D2733" s="11" t="s">
        <v>14627</v>
      </c>
      <c r="E2733" s="11" t="s">
        <v>14628</v>
      </c>
      <c r="F2733" s="11" t="s">
        <v>14573</v>
      </c>
      <c r="G2733" s="11" t="s">
        <v>14591</v>
      </c>
      <c r="H2733" s="11" t="s">
        <v>14592</v>
      </c>
      <c r="I2733" s="11" t="str">
        <f>HYPERLINK("http://www.europeancomfort.it/","www.europeancomfort.it")</f>
        <v>www.europeancomfort.it</v>
      </c>
      <c r="J2733" s="12">
        <v>2147.893</v>
      </c>
      <c r="K2733" s="12">
        <v>2147.893</v>
      </c>
      <c r="L2733" s="13">
        <v>1285.309</v>
      </c>
      <c r="M2733" s="12">
        <v>19.911000000000001</v>
      </c>
      <c r="N2733" s="12">
        <v>19.911000000000001</v>
      </c>
      <c r="O2733" s="12">
        <v>19.192</v>
      </c>
      <c r="P2733" s="12">
        <v>11</v>
      </c>
      <c r="Q2733" s="12">
        <v>11</v>
      </c>
      <c r="R2733" s="12">
        <v>14</v>
      </c>
    </row>
    <row r="2734" spans="1:18" ht="17" customHeight="1" x14ac:dyDescent="0.15">
      <c r="A2734" s="8" t="s">
        <v>14629</v>
      </c>
      <c r="B2734" s="9" t="s">
        <v>14630</v>
      </c>
      <c r="C2734" s="8" t="s">
        <v>14631</v>
      </c>
      <c r="D2734" s="8" t="s">
        <v>14631</v>
      </c>
      <c r="E2734" s="8" t="s">
        <v>14632</v>
      </c>
      <c r="F2734" s="8" t="s">
        <v>14584</v>
      </c>
      <c r="G2734" s="8" t="s">
        <v>14633</v>
      </c>
      <c r="H2734" s="8" t="s">
        <v>14592</v>
      </c>
      <c r="I2734" s="8" t="str">
        <f>HYPERLINK("http://cellardoor.co.jp/","cellardoor.co.jp")</f>
        <v>cellardoor.co.jp</v>
      </c>
      <c r="J2734" s="10">
        <v>1417.856</v>
      </c>
      <c r="K2734" s="10">
        <v>1417.856</v>
      </c>
      <c r="L2734" s="10">
        <v>1284.8309999999999</v>
      </c>
      <c r="M2734" s="10">
        <v>1.4339999999999999</v>
      </c>
      <c r="N2734" s="10">
        <v>1.4339999999999999</v>
      </c>
      <c r="O2734" s="10">
        <v>-2.8319999999999999</v>
      </c>
      <c r="P2734" s="10">
        <v>2</v>
      </c>
      <c r="Q2734" s="10">
        <v>2</v>
      </c>
      <c r="R2734" s="10">
        <v>2</v>
      </c>
    </row>
    <row r="2735" spans="1:18" ht="17" customHeight="1" x14ac:dyDescent="0.15">
      <c r="A2735" s="11" t="s">
        <v>14634</v>
      </c>
      <c r="B2735" s="1" t="s">
        <v>14635</v>
      </c>
      <c r="C2735" s="11" t="s">
        <v>14636</v>
      </c>
      <c r="D2735" s="11" t="s">
        <v>14636</v>
      </c>
      <c r="E2735" s="11" t="s">
        <v>14637</v>
      </c>
      <c r="F2735" s="11" t="s">
        <v>14638</v>
      </c>
      <c r="G2735" s="11" t="s">
        <v>14585</v>
      </c>
      <c r="H2735" s="11" t="s">
        <v>14586</v>
      </c>
      <c r="I2735" s="11" t="str">
        <f>HYPERLINK("http://shop.primordialisprimitive.it/","shop.primordialisprimitive.it")</f>
        <v>shop.primordialisprimitive.it</v>
      </c>
      <c r="J2735" s="12">
        <v>1340.9179999999999</v>
      </c>
      <c r="K2735" s="12">
        <v>1340.9179999999999</v>
      </c>
      <c r="L2735" s="13">
        <v>1284.556</v>
      </c>
      <c r="M2735" s="12">
        <v>-9.0210000000000008</v>
      </c>
      <c r="N2735" s="12">
        <v>-9.0210000000000008</v>
      </c>
      <c r="O2735" s="12">
        <v>-5.6429999999999998</v>
      </c>
      <c r="P2735" s="12">
        <v>5</v>
      </c>
      <c r="Q2735" s="12">
        <v>5</v>
      </c>
      <c r="R2735" s="12">
        <v>5</v>
      </c>
    </row>
    <row r="2736" spans="1:18" ht="17" customHeight="1" x14ac:dyDescent="0.15">
      <c r="A2736" s="8" t="s">
        <v>14639</v>
      </c>
      <c r="B2736" s="9" t="s">
        <v>14640</v>
      </c>
      <c r="C2736" s="8" t="s">
        <v>14641</v>
      </c>
      <c r="D2736" s="8" t="s">
        <v>14641</v>
      </c>
      <c r="E2736" s="8" t="s">
        <v>14642</v>
      </c>
      <c r="F2736" s="8" t="s">
        <v>14643</v>
      </c>
      <c r="G2736" s="8" t="s">
        <v>14644</v>
      </c>
      <c r="H2736" s="8" t="s">
        <v>14592</v>
      </c>
      <c r="I2736" s="8" t="str">
        <f>HYPERLINK("http://destrodiffusione.it/","destrodiffusione.it")</f>
        <v>destrodiffusione.it</v>
      </c>
      <c r="J2736" s="10">
        <v>1120.8399999999999</v>
      </c>
      <c r="K2736" s="10">
        <v>1120.8399999999999</v>
      </c>
      <c r="L2736" s="10">
        <v>1284.2550000000001</v>
      </c>
      <c r="M2736" s="10">
        <v>-69.256</v>
      </c>
      <c r="N2736" s="10">
        <v>-69.256</v>
      </c>
      <c r="O2736" s="10">
        <v>-134.63</v>
      </c>
      <c r="P2736" s="10">
        <v>9</v>
      </c>
      <c r="Q2736" s="10">
        <v>9</v>
      </c>
      <c r="R2736" s="10">
        <v>10</v>
      </c>
    </row>
    <row r="2737" spans="1:18" ht="17" customHeight="1" x14ac:dyDescent="0.15">
      <c r="A2737" s="11" t="s">
        <v>14645</v>
      </c>
      <c r="B2737" s="1" t="s">
        <v>14646</v>
      </c>
      <c r="C2737" s="11" t="s">
        <v>14647</v>
      </c>
      <c r="D2737" s="11" t="s">
        <v>14647</v>
      </c>
      <c r="E2737" s="11" t="s">
        <v>14648</v>
      </c>
      <c r="F2737" s="11" t="s">
        <v>14649</v>
      </c>
      <c r="G2737" s="11" t="s">
        <v>14558</v>
      </c>
      <c r="H2737" s="11" t="s">
        <v>14559</v>
      </c>
      <c r="I2737" s="11" t="str">
        <f>HYPERLINK("http://www.pelletteriaz3.it/","www.pelletteriaz3.it")</f>
        <v>www.pelletteriaz3.it</v>
      </c>
      <c r="J2737" s="12">
        <v>1464.24</v>
      </c>
      <c r="K2737" s="12">
        <v>1464.24</v>
      </c>
      <c r="L2737" s="13">
        <v>1281.5930000000001</v>
      </c>
      <c r="M2737" s="12">
        <v>4.968</v>
      </c>
      <c r="N2737" s="12">
        <v>4.968</v>
      </c>
      <c r="O2737" s="12">
        <v>13.994999999999999</v>
      </c>
      <c r="P2737" s="12">
        <v>15</v>
      </c>
      <c r="Q2737" s="12">
        <v>15</v>
      </c>
      <c r="R2737" s="12">
        <v>14</v>
      </c>
    </row>
    <row r="2738" spans="1:18" ht="29.5" customHeight="1" x14ac:dyDescent="0.15">
      <c r="A2738" s="8" t="s">
        <v>14650</v>
      </c>
      <c r="B2738" s="9" t="s">
        <v>14651</v>
      </c>
      <c r="C2738" s="8" t="s">
        <v>14652</v>
      </c>
      <c r="D2738" s="8" t="s">
        <v>14652</v>
      </c>
      <c r="E2738" s="8" t="s">
        <v>14653</v>
      </c>
      <c r="F2738" s="8" t="s">
        <v>14573</v>
      </c>
      <c r="G2738" s="8" t="s">
        <v>14654</v>
      </c>
      <c r="H2738" s="8" t="s">
        <v>14655</v>
      </c>
      <c r="I2738" s="8" t="str">
        <f>HYPERLINK("http://fasterishoes.com/","fasterishoes.com")</f>
        <v>fasterishoes.com</v>
      </c>
      <c r="J2738" s="10">
        <v>1354.2280000000001</v>
      </c>
      <c r="K2738" s="10">
        <v>1354.2280000000001</v>
      </c>
      <c r="L2738" s="10">
        <v>1281.317</v>
      </c>
      <c r="M2738" s="10">
        <v>12.167999999999999</v>
      </c>
      <c r="N2738" s="10">
        <v>12.167999999999999</v>
      </c>
      <c r="O2738" s="10">
        <v>10.036</v>
      </c>
      <c r="P2738" s="10">
        <v>8</v>
      </c>
      <c r="Q2738" s="10">
        <v>8</v>
      </c>
      <c r="R2738" s="10">
        <v>7</v>
      </c>
    </row>
    <row r="2739" spans="1:18" ht="17" customHeight="1" x14ac:dyDescent="0.15">
      <c r="A2739" s="11" t="s">
        <v>14656</v>
      </c>
      <c r="B2739" s="1" t="s">
        <v>14657</v>
      </c>
      <c r="C2739" s="11" t="s">
        <v>14658</v>
      </c>
      <c r="D2739" s="11" t="s">
        <v>14658</v>
      </c>
      <c r="E2739" s="11" t="s">
        <v>14659</v>
      </c>
      <c r="F2739" s="11" t="s">
        <v>14660</v>
      </c>
      <c r="G2739" s="11" t="s">
        <v>14654</v>
      </c>
      <c r="H2739" s="11" t="s">
        <v>14655</v>
      </c>
      <c r="I2739" s="11" t="str">
        <f>HYPERLINK("http://www.suolificiopres.it/","www.suolificiopres.it")</f>
        <v>www.suolificiopres.it</v>
      </c>
      <c r="J2739" s="12">
        <v>1545.7280000000001</v>
      </c>
      <c r="K2739" s="12">
        <v>1545.7280000000001</v>
      </c>
      <c r="L2739" s="13">
        <v>1281.0809999999999</v>
      </c>
      <c r="M2739" s="12">
        <v>85.203000000000003</v>
      </c>
      <c r="N2739" s="12">
        <v>85.203000000000003</v>
      </c>
      <c r="O2739" s="12">
        <v>32.305999999999997</v>
      </c>
      <c r="P2739" s="12">
        <v>8</v>
      </c>
      <c r="Q2739" s="12">
        <v>8</v>
      </c>
      <c r="R2739" s="12">
        <v>7</v>
      </c>
    </row>
    <row r="2740" spans="1:18" ht="17" customHeight="1" x14ac:dyDescent="0.15">
      <c r="A2740" s="8" t="s">
        <v>14661</v>
      </c>
      <c r="B2740" s="9" t="s">
        <v>14662</v>
      </c>
      <c r="C2740" s="8" t="s">
        <v>14663</v>
      </c>
      <c r="D2740" s="8" t="s">
        <v>14663</v>
      </c>
      <c r="E2740" s="8" t="s">
        <v>14664</v>
      </c>
      <c r="F2740" s="8" t="s">
        <v>14566</v>
      </c>
      <c r="G2740" s="8" t="s">
        <v>14654</v>
      </c>
      <c r="H2740" s="8" t="s">
        <v>14655</v>
      </c>
      <c r="I2740" s="8" t="str">
        <f>HYPERLINK("http://www.suolificiogl.com/","www.suolificiogl.com")</f>
        <v>www.suolificiogl.com</v>
      </c>
      <c r="J2740" s="10">
        <v>1268.645</v>
      </c>
      <c r="K2740" s="10">
        <v>1268.645</v>
      </c>
      <c r="L2740" s="10">
        <v>1277.923</v>
      </c>
      <c r="M2740" s="10">
        <v>253.13499999999999</v>
      </c>
      <c r="N2740" s="10">
        <v>253.13499999999999</v>
      </c>
      <c r="O2740" s="10">
        <v>143.49799999999999</v>
      </c>
      <c r="P2740" s="10">
        <v>10</v>
      </c>
      <c r="Q2740" s="10">
        <v>10</v>
      </c>
      <c r="R2740" s="10">
        <v>10</v>
      </c>
    </row>
    <row r="2741" spans="1:18" ht="17" customHeight="1" x14ac:dyDescent="0.15">
      <c r="A2741" s="11" t="s">
        <v>14665</v>
      </c>
      <c r="B2741" s="1" t="s">
        <v>14666</v>
      </c>
      <c r="C2741" s="11" t="s">
        <v>14667</v>
      </c>
      <c r="D2741" s="11" t="s">
        <v>14667</v>
      </c>
      <c r="E2741" s="11" t="s">
        <v>14668</v>
      </c>
      <c r="F2741" s="11" t="s">
        <v>14584</v>
      </c>
      <c r="G2741" s="11" t="s">
        <v>14579</v>
      </c>
      <c r="H2741" s="11" t="s">
        <v>14559</v>
      </c>
      <c r="I2741" s="11" t="str">
        <f>HYPERLINK("http://www.confezionigrazia.it/","www.confezionigrazia.it")</f>
        <v>www.confezionigrazia.it</v>
      </c>
      <c r="J2741" s="12">
        <v>1792.4649999999999</v>
      </c>
      <c r="K2741" s="12">
        <v>1792.4649999999999</v>
      </c>
      <c r="L2741" s="13">
        <v>1276.6969999999999</v>
      </c>
      <c r="M2741" s="12">
        <v>22.564</v>
      </c>
      <c r="N2741" s="12">
        <v>22.564</v>
      </c>
      <c r="O2741" s="12">
        <v>7.61</v>
      </c>
      <c r="P2741" s="12">
        <v>13</v>
      </c>
      <c r="Q2741" s="12">
        <v>13</v>
      </c>
      <c r="R2741" s="12">
        <v>13</v>
      </c>
    </row>
    <row r="2742" spans="1:18" ht="17" customHeight="1" x14ac:dyDescent="0.15">
      <c r="A2742" s="8" t="s">
        <v>14669</v>
      </c>
      <c r="B2742" s="9" t="s">
        <v>14670</v>
      </c>
      <c r="C2742" s="8" t="s">
        <v>14671</v>
      </c>
      <c r="D2742" s="8" t="s">
        <v>14671</v>
      </c>
      <c r="E2742" s="8" t="s">
        <v>14672</v>
      </c>
      <c r="F2742" s="8" t="s">
        <v>14602</v>
      </c>
      <c r="G2742" s="8" t="s">
        <v>14574</v>
      </c>
      <c r="H2742" s="8" t="s">
        <v>14568</v>
      </c>
      <c r="I2742" s="8" t="str">
        <f>HYPERLINK("http://www.parah.com/","www.parah.com")</f>
        <v>www.parah.com</v>
      </c>
      <c r="J2742" s="10">
        <v>1107.8810000000001</v>
      </c>
      <c r="K2742" s="10">
        <v>1107.8810000000001</v>
      </c>
      <c r="L2742" s="10">
        <v>1274.9770000000001</v>
      </c>
      <c r="M2742" s="10">
        <v>-182.95500000000001</v>
      </c>
      <c r="N2742" s="10">
        <v>-182.95500000000001</v>
      </c>
      <c r="O2742" s="10">
        <v>-910.44899999999996</v>
      </c>
      <c r="P2742" s="10">
        <v>8</v>
      </c>
      <c r="Q2742" s="10">
        <v>8</v>
      </c>
      <c r="R2742" s="10">
        <v>17</v>
      </c>
    </row>
    <row r="2743" spans="1:18" ht="17" customHeight="1" x14ac:dyDescent="0.15">
      <c r="A2743" s="11" t="s">
        <v>14673</v>
      </c>
      <c r="B2743" s="1" t="s">
        <v>14674</v>
      </c>
      <c r="C2743" s="11" t="s">
        <v>14675</v>
      </c>
      <c r="D2743" s="11" t="s">
        <v>14675</v>
      </c>
      <c r="E2743" s="11" t="s">
        <v>14676</v>
      </c>
      <c r="F2743" s="11" t="s">
        <v>14566</v>
      </c>
      <c r="G2743" s="11" t="s">
        <v>14654</v>
      </c>
      <c r="H2743" s="11" t="s">
        <v>14655</v>
      </c>
      <c r="I2743" s="11" t="str">
        <f>HYPERLINK("http://www.luiginoverducci.it/","www.luiginoverducci.it")</f>
        <v>www.luiginoverducci.it</v>
      </c>
      <c r="J2743" s="12">
        <v>2030.444</v>
      </c>
      <c r="K2743" s="12">
        <v>2030.444</v>
      </c>
      <c r="L2743" s="13">
        <v>1274.172</v>
      </c>
      <c r="M2743" s="12">
        <v>172.83799999999999</v>
      </c>
      <c r="N2743" s="12">
        <v>172.83799999999999</v>
      </c>
      <c r="O2743" s="12">
        <v>123.961</v>
      </c>
      <c r="P2743" s="12">
        <v>14</v>
      </c>
      <c r="Q2743" s="12">
        <v>14</v>
      </c>
      <c r="R2743" s="12">
        <v>11</v>
      </c>
    </row>
    <row r="2744" spans="1:18" ht="17" customHeight="1" x14ac:dyDescent="0.15">
      <c r="A2744" s="8" t="s">
        <v>14677</v>
      </c>
      <c r="B2744" s="9" t="s">
        <v>14678</v>
      </c>
      <c r="C2744" s="8" t="s">
        <v>14679</v>
      </c>
      <c r="D2744" s="8" t="s">
        <v>14679</v>
      </c>
      <c r="E2744" s="8" t="s">
        <v>14680</v>
      </c>
      <c r="F2744" s="8" t="s">
        <v>14584</v>
      </c>
      <c r="G2744" s="8" t="s">
        <v>14681</v>
      </c>
      <c r="H2744" s="8" t="s">
        <v>14592</v>
      </c>
      <c r="I2744" s="8" t="str">
        <f>HYPERLINK("http://fragomenigroup.it/","fragomenigroup.it")</f>
        <v>fragomenigroup.it</v>
      </c>
      <c r="J2744" s="10">
        <v>1307.2260000000001</v>
      </c>
      <c r="K2744" s="10">
        <v>1307.2260000000001</v>
      </c>
      <c r="L2744" s="10">
        <v>1272.6199999999999</v>
      </c>
      <c r="M2744" s="10">
        <v>7.9569999999999999</v>
      </c>
      <c r="N2744" s="10">
        <v>7.9569999999999999</v>
      </c>
      <c r="O2744" s="10">
        <v>5.4249999999999998</v>
      </c>
      <c r="P2744" s="10">
        <v>9</v>
      </c>
      <c r="Q2744" s="10">
        <v>9</v>
      </c>
      <c r="R2744" s="10">
        <v>9</v>
      </c>
    </row>
    <row r="2745" spans="1:18" ht="17" customHeight="1" x14ac:dyDescent="0.15">
      <c r="A2745" s="11" t="s">
        <v>14682</v>
      </c>
      <c r="B2745" s="1" t="s">
        <v>14683</v>
      </c>
      <c r="C2745" s="11" t="s">
        <v>14684</v>
      </c>
      <c r="D2745" s="11" t="s">
        <v>14684</v>
      </c>
      <c r="E2745" s="11" t="s">
        <v>14685</v>
      </c>
      <c r="F2745" s="11" t="s">
        <v>14573</v>
      </c>
      <c r="G2745" s="11" t="s">
        <v>14567</v>
      </c>
      <c r="H2745" s="11" t="s">
        <v>14568</v>
      </c>
      <c r="I2745" s="11" t="str">
        <f>HYPERLINK("http://tonywild.it/","tonywild.it")</f>
        <v>tonywild.it</v>
      </c>
      <c r="J2745" s="12">
        <v>1528.153</v>
      </c>
      <c r="K2745" s="12">
        <v>1528.153</v>
      </c>
      <c r="L2745" s="13">
        <v>1270.403</v>
      </c>
      <c r="M2745" s="12">
        <v>193.92</v>
      </c>
      <c r="N2745" s="12">
        <v>193.92</v>
      </c>
      <c r="O2745" s="12">
        <v>105.47199999999999</v>
      </c>
      <c r="P2745" s="14" t="s">
        <v>14560</v>
      </c>
      <c r="Q2745" s="14" t="s">
        <v>14560</v>
      </c>
      <c r="R2745" s="12">
        <v>15</v>
      </c>
    </row>
    <row r="2746" spans="1:18" ht="17" customHeight="1" x14ac:dyDescent="0.15">
      <c r="A2746" s="8" t="s">
        <v>14686</v>
      </c>
      <c r="B2746" s="9" t="s">
        <v>14687</v>
      </c>
      <c r="C2746" s="8" t="s">
        <v>14688</v>
      </c>
      <c r="D2746" s="8" t="s">
        <v>14688</v>
      </c>
      <c r="E2746" s="8" t="s">
        <v>14689</v>
      </c>
      <c r="F2746" s="8" t="s">
        <v>14660</v>
      </c>
      <c r="G2746" s="8" t="s">
        <v>14690</v>
      </c>
      <c r="H2746" s="8" t="s">
        <v>14568</v>
      </c>
      <c r="I2746" s="8" t="str">
        <f>HYPERLINK("http://www.conceriaitalpelli.it/","www.conceriaitalpelli.it")</f>
        <v>www.conceriaitalpelli.it</v>
      </c>
      <c r="J2746" s="10">
        <v>879.43899999999996</v>
      </c>
      <c r="K2746" s="10">
        <v>879.43899999999996</v>
      </c>
      <c r="L2746" s="10">
        <v>1270.2570000000001</v>
      </c>
      <c r="M2746" s="10">
        <v>-126.64100000000001</v>
      </c>
      <c r="N2746" s="10">
        <v>-126.64100000000001</v>
      </c>
      <c r="O2746" s="10">
        <v>31.831</v>
      </c>
      <c r="P2746" s="10">
        <v>3</v>
      </c>
      <c r="Q2746" s="10">
        <v>3</v>
      </c>
      <c r="R2746" s="10">
        <v>2</v>
      </c>
    </row>
    <row r="2747" spans="1:18" ht="29.5" customHeight="1" x14ac:dyDescent="0.15">
      <c r="A2747" s="11" t="s">
        <v>14691</v>
      </c>
      <c r="B2747" s="1" t="s">
        <v>14692</v>
      </c>
      <c r="C2747" s="11" t="s">
        <v>14693</v>
      </c>
      <c r="D2747" s="11" t="s">
        <v>14693</v>
      </c>
      <c r="E2747" s="11" t="s">
        <v>14694</v>
      </c>
      <c r="F2747" s="11" t="s">
        <v>14573</v>
      </c>
      <c r="G2747" s="11" t="s">
        <v>14620</v>
      </c>
      <c r="H2747" s="11" t="s">
        <v>14592</v>
      </c>
      <c r="I2747" s="11" t="str">
        <f>HYPERLINK("http://oscarsport.com/","oscarsport.com")</f>
        <v>oscarsport.com</v>
      </c>
      <c r="J2747" s="12">
        <v>812.37</v>
      </c>
      <c r="K2747" s="12">
        <v>812.37</v>
      </c>
      <c r="L2747" s="13">
        <v>1269.1130000000001</v>
      </c>
      <c r="M2747" s="12">
        <v>-17.739000000000001</v>
      </c>
      <c r="N2747" s="12">
        <v>-17.739000000000001</v>
      </c>
      <c r="O2747" s="12">
        <v>218.66800000000001</v>
      </c>
      <c r="P2747" s="12">
        <v>10</v>
      </c>
      <c r="Q2747" s="12">
        <v>10</v>
      </c>
      <c r="R2747" s="12">
        <v>10</v>
      </c>
    </row>
    <row r="2748" spans="1:18" ht="17" customHeight="1" x14ac:dyDescent="0.15">
      <c r="A2748" s="8" t="s">
        <v>14695</v>
      </c>
      <c r="B2748" s="9" t="s">
        <v>14696</v>
      </c>
      <c r="C2748" s="8" t="s">
        <v>14697</v>
      </c>
      <c r="D2748" s="8" t="s">
        <v>14697</v>
      </c>
      <c r="E2748" s="8" t="s">
        <v>14698</v>
      </c>
      <c r="F2748" s="8" t="s">
        <v>14566</v>
      </c>
      <c r="G2748" s="8" t="s">
        <v>14654</v>
      </c>
      <c r="H2748" s="8" t="s">
        <v>14655</v>
      </c>
      <c r="I2748" s="8" t="str">
        <f>HYPERLINK("http://www.c3groupsrl.com/","www.c3groupsrl.com")</f>
        <v>www.c3groupsrl.com</v>
      </c>
      <c r="J2748" s="10">
        <v>769.43899999999996</v>
      </c>
      <c r="K2748" s="10">
        <v>769.43899999999996</v>
      </c>
      <c r="L2748" s="10">
        <v>1268.355</v>
      </c>
      <c r="M2748" s="10">
        <v>11.211</v>
      </c>
      <c r="N2748" s="10">
        <v>11.211</v>
      </c>
      <c r="O2748" s="10">
        <v>87.605000000000004</v>
      </c>
      <c r="P2748" s="10">
        <v>6</v>
      </c>
      <c r="Q2748" s="10">
        <v>6</v>
      </c>
      <c r="R2748" s="10">
        <v>7</v>
      </c>
    </row>
    <row r="2749" spans="1:18" ht="17" customHeight="1" x14ac:dyDescent="0.15">
      <c r="A2749" s="11" t="s">
        <v>14699</v>
      </c>
      <c r="B2749" s="1" t="s">
        <v>14700</v>
      </c>
      <c r="C2749" s="11" t="s">
        <v>14701</v>
      </c>
      <c r="D2749" s="11" t="s">
        <v>14701</v>
      </c>
      <c r="E2749" s="11" t="s">
        <v>14702</v>
      </c>
      <c r="F2749" s="11" t="s">
        <v>14660</v>
      </c>
      <c r="G2749" s="11" t="s">
        <v>14703</v>
      </c>
      <c r="H2749" s="11" t="s">
        <v>14704</v>
      </c>
      <c r="I2749" s="11" t="str">
        <f>HYPERLINK("http://www.ascotspa.it/","http://www.ascotspa.it")</f>
        <v>http://www.ascotspa.it</v>
      </c>
      <c r="J2749" s="12">
        <v>848.39700000000005</v>
      </c>
      <c r="K2749" s="12">
        <v>848.39700000000005</v>
      </c>
      <c r="L2749" s="13">
        <v>1268.297</v>
      </c>
      <c r="M2749" s="12">
        <v>-263.33100000000002</v>
      </c>
      <c r="N2749" s="12">
        <v>-263.33100000000002</v>
      </c>
      <c r="O2749" s="12">
        <v>-909.947</v>
      </c>
      <c r="P2749" s="12">
        <v>8</v>
      </c>
      <c r="Q2749" s="12">
        <v>8</v>
      </c>
      <c r="R2749" s="12">
        <v>8</v>
      </c>
    </row>
    <row r="2750" spans="1:18" ht="17" customHeight="1" x14ac:dyDescent="0.15">
      <c r="A2750" s="8" t="s">
        <v>14705</v>
      </c>
      <c r="B2750" s="9" t="s">
        <v>14706</v>
      </c>
      <c r="C2750" s="8" t="s">
        <v>14707</v>
      </c>
      <c r="D2750" s="8" t="s">
        <v>14707</v>
      </c>
      <c r="E2750" s="8" t="s">
        <v>14708</v>
      </c>
      <c r="F2750" s="8" t="s">
        <v>14573</v>
      </c>
      <c r="G2750" s="8" t="s">
        <v>14709</v>
      </c>
      <c r="H2750" s="8" t="s">
        <v>14586</v>
      </c>
      <c r="I2750" s="8" t="str">
        <f>HYPERLINK("http://www.alevimilano.com/","www.alevimilano.com")</f>
        <v>www.alevimilano.com</v>
      </c>
      <c r="J2750" s="10">
        <v>2093.085</v>
      </c>
      <c r="K2750" s="10">
        <v>2093.085</v>
      </c>
      <c r="L2750" s="10">
        <v>1267.9929999999999</v>
      </c>
      <c r="M2750" s="10">
        <v>374.37200000000001</v>
      </c>
      <c r="N2750" s="10">
        <v>374.37200000000001</v>
      </c>
      <c r="O2750" s="10">
        <v>225.45</v>
      </c>
      <c r="P2750" s="15" t="s">
        <v>14560</v>
      </c>
      <c r="Q2750" s="15" t="s">
        <v>14560</v>
      </c>
      <c r="R2750" s="10">
        <v>1</v>
      </c>
    </row>
    <row r="2751" spans="1:18" ht="17" customHeight="1" x14ac:dyDescent="0.15">
      <c r="A2751" s="11" t="s">
        <v>14710</v>
      </c>
      <c r="B2751" s="1" t="s">
        <v>14711</v>
      </c>
      <c r="C2751" s="11" t="s">
        <v>14712</v>
      </c>
      <c r="D2751" s="11" t="s">
        <v>14712</v>
      </c>
      <c r="E2751" s="11" t="s">
        <v>14713</v>
      </c>
      <c r="F2751" s="11" t="s">
        <v>14714</v>
      </c>
      <c r="G2751" s="11" t="s">
        <v>14574</v>
      </c>
      <c r="H2751" s="11" t="s">
        <v>14568</v>
      </c>
      <c r="I2751" s="11" t="str">
        <f>HYPERLINK("http://www.sevenpelletteria.it/","www.sevenpelletteria.it")</f>
        <v>www.sevenpelletteria.it</v>
      </c>
      <c r="J2751" s="12">
        <v>1313.498</v>
      </c>
      <c r="K2751" s="12">
        <v>1313.498</v>
      </c>
      <c r="L2751" s="13">
        <v>1266.681</v>
      </c>
      <c r="M2751" s="12">
        <v>253.00399999999999</v>
      </c>
      <c r="N2751" s="12">
        <v>253.00399999999999</v>
      </c>
      <c r="O2751" s="12">
        <v>267.18099999999998</v>
      </c>
      <c r="P2751" s="14" t="s">
        <v>14560</v>
      </c>
      <c r="Q2751" s="14" t="s">
        <v>14560</v>
      </c>
      <c r="R2751" s="12">
        <v>33</v>
      </c>
    </row>
    <row r="2752" spans="1:18" ht="17" customHeight="1" x14ac:dyDescent="0.15">
      <c r="A2752" s="8" t="s">
        <v>14715</v>
      </c>
      <c r="B2752" s="9" t="s">
        <v>14716</v>
      </c>
      <c r="C2752" s="8" t="s">
        <v>14717</v>
      </c>
      <c r="D2752" s="8" t="s">
        <v>14717</v>
      </c>
      <c r="E2752" s="8" t="s">
        <v>14718</v>
      </c>
      <c r="F2752" s="8" t="s">
        <v>14584</v>
      </c>
      <c r="G2752" s="8" t="s">
        <v>14719</v>
      </c>
      <c r="H2752" s="8" t="s">
        <v>14720</v>
      </c>
      <c r="I2752" s="8" t="str">
        <f>HYPERLINK("http://www.rgsdiffusion.it/","www.rgsdiffusion.it")</f>
        <v>www.rgsdiffusion.it</v>
      </c>
      <c r="J2752" s="10">
        <v>1265.626</v>
      </c>
      <c r="K2752" s="15" t="s">
        <v>14560</v>
      </c>
      <c r="L2752" s="10">
        <v>1265.626</v>
      </c>
      <c r="M2752" s="10">
        <v>97.966999999999999</v>
      </c>
      <c r="N2752" s="15" t="s">
        <v>14560</v>
      </c>
      <c r="O2752" s="10">
        <v>97.966999999999999</v>
      </c>
      <c r="P2752" s="10">
        <v>2</v>
      </c>
      <c r="Q2752" s="15" t="s">
        <v>14560</v>
      </c>
      <c r="R2752" s="10">
        <v>2</v>
      </c>
    </row>
    <row r="2753" spans="1:18" ht="17" customHeight="1" x14ac:dyDescent="0.15">
      <c r="A2753" s="11" t="s">
        <v>14721</v>
      </c>
      <c r="B2753" s="1" t="s">
        <v>14722</v>
      </c>
      <c r="C2753" s="11" t="s">
        <v>14723</v>
      </c>
      <c r="D2753" s="11" t="s">
        <v>14723</v>
      </c>
      <c r="E2753" s="11" t="s">
        <v>14724</v>
      </c>
      <c r="F2753" s="11" t="s">
        <v>14725</v>
      </c>
      <c r="G2753" s="11" t="s">
        <v>14726</v>
      </c>
      <c r="H2753" s="11" t="s">
        <v>14727</v>
      </c>
      <c r="I2753" s="11" t="str">
        <f>HYPERLINK("http://brandingpro.it/","brandingpro.it")</f>
        <v>brandingpro.it</v>
      </c>
      <c r="J2753" s="12">
        <v>1652.9770000000001</v>
      </c>
      <c r="K2753" s="12">
        <v>1652.9770000000001</v>
      </c>
      <c r="L2753" s="13">
        <v>1264.9639999999999</v>
      </c>
      <c r="M2753" s="12">
        <v>11.32</v>
      </c>
      <c r="N2753" s="12">
        <v>11.32</v>
      </c>
      <c r="O2753" s="12">
        <v>3.9569999999999999</v>
      </c>
      <c r="P2753" s="14" t="s">
        <v>14728</v>
      </c>
      <c r="Q2753" s="14" t="s">
        <v>14728</v>
      </c>
      <c r="R2753" s="12">
        <v>8</v>
      </c>
    </row>
    <row r="2754" spans="1:18" ht="17" customHeight="1" x14ac:dyDescent="0.15">
      <c r="A2754" s="8" t="s">
        <v>14729</v>
      </c>
      <c r="B2754" s="9" t="s">
        <v>14730</v>
      </c>
      <c r="C2754" s="8" t="s">
        <v>14731</v>
      </c>
      <c r="D2754" s="8" t="s">
        <v>14731</v>
      </c>
      <c r="E2754" s="8" t="s">
        <v>14732</v>
      </c>
      <c r="F2754" s="8" t="s">
        <v>14733</v>
      </c>
      <c r="G2754" s="8" t="s">
        <v>14734</v>
      </c>
      <c r="H2754" s="8" t="s">
        <v>14735</v>
      </c>
      <c r="I2754" s="8" t="str">
        <f>HYPERLINK("http://www.magmoda.it/","http://www.magmoda.it")</f>
        <v>http://www.magmoda.it</v>
      </c>
      <c r="J2754" s="10">
        <v>1408.7380000000001</v>
      </c>
      <c r="K2754" s="10">
        <v>1408.7380000000001</v>
      </c>
      <c r="L2754" s="10">
        <v>1261.97</v>
      </c>
      <c r="M2754" s="10">
        <v>10.456</v>
      </c>
      <c r="N2754" s="10">
        <v>10.456</v>
      </c>
      <c r="O2754" s="10">
        <v>6.8109999999999999</v>
      </c>
      <c r="P2754" s="15" t="s">
        <v>14728</v>
      </c>
      <c r="Q2754" s="15" t="s">
        <v>14728</v>
      </c>
      <c r="R2754" s="10">
        <v>7</v>
      </c>
    </row>
    <row r="2755" spans="1:18" ht="17" customHeight="1" x14ac:dyDescent="0.15">
      <c r="A2755" s="11" t="s">
        <v>14736</v>
      </c>
      <c r="B2755" s="1" t="s">
        <v>14737</v>
      </c>
      <c r="C2755" s="11" t="s">
        <v>14738</v>
      </c>
      <c r="D2755" s="11" t="s">
        <v>14738</v>
      </c>
      <c r="E2755" s="11" t="s">
        <v>14739</v>
      </c>
      <c r="F2755" s="11" t="s">
        <v>14740</v>
      </c>
      <c r="G2755" s="11" t="s">
        <v>14741</v>
      </c>
      <c r="H2755" s="11" t="s">
        <v>14742</v>
      </c>
      <c r="I2755" s="11" t="str">
        <f>HYPERLINK("http://www.monsignor.it/","www.monsignor.it")</f>
        <v>www.monsignor.it</v>
      </c>
      <c r="J2755" s="12">
        <v>1262.0930000000001</v>
      </c>
      <c r="K2755" s="12">
        <v>1262.0930000000001</v>
      </c>
      <c r="L2755" s="13">
        <v>1260.5250000000001</v>
      </c>
      <c r="M2755" s="12">
        <v>109.346</v>
      </c>
      <c r="N2755" s="12">
        <v>109.346</v>
      </c>
      <c r="O2755" s="12">
        <v>50.481000000000002</v>
      </c>
      <c r="P2755" s="12">
        <v>9</v>
      </c>
      <c r="Q2755" s="12">
        <v>9</v>
      </c>
      <c r="R2755" s="12">
        <v>9</v>
      </c>
    </row>
    <row r="2756" spans="1:18" ht="17" customHeight="1" x14ac:dyDescent="0.15">
      <c r="A2756" s="8" t="s">
        <v>14743</v>
      </c>
      <c r="B2756" s="9" t="s">
        <v>14744</v>
      </c>
      <c r="C2756" s="8" t="s">
        <v>14745</v>
      </c>
      <c r="D2756" s="8" t="s">
        <v>14745</v>
      </c>
      <c r="E2756" s="8" t="s">
        <v>14746</v>
      </c>
      <c r="F2756" s="8" t="s">
        <v>14733</v>
      </c>
      <c r="G2756" s="8" t="s">
        <v>14747</v>
      </c>
      <c r="H2756" s="8" t="s">
        <v>14748</v>
      </c>
      <c r="I2756" s="8" t="str">
        <f>HYPERLINK("http://www.empressmore.com/","www.empressmore.com")</f>
        <v>www.empressmore.com</v>
      </c>
      <c r="J2756" s="10">
        <v>1132.701</v>
      </c>
      <c r="K2756" s="10">
        <v>1132.701</v>
      </c>
      <c r="L2756" s="10">
        <v>1259.2670000000001</v>
      </c>
      <c r="M2756" s="10">
        <v>6.524</v>
      </c>
      <c r="N2756" s="10">
        <v>6.524</v>
      </c>
      <c r="O2756" s="10">
        <v>10.590999999999999</v>
      </c>
      <c r="P2756" s="10">
        <v>6</v>
      </c>
      <c r="Q2756" s="10">
        <v>6</v>
      </c>
      <c r="R2756" s="10">
        <v>3</v>
      </c>
    </row>
    <row r="2757" spans="1:18" ht="17" customHeight="1" x14ac:dyDescent="0.15">
      <c r="A2757" s="11" t="s">
        <v>14749</v>
      </c>
      <c r="B2757" s="1" t="s">
        <v>14750</v>
      </c>
      <c r="C2757" s="11" t="s">
        <v>14751</v>
      </c>
      <c r="D2757" s="11" t="s">
        <v>14751</v>
      </c>
      <c r="E2757" s="11" t="s">
        <v>14752</v>
      </c>
      <c r="F2757" s="11" t="s">
        <v>14733</v>
      </c>
      <c r="G2757" s="11" t="s">
        <v>14753</v>
      </c>
      <c r="H2757" s="11" t="s">
        <v>14748</v>
      </c>
      <c r="I2757" s="11" t="str">
        <f>HYPERLINK("http://www.ruebisquit.com/","www.ruebisquit.com")</f>
        <v>www.ruebisquit.com</v>
      </c>
      <c r="J2757" s="12">
        <v>1676.883</v>
      </c>
      <c r="K2757" s="12">
        <v>1676.883</v>
      </c>
      <c r="L2757" s="13">
        <v>1257.1189999999999</v>
      </c>
      <c r="M2757" s="12">
        <v>-744.71299999999997</v>
      </c>
      <c r="N2757" s="12">
        <v>-744.71299999999997</v>
      </c>
      <c r="O2757" s="12">
        <v>14.738</v>
      </c>
      <c r="P2757" s="12">
        <v>8</v>
      </c>
      <c r="Q2757" s="12">
        <v>8</v>
      </c>
      <c r="R2757" s="12">
        <v>11</v>
      </c>
    </row>
    <row r="2758" spans="1:18" ht="17" customHeight="1" x14ac:dyDescent="0.15">
      <c r="A2758" s="8" t="s">
        <v>14754</v>
      </c>
      <c r="B2758" s="9" t="s">
        <v>14755</v>
      </c>
      <c r="C2758" s="8" t="s">
        <v>14756</v>
      </c>
      <c r="D2758" s="8" t="s">
        <v>14756</v>
      </c>
      <c r="E2758" s="8" t="s">
        <v>14757</v>
      </c>
      <c r="F2758" s="8" t="s">
        <v>14758</v>
      </c>
      <c r="G2758" s="8" t="s">
        <v>14759</v>
      </c>
      <c r="H2758" s="8" t="s">
        <v>14760</v>
      </c>
      <c r="I2758" s="8" t="str">
        <f>HYPERLINK("http://www.bottegadelcuoio.com/","www.bottegadelcuoio.com")</f>
        <v>www.bottegadelcuoio.com</v>
      </c>
      <c r="J2758" s="10">
        <v>1651.7940000000001</v>
      </c>
      <c r="K2758" s="10">
        <v>1651.7940000000001</v>
      </c>
      <c r="L2758" s="10">
        <v>1255.807</v>
      </c>
      <c r="M2758" s="10">
        <v>80.396000000000001</v>
      </c>
      <c r="N2758" s="10">
        <v>80.396000000000001</v>
      </c>
      <c r="O2758" s="10">
        <v>32.725000000000001</v>
      </c>
      <c r="P2758" s="10">
        <v>23</v>
      </c>
      <c r="Q2758" s="10">
        <v>23</v>
      </c>
      <c r="R2758" s="10">
        <v>21</v>
      </c>
    </row>
    <row r="2759" spans="1:18" ht="17" customHeight="1" x14ac:dyDescent="0.15">
      <c r="A2759" s="11" t="s">
        <v>14761</v>
      </c>
      <c r="B2759" s="1" t="s">
        <v>14762</v>
      </c>
      <c r="C2759" s="11" t="s">
        <v>14763</v>
      </c>
      <c r="D2759" s="11" t="s">
        <v>14763</v>
      </c>
      <c r="E2759" s="11" t="s">
        <v>14764</v>
      </c>
      <c r="F2759" s="11" t="s">
        <v>14765</v>
      </c>
      <c r="G2759" s="11" t="s">
        <v>14766</v>
      </c>
      <c r="H2759" s="11" t="s">
        <v>14767</v>
      </c>
      <c r="I2759" s="11" t="str">
        <f>HYPERLINK("http://www.noves.it/","www.noves.it")</f>
        <v>www.noves.it</v>
      </c>
      <c r="J2759" s="12">
        <v>1222.98</v>
      </c>
      <c r="K2759" s="12">
        <v>1222.98</v>
      </c>
      <c r="L2759" s="13">
        <v>1254.442</v>
      </c>
      <c r="M2759" s="12">
        <v>55.014000000000003</v>
      </c>
      <c r="N2759" s="12">
        <v>55.014000000000003</v>
      </c>
      <c r="O2759" s="12">
        <v>143.78200000000001</v>
      </c>
      <c r="P2759" s="12">
        <v>7</v>
      </c>
      <c r="Q2759" s="12">
        <v>7</v>
      </c>
      <c r="R2759" s="12">
        <v>8</v>
      </c>
    </row>
    <row r="2760" spans="1:18" ht="17" customHeight="1" x14ac:dyDescent="0.15">
      <c r="A2760" s="8" t="s">
        <v>14768</v>
      </c>
      <c r="B2760" s="9" t="s">
        <v>14769</v>
      </c>
      <c r="C2760" s="8" t="s">
        <v>14770</v>
      </c>
      <c r="D2760" s="8" t="s">
        <v>14770</v>
      </c>
      <c r="E2760" s="8" t="s">
        <v>14771</v>
      </c>
      <c r="F2760" s="8" t="s">
        <v>14758</v>
      </c>
      <c r="G2760" s="8" t="s">
        <v>14772</v>
      </c>
      <c r="H2760" s="8" t="s">
        <v>14760</v>
      </c>
      <c r="I2760" s="8" t="str">
        <f>HYPERLINK("http://www.simplemen.it/","www.simplemen.it")</f>
        <v>www.simplemen.it</v>
      </c>
      <c r="J2760" s="10">
        <v>1301.1559999999999</v>
      </c>
      <c r="K2760" s="10">
        <v>1301.1559999999999</v>
      </c>
      <c r="L2760" s="10">
        <v>1254.1489999999999</v>
      </c>
      <c r="M2760" s="10">
        <v>39.963999999999999</v>
      </c>
      <c r="N2760" s="10">
        <v>39.963999999999999</v>
      </c>
      <c r="O2760" s="10">
        <v>47.872</v>
      </c>
      <c r="P2760" s="10">
        <v>30</v>
      </c>
      <c r="Q2760" s="10">
        <v>30</v>
      </c>
      <c r="R2760" s="10">
        <v>21</v>
      </c>
    </row>
    <row r="2761" spans="1:18" ht="17" customHeight="1" x14ac:dyDescent="0.15">
      <c r="A2761" s="11" t="s">
        <v>14773</v>
      </c>
      <c r="B2761" s="1" t="s">
        <v>14774</v>
      </c>
      <c r="C2761" s="11" t="s">
        <v>14775</v>
      </c>
      <c r="D2761" s="11" t="s">
        <v>14775</v>
      </c>
      <c r="E2761" s="11" t="s">
        <v>14776</v>
      </c>
      <c r="F2761" s="11" t="s">
        <v>14777</v>
      </c>
      <c r="G2761" s="11" t="s">
        <v>14778</v>
      </c>
      <c r="H2761" s="11" t="s">
        <v>14779</v>
      </c>
      <c r="I2761" s="11" t="str">
        <f>HYPERLINK("http://www.cleofefinati.com/","www.cleofefinati.com")</f>
        <v>www.cleofefinati.com</v>
      </c>
      <c r="J2761" s="12">
        <v>1364.519</v>
      </c>
      <c r="K2761" s="12">
        <v>1364.519</v>
      </c>
      <c r="L2761" s="13">
        <v>1253.53</v>
      </c>
      <c r="M2761" s="12">
        <v>10.385999999999999</v>
      </c>
      <c r="N2761" s="12">
        <v>10.385999999999999</v>
      </c>
      <c r="O2761" s="12">
        <v>12.895</v>
      </c>
      <c r="P2761" s="12">
        <v>3</v>
      </c>
      <c r="Q2761" s="12">
        <v>3</v>
      </c>
      <c r="R2761" s="12">
        <v>4</v>
      </c>
    </row>
    <row r="2762" spans="1:18" ht="17" customHeight="1" x14ac:dyDescent="0.15">
      <c r="A2762" s="8" t="s">
        <v>14780</v>
      </c>
      <c r="B2762" s="9" t="s">
        <v>14781</v>
      </c>
      <c r="C2762" s="8" t="s">
        <v>14782</v>
      </c>
      <c r="D2762" s="8" t="s">
        <v>14782</v>
      </c>
      <c r="E2762" s="8" t="s">
        <v>14783</v>
      </c>
      <c r="F2762" s="8" t="s">
        <v>14784</v>
      </c>
      <c r="G2762" s="8" t="s">
        <v>14766</v>
      </c>
      <c r="H2762" s="8" t="s">
        <v>14767</v>
      </c>
      <c r="I2762" s="8" t="str">
        <f>HYPERLINK("http://www.spaccatricepiave.it/","www.spaccatricepiave.it")</f>
        <v>www.spaccatricepiave.it</v>
      </c>
      <c r="J2762" s="10">
        <v>1251.5640000000001</v>
      </c>
      <c r="K2762" s="10">
        <v>1251.5640000000001</v>
      </c>
      <c r="L2762" s="10">
        <v>1252.1679999999999</v>
      </c>
      <c r="M2762" s="10">
        <v>15.151</v>
      </c>
      <c r="N2762" s="10">
        <v>15.151</v>
      </c>
      <c r="O2762" s="10">
        <v>-1.8959999999999999</v>
      </c>
      <c r="P2762" s="10">
        <v>15</v>
      </c>
      <c r="Q2762" s="10">
        <v>15</v>
      </c>
      <c r="R2762" s="10">
        <v>15</v>
      </c>
    </row>
    <row r="2763" spans="1:18" ht="17" customHeight="1" x14ac:dyDescent="0.15">
      <c r="A2763" s="11" t="s">
        <v>14785</v>
      </c>
      <c r="B2763" s="1" t="s">
        <v>14786</v>
      </c>
      <c r="C2763" s="11" t="s">
        <v>14787</v>
      </c>
      <c r="D2763" s="11" t="s">
        <v>14788</v>
      </c>
      <c r="E2763" s="11" t="s">
        <v>14789</v>
      </c>
      <c r="F2763" s="11" t="s">
        <v>14790</v>
      </c>
      <c r="G2763" s="11" t="s">
        <v>14791</v>
      </c>
      <c r="H2763" s="11" t="s">
        <v>14727</v>
      </c>
      <c r="I2763" s="11" t="str">
        <f>HYPERLINK("http://www.mediasoft.it/agnense","www.mediasoft.it/agnense")</f>
        <v>www.mediasoft.it/agnense</v>
      </c>
      <c r="J2763" s="12">
        <v>1094.8879999999999</v>
      </c>
      <c r="K2763" s="12">
        <v>1094.8879999999999</v>
      </c>
      <c r="L2763" s="13">
        <v>1251.827</v>
      </c>
      <c r="M2763" s="12">
        <v>242.86699999999999</v>
      </c>
      <c r="N2763" s="12">
        <v>242.86699999999999</v>
      </c>
      <c r="O2763" s="12">
        <v>127.559</v>
      </c>
      <c r="P2763" s="12">
        <v>14</v>
      </c>
      <c r="Q2763" s="12">
        <v>14</v>
      </c>
      <c r="R2763" s="12">
        <v>13</v>
      </c>
    </row>
    <row r="2764" spans="1:18" ht="17" customHeight="1" x14ac:dyDescent="0.15">
      <c r="A2764" s="8" t="s">
        <v>14792</v>
      </c>
      <c r="B2764" s="9" t="s">
        <v>14793</v>
      </c>
      <c r="C2764" s="8" t="s">
        <v>14794</v>
      </c>
      <c r="D2764" s="8" t="s">
        <v>14794</v>
      </c>
      <c r="E2764" s="8" t="s">
        <v>14795</v>
      </c>
      <c r="F2764" s="8" t="s">
        <v>14796</v>
      </c>
      <c r="G2764" s="8" t="s">
        <v>14759</v>
      </c>
      <c r="H2764" s="8" t="s">
        <v>14760</v>
      </c>
      <c r="I2764" s="8" t="str">
        <f>HYPERLINK("http://www.camillamilano.it/","www.camillamilano.it")</f>
        <v>www.camillamilano.it</v>
      </c>
      <c r="J2764" s="10">
        <v>1593.08</v>
      </c>
      <c r="K2764" s="10">
        <v>1593.08</v>
      </c>
      <c r="L2764" s="10">
        <v>1251.317</v>
      </c>
      <c r="M2764" s="10">
        <v>43.328000000000003</v>
      </c>
      <c r="N2764" s="10">
        <v>43.328000000000003</v>
      </c>
      <c r="O2764" s="10">
        <v>15.855</v>
      </c>
      <c r="P2764" s="15" t="s">
        <v>14728</v>
      </c>
      <c r="Q2764" s="15" t="s">
        <v>14728</v>
      </c>
      <c r="R2764" s="10">
        <v>11</v>
      </c>
    </row>
    <row r="2765" spans="1:18" ht="17" customHeight="1" x14ac:dyDescent="0.15">
      <c r="A2765" s="11" t="s">
        <v>14797</v>
      </c>
      <c r="B2765" s="1" t="s">
        <v>14798</v>
      </c>
      <c r="C2765" s="11" t="s">
        <v>14799</v>
      </c>
      <c r="D2765" s="11" t="s">
        <v>14799</v>
      </c>
      <c r="E2765" s="11" t="s">
        <v>14800</v>
      </c>
      <c r="F2765" s="11" t="s">
        <v>14733</v>
      </c>
      <c r="G2765" s="11" t="s">
        <v>14801</v>
      </c>
      <c r="H2765" s="11" t="s">
        <v>14802</v>
      </c>
      <c r="I2765" s="11" t="str">
        <f>HYPERLINK("http://compagniadelcachemire.com/","compagniadelcachemire.com")</f>
        <v>compagniadelcachemire.com</v>
      </c>
      <c r="J2765" s="12">
        <v>675.995</v>
      </c>
      <c r="K2765" s="12">
        <v>675.995</v>
      </c>
      <c r="L2765" s="13">
        <v>1250.8879999999999</v>
      </c>
      <c r="M2765" s="12">
        <v>1.7589999999999999</v>
      </c>
      <c r="N2765" s="12">
        <v>1.7589999999999999</v>
      </c>
      <c r="O2765" s="12">
        <v>10.654999999999999</v>
      </c>
      <c r="P2765" s="12">
        <v>3</v>
      </c>
      <c r="Q2765" s="12">
        <v>3</v>
      </c>
      <c r="R2765" s="12">
        <v>1</v>
      </c>
    </row>
    <row r="2766" spans="1:18" ht="17" customHeight="1" x14ac:dyDescent="0.15">
      <c r="A2766" s="8" t="s">
        <v>14803</v>
      </c>
      <c r="B2766" s="9" t="s">
        <v>14804</v>
      </c>
      <c r="C2766" s="8" t="s">
        <v>14805</v>
      </c>
      <c r="D2766" s="8" t="s">
        <v>14805</v>
      </c>
      <c r="E2766" s="8" t="s">
        <v>14806</v>
      </c>
      <c r="F2766" s="8" t="s">
        <v>14733</v>
      </c>
      <c r="G2766" s="8" t="s">
        <v>14807</v>
      </c>
      <c r="H2766" s="8" t="s">
        <v>14727</v>
      </c>
      <c r="I2766" s="8" t="str">
        <f>HYPERLINK("http://www.makeinitaly.eu/","www.makeinitaly.eu")</f>
        <v>www.makeinitaly.eu</v>
      </c>
      <c r="J2766" s="10">
        <v>495.21899999999999</v>
      </c>
      <c r="K2766" s="10">
        <v>495.21899999999999</v>
      </c>
      <c r="L2766" s="10">
        <v>1248.623</v>
      </c>
      <c r="M2766" s="10">
        <v>-274.05399999999997</v>
      </c>
      <c r="N2766" s="10">
        <v>-274.05399999999997</v>
      </c>
      <c r="O2766" s="10">
        <v>170.191</v>
      </c>
      <c r="P2766" s="15" t="s">
        <v>14728</v>
      </c>
      <c r="Q2766" s="15" t="s">
        <v>14728</v>
      </c>
      <c r="R2766" s="10">
        <v>7</v>
      </c>
    </row>
    <row r="2767" spans="1:18" ht="17" customHeight="1" x14ac:dyDescent="0.15">
      <c r="A2767" s="11" t="s">
        <v>14808</v>
      </c>
      <c r="B2767" s="1" t="s">
        <v>14809</v>
      </c>
      <c r="C2767" s="11" t="s">
        <v>14810</v>
      </c>
      <c r="D2767" s="11" t="s">
        <v>14810</v>
      </c>
      <c r="E2767" s="11" t="s">
        <v>14811</v>
      </c>
      <c r="F2767" s="11" t="s">
        <v>14812</v>
      </c>
      <c r="G2767" s="11" t="s">
        <v>14813</v>
      </c>
      <c r="H2767" s="11" t="s">
        <v>14767</v>
      </c>
      <c r="I2767" s="11" t="str">
        <f>HYPERLINK("http://www.corlab.it/","www.corlab.it")</f>
        <v>www.corlab.it</v>
      </c>
      <c r="J2767" s="12">
        <v>1049.856</v>
      </c>
      <c r="K2767" s="12">
        <v>1049.856</v>
      </c>
      <c r="L2767" s="13">
        <v>1248.0550000000001</v>
      </c>
      <c r="M2767" s="12">
        <v>-15.535</v>
      </c>
      <c r="N2767" s="12">
        <v>-15.535</v>
      </c>
      <c r="O2767" s="12">
        <v>10.441000000000001</v>
      </c>
      <c r="P2767" s="12">
        <v>23</v>
      </c>
      <c r="Q2767" s="12">
        <v>23</v>
      </c>
      <c r="R2767" s="12">
        <v>21</v>
      </c>
    </row>
    <row r="2768" spans="1:18" ht="17" customHeight="1" x14ac:dyDescent="0.15">
      <c r="A2768" s="8" t="s">
        <v>14814</v>
      </c>
      <c r="B2768" s="9" t="s">
        <v>14815</v>
      </c>
      <c r="C2768" s="8" t="s">
        <v>14816</v>
      </c>
      <c r="D2768" s="8" t="s">
        <v>14816</v>
      </c>
      <c r="E2768" s="8" t="s">
        <v>14817</v>
      </c>
      <c r="F2768" s="8" t="s">
        <v>14818</v>
      </c>
      <c r="G2768" s="8" t="s">
        <v>14819</v>
      </c>
      <c r="H2768" s="8" t="s">
        <v>14748</v>
      </c>
      <c r="I2768" s="8" t="str">
        <f>HYPERLINK("http://www.focus-group.it/","http://www.focus-group.it")</f>
        <v>http://www.focus-group.it</v>
      </c>
      <c r="J2768" s="10">
        <v>1959.7070000000001</v>
      </c>
      <c r="K2768" s="10">
        <v>1959.7070000000001</v>
      </c>
      <c r="L2768" s="10">
        <v>1247.451</v>
      </c>
      <c r="M2768" s="10">
        <v>31.945</v>
      </c>
      <c r="N2768" s="10">
        <v>31.945</v>
      </c>
      <c r="O2768" s="10">
        <v>-140.709</v>
      </c>
      <c r="P2768" s="10">
        <v>4</v>
      </c>
      <c r="Q2768" s="10">
        <v>4</v>
      </c>
      <c r="R2768" s="10">
        <v>4</v>
      </c>
    </row>
    <row r="2769" spans="1:18" ht="17" customHeight="1" x14ac:dyDescent="0.15">
      <c r="A2769" s="11" t="s">
        <v>14820</v>
      </c>
      <c r="B2769" s="1" t="s">
        <v>14821</v>
      </c>
      <c r="C2769" s="11" t="s">
        <v>14822</v>
      </c>
      <c r="D2769" s="11" t="s">
        <v>14822</v>
      </c>
      <c r="E2769" s="11" t="s">
        <v>14823</v>
      </c>
      <c r="F2769" s="11" t="s">
        <v>14777</v>
      </c>
      <c r="G2769" s="11" t="s">
        <v>14824</v>
      </c>
      <c r="H2769" s="11" t="s">
        <v>14735</v>
      </c>
      <c r="I2769" s="11" t="str">
        <f>HYPERLINK("http://www.sindi-prototipia-moda.it/","www.sindi-prototipia-moda.it")</f>
        <v>www.sindi-prototipia-moda.it</v>
      </c>
      <c r="J2769" s="12">
        <v>985.96100000000001</v>
      </c>
      <c r="K2769" s="12">
        <v>985.96100000000001</v>
      </c>
      <c r="L2769" s="13">
        <v>1247.2819999999999</v>
      </c>
      <c r="M2769" s="12">
        <v>-46.661000000000001</v>
      </c>
      <c r="N2769" s="12">
        <v>-46.661000000000001</v>
      </c>
      <c r="O2769" s="12">
        <v>19.015000000000001</v>
      </c>
      <c r="P2769" s="14" t="s">
        <v>14728</v>
      </c>
      <c r="Q2769" s="14" t="s">
        <v>14728</v>
      </c>
      <c r="R2769" s="12">
        <v>26</v>
      </c>
    </row>
    <row r="2770" spans="1:18" ht="17" customHeight="1" x14ac:dyDescent="0.15">
      <c r="A2770" s="8" t="s">
        <v>14825</v>
      </c>
      <c r="B2770" s="9" t="s">
        <v>14826</v>
      </c>
      <c r="C2770" s="8" t="s">
        <v>14827</v>
      </c>
      <c r="D2770" s="8" t="s">
        <v>14827</v>
      </c>
      <c r="E2770" s="8" t="s">
        <v>14828</v>
      </c>
      <c r="F2770" s="8" t="s">
        <v>14765</v>
      </c>
      <c r="G2770" s="8" t="s">
        <v>14829</v>
      </c>
      <c r="H2770" s="8" t="s">
        <v>14830</v>
      </c>
      <c r="I2770" s="8" t="str">
        <f>HYPERLINK("http://www.tomaificiosandrorossi.it/","www.tomaificiosandrorossi.it")</f>
        <v>www.tomaificiosandrorossi.it</v>
      </c>
      <c r="J2770" s="10">
        <v>1525.2829999999999</v>
      </c>
      <c r="K2770" s="10">
        <v>1525.2829999999999</v>
      </c>
      <c r="L2770" s="10">
        <v>1246.0219999999999</v>
      </c>
      <c r="M2770" s="10">
        <v>24.672999999999998</v>
      </c>
      <c r="N2770" s="10">
        <v>24.672999999999998</v>
      </c>
      <c r="O2770" s="10">
        <v>11.179</v>
      </c>
      <c r="P2770" s="10">
        <v>17</v>
      </c>
      <c r="Q2770" s="10">
        <v>17</v>
      </c>
      <c r="R2770" s="10">
        <v>15</v>
      </c>
    </row>
    <row r="2771" spans="1:18" ht="29.5" customHeight="1" x14ac:dyDescent="0.15">
      <c r="A2771" s="11" t="s">
        <v>14831</v>
      </c>
      <c r="B2771" s="1" t="s">
        <v>14832</v>
      </c>
      <c r="C2771" s="11" t="s">
        <v>14833</v>
      </c>
      <c r="D2771" s="11" t="s">
        <v>14833</v>
      </c>
      <c r="E2771" s="11" t="s">
        <v>14834</v>
      </c>
      <c r="F2771" s="11" t="s">
        <v>14835</v>
      </c>
      <c r="G2771" s="11" t="s">
        <v>14836</v>
      </c>
      <c r="H2771" s="11" t="s">
        <v>14837</v>
      </c>
      <c r="I2771" s="11" t="str">
        <f>HYPERLINK("http://www.rinascitashoes.it/","www.rinascitashoes.it")</f>
        <v>www.rinascitashoes.it</v>
      </c>
      <c r="J2771" s="12">
        <v>849.97400000000005</v>
      </c>
      <c r="K2771" s="12">
        <v>849.97400000000005</v>
      </c>
      <c r="L2771" s="13">
        <v>1245.1469999999999</v>
      </c>
      <c r="M2771" s="12">
        <v>-218.22</v>
      </c>
      <c r="N2771" s="12">
        <v>-218.22</v>
      </c>
      <c r="O2771" s="12">
        <v>-180.071</v>
      </c>
      <c r="P2771" s="12">
        <v>28</v>
      </c>
      <c r="Q2771" s="12">
        <v>28</v>
      </c>
      <c r="R2771" s="12">
        <v>33</v>
      </c>
    </row>
    <row r="2772" spans="1:18" ht="17" customHeight="1" x14ac:dyDescent="0.15">
      <c r="A2772" s="8" t="s">
        <v>14838</v>
      </c>
      <c r="B2772" s="9" t="s">
        <v>14839</v>
      </c>
      <c r="C2772" s="8" t="s">
        <v>14840</v>
      </c>
      <c r="D2772" s="8" t="s">
        <v>14840</v>
      </c>
      <c r="E2772" s="8" t="s">
        <v>14841</v>
      </c>
      <c r="F2772" s="8" t="s">
        <v>14765</v>
      </c>
      <c r="G2772" s="8" t="s">
        <v>14829</v>
      </c>
      <c r="H2772" s="8" t="s">
        <v>14830</v>
      </c>
      <c r="I2772" s="8" t="str">
        <f>HYPERLINK("http://www.ercan.it/","www.ercan.it")</f>
        <v>www.ercan.it</v>
      </c>
      <c r="J2772" s="10">
        <v>1239.6410000000001</v>
      </c>
      <c r="K2772" s="10">
        <v>1239.6410000000001</v>
      </c>
      <c r="L2772" s="10">
        <v>1244.9570000000001</v>
      </c>
      <c r="M2772" s="10">
        <v>40.124000000000002</v>
      </c>
      <c r="N2772" s="10">
        <v>40.124000000000002</v>
      </c>
      <c r="O2772" s="10">
        <v>81.305999999999997</v>
      </c>
      <c r="P2772" s="10">
        <v>9</v>
      </c>
      <c r="Q2772" s="10">
        <v>9</v>
      </c>
      <c r="R2772" s="10">
        <v>7</v>
      </c>
    </row>
    <row r="2773" spans="1:18" ht="29.5" customHeight="1" x14ac:dyDescent="0.15">
      <c r="A2773" s="11" t="s">
        <v>14842</v>
      </c>
      <c r="B2773" s="1" t="s">
        <v>14843</v>
      </c>
      <c r="C2773" s="11" t="s">
        <v>14844</v>
      </c>
      <c r="D2773" s="11" t="s">
        <v>14845</v>
      </c>
      <c r="E2773" s="11" t="s">
        <v>14846</v>
      </c>
      <c r="F2773" s="11" t="s">
        <v>14847</v>
      </c>
      <c r="G2773" s="11" t="s">
        <v>14848</v>
      </c>
      <c r="H2773" s="11" t="s">
        <v>14742</v>
      </c>
      <c r="I2773" s="11" t="str">
        <f>HYPERLINK("http://futurauniform.com/","futurauniform.com")</f>
        <v>futurauniform.com</v>
      </c>
      <c r="J2773" s="12">
        <v>1094.537</v>
      </c>
      <c r="K2773" s="12">
        <v>1094.537</v>
      </c>
      <c r="L2773" s="13">
        <v>1244.952</v>
      </c>
      <c r="M2773" s="12">
        <v>-4.6859999999999999</v>
      </c>
      <c r="N2773" s="12">
        <v>-4.6859999999999999</v>
      </c>
      <c r="O2773" s="12">
        <v>23.506</v>
      </c>
      <c r="P2773" s="12">
        <v>11</v>
      </c>
      <c r="Q2773" s="12">
        <v>11</v>
      </c>
      <c r="R2773" s="12">
        <v>10</v>
      </c>
    </row>
    <row r="2774" spans="1:18" ht="17" customHeight="1" x14ac:dyDescent="0.15">
      <c r="A2774" s="8" t="s">
        <v>14849</v>
      </c>
      <c r="B2774" s="9" t="s">
        <v>14850</v>
      </c>
      <c r="C2774" s="8" t="s">
        <v>14851</v>
      </c>
      <c r="D2774" s="8" t="s">
        <v>14851</v>
      </c>
      <c r="E2774" s="8" t="s">
        <v>14852</v>
      </c>
      <c r="F2774" s="8" t="s">
        <v>14853</v>
      </c>
      <c r="G2774" s="8" t="s">
        <v>14854</v>
      </c>
      <c r="H2774" s="8" t="s">
        <v>14748</v>
      </c>
      <c r="I2774" s="8" t="str">
        <f>HYPERLINK("http://www.maurogoverna.com/","www.maurogoverna.com")</f>
        <v>www.maurogoverna.com</v>
      </c>
      <c r="J2774" s="10">
        <v>1131.57</v>
      </c>
      <c r="K2774" s="10">
        <v>1131.57</v>
      </c>
      <c r="L2774" s="10">
        <v>1243.9949999999999</v>
      </c>
      <c r="M2774" s="10">
        <v>44.180999999999997</v>
      </c>
      <c r="N2774" s="10">
        <v>44.180999999999997</v>
      </c>
      <c r="O2774" s="10">
        <v>37.656999999999996</v>
      </c>
      <c r="P2774" s="10">
        <v>11</v>
      </c>
      <c r="Q2774" s="10">
        <v>11</v>
      </c>
      <c r="R2774" s="10">
        <v>13</v>
      </c>
    </row>
    <row r="2775" spans="1:18" ht="17" customHeight="1" x14ac:dyDescent="0.15">
      <c r="A2775" s="11" t="s">
        <v>14855</v>
      </c>
      <c r="B2775" s="1" t="s">
        <v>14856</v>
      </c>
      <c r="C2775" s="11" t="s">
        <v>14857</v>
      </c>
      <c r="D2775" s="11" t="s">
        <v>14857</v>
      </c>
      <c r="E2775" s="11" t="s">
        <v>14858</v>
      </c>
      <c r="F2775" s="11" t="s">
        <v>14740</v>
      </c>
      <c r="G2775" s="11" t="s">
        <v>14859</v>
      </c>
      <c r="H2775" s="11" t="s">
        <v>14735</v>
      </c>
      <c r="I2775" s="11" t="str">
        <f>HYPERLINK("http://www.henri.it/","www.henri.it")</f>
        <v>www.henri.it</v>
      </c>
      <c r="J2775" s="12">
        <v>1257.8630000000001</v>
      </c>
      <c r="K2775" s="12">
        <v>1257.8630000000001</v>
      </c>
      <c r="L2775" s="13">
        <v>1241.9960000000001</v>
      </c>
      <c r="M2775" s="12">
        <v>7.89</v>
      </c>
      <c r="N2775" s="12">
        <v>7.89</v>
      </c>
      <c r="O2775" s="12">
        <v>6.3070000000000004</v>
      </c>
      <c r="P2775" s="12">
        <v>10</v>
      </c>
      <c r="Q2775" s="12">
        <v>10</v>
      </c>
      <c r="R2775" s="12">
        <v>15</v>
      </c>
    </row>
    <row r="2776" spans="1:18" ht="17" customHeight="1" x14ac:dyDescent="0.15">
      <c r="A2776" s="8" t="s">
        <v>14860</v>
      </c>
      <c r="B2776" s="9" t="s">
        <v>14861</v>
      </c>
      <c r="C2776" s="8" t="s">
        <v>14862</v>
      </c>
      <c r="D2776" s="8" t="s">
        <v>14862</v>
      </c>
      <c r="E2776" s="8" t="s">
        <v>14863</v>
      </c>
      <c r="F2776" s="8" t="s">
        <v>14725</v>
      </c>
      <c r="G2776" s="8" t="s">
        <v>14864</v>
      </c>
      <c r="H2776" s="8" t="s">
        <v>14830</v>
      </c>
      <c r="I2776" s="8" t="str">
        <f>HYPERLINK("http://marsport.it/","marsport.it")</f>
        <v>marsport.it</v>
      </c>
      <c r="J2776" s="10">
        <v>1028.1880000000001</v>
      </c>
      <c r="K2776" s="10">
        <v>1028.1880000000001</v>
      </c>
      <c r="L2776" s="10">
        <v>1241.1849999999999</v>
      </c>
      <c r="M2776" s="10">
        <v>17.891999999999999</v>
      </c>
      <c r="N2776" s="10">
        <v>17.891999999999999</v>
      </c>
      <c r="O2776" s="10">
        <v>32.896999999999998</v>
      </c>
      <c r="P2776" s="10">
        <v>7</v>
      </c>
      <c r="Q2776" s="10">
        <v>7</v>
      </c>
      <c r="R2776" s="10">
        <v>6</v>
      </c>
    </row>
    <row r="2777" spans="1:18" ht="17" customHeight="1" x14ac:dyDescent="0.15">
      <c r="A2777" s="11" t="s">
        <v>14865</v>
      </c>
      <c r="B2777" s="1" t="s">
        <v>14866</v>
      </c>
      <c r="C2777" s="11" t="s">
        <v>14867</v>
      </c>
      <c r="D2777" s="11" t="s">
        <v>14867</v>
      </c>
      <c r="E2777" s="11" t="s">
        <v>14868</v>
      </c>
      <c r="F2777" s="11" t="s">
        <v>14733</v>
      </c>
      <c r="G2777" s="11" t="s">
        <v>14869</v>
      </c>
      <c r="H2777" s="11" t="s">
        <v>14727</v>
      </c>
      <c r="I2777" s="11" t="str">
        <f>HYPERLINK("http://www.apachefactory.com/","www.apachefactory.com")</f>
        <v>www.apachefactory.com</v>
      </c>
      <c r="J2777" s="12">
        <v>1510.7139999999999</v>
      </c>
      <c r="K2777" s="12">
        <v>1510.7139999999999</v>
      </c>
      <c r="L2777" s="13">
        <v>1240.211</v>
      </c>
      <c r="M2777" s="12">
        <v>21.625</v>
      </c>
      <c r="N2777" s="12">
        <v>21.625</v>
      </c>
      <c r="O2777" s="12">
        <v>29.111999999999998</v>
      </c>
      <c r="P2777" s="14" t="s">
        <v>14728</v>
      </c>
      <c r="Q2777" s="14" t="s">
        <v>14728</v>
      </c>
      <c r="R2777" s="12">
        <v>11</v>
      </c>
    </row>
    <row r="2778" spans="1:18" ht="43" customHeight="1" x14ac:dyDescent="0.15">
      <c r="A2778" s="8" t="s">
        <v>14870</v>
      </c>
      <c r="B2778" s="9" t="s">
        <v>14871</v>
      </c>
      <c r="C2778" s="8" t="s">
        <v>14872</v>
      </c>
      <c r="D2778" s="8" t="s">
        <v>14872</v>
      </c>
      <c r="E2778" s="8" t="s">
        <v>14873</v>
      </c>
      <c r="F2778" s="8" t="s">
        <v>14847</v>
      </c>
      <c r="G2778" s="8" t="s">
        <v>14848</v>
      </c>
      <c r="H2778" s="8" t="s">
        <v>14742</v>
      </c>
      <c r="I2778" s="8" t="str">
        <f>HYPERLINK("http://www.dinzillosweetmode.it/","www.dinzillosweetmode.it")</f>
        <v>www.dinzillosweetmode.it</v>
      </c>
      <c r="J2778" s="10">
        <v>1515.605</v>
      </c>
      <c r="K2778" s="10">
        <v>1515.605</v>
      </c>
      <c r="L2778" s="10">
        <v>1239.3820000000001</v>
      </c>
      <c r="M2778" s="10">
        <v>134.33099999999999</v>
      </c>
      <c r="N2778" s="10">
        <v>134.33099999999999</v>
      </c>
      <c r="O2778" s="10">
        <v>54.154000000000003</v>
      </c>
      <c r="P2778" s="15" t="s">
        <v>14728</v>
      </c>
      <c r="Q2778" s="15" t="s">
        <v>14728</v>
      </c>
      <c r="R2778" s="10">
        <v>12</v>
      </c>
    </row>
    <row r="2779" spans="1:18" ht="17" customHeight="1" x14ac:dyDescent="0.15">
      <c r="A2779" s="11" t="s">
        <v>14874</v>
      </c>
      <c r="B2779" s="1" t="s">
        <v>14875</v>
      </c>
      <c r="C2779" s="11" t="s">
        <v>14876</v>
      </c>
      <c r="D2779" s="11" t="s">
        <v>14876</v>
      </c>
      <c r="E2779" s="11" t="s">
        <v>14877</v>
      </c>
      <c r="F2779" s="11" t="s">
        <v>14733</v>
      </c>
      <c r="G2779" s="11" t="s">
        <v>14878</v>
      </c>
      <c r="H2779" s="11" t="s">
        <v>14879</v>
      </c>
      <c r="I2779" s="11" t="str">
        <f>HYPERLINK("http://rialto48.com/","rialto48.com")</f>
        <v>rialto48.com</v>
      </c>
      <c r="J2779" s="12">
        <v>1742.0160000000001</v>
      </c>
      <c r="K2779" s="12">
        <v>1742.0160000000001</v>
      </c>
      <c r="L2779" s="13">
        <v>1238.7159999999999</v>
      </c>
      <c r="M2779" s="12">
        <v>102.38800000000001</v>
      </c>
      <c r="N2779" s="12">
        <v>102.38800000000001</v>
      </c>
      <c r="O2779" s="12">
        <v>153.892</v>
      </c>
      <c r="P2779" s="12">
        <v>4</v>
      </c>
      <c r="Q2779" s="12">
        <v>4</v>
      </c>
      <c r="R2779" s="12">
        <v>2</v>
      </c>
    </row>
    <row r="2780" spans="1:18" ht="29.5" customHeight="1" x14ac:dyDescent="0.15">
      <c r="A2780" s="8" t="s">
        <v>14880</v>
      </c>
      <c r="B2780" s="9" t="s">
        <v>14881</v>
      </c>
      <c r="C2780" s="8" t="s">
        <v>14882</v>
      </c>
      <c r="D2780" s="8" t="s">
        <v>14882</v>
      </c>
      <c r="E2780" s="8" t="s">
        <v>14883</v>
      </c>
      <c r="F2780" s="8" t="s">
        <v>14733</v>
      </c>
      <c r="G2780" s="8" t="s">
        <v>14884</v>
      </c>
      <c r="H2780" s="8" t="s">
        <v>14802</v>
      </c>
      <c r="I2780" s="8" t="str">
        <f>HYPERLINK("http://www.napoletanoconfezioni.it/","www.napoletanoconfezioni.it")</f>
        <v>www.napoletanoconfezioni.it</v>
      </c>
      <c r="J2780" s="10">
        <v>1578.2190000000001</v>
      </c>
      <c r="K2780" s="10">
        <v>1578.2190000000001</v>
      </c>
      <c r="L2780" s="10">
        <v>1238.0139999999999</v>
      </c>
      <c r="M2780" s="10">
        <v>142.79900000000001</v>
      </c>
      <c r="N2780" s="10">
        <v>142.79900000000001</v>
      </c>
      <c r="O2780" s="10">
        <v>88.593000000000004</v>
      </c>
      <c r="P2780" s="15" t="s">
        <v>14728</v>
      </c>
      <c r="Q2780" s="15" t="s">
        <v>14728</v>
      </c>
      <c r="R2780" s="10">
        <v>29</v>
      </c>
    </row>
    <row r="2781" spans="1:18" ht="17" customHeight="1" x14ac:dyDescent="0.15">
      <c r="A2781" s="11" t="s">
        <v>14885</v>
      </c>
      <c r="B2781" s="1" t="s">
        <v>14886</v>
      </c>
      <c r="C2781" s="11" t="s">
        <v>14887</v>
      </c>
      <c r="D2781" s="11" t="s">
        <v>14887</v>
      </c>
      <c r="E2781" s="11" t="s">
        <v>14888</v>
      </c>
      <c r="F2781" s="11" t="s">
        <v>14784</v>
      </c>
      <c r="G2781" s="11" t="s">
        <v>14726</v>
      </c>
      <c r="H2781" s="11" t="s">
        <v>14727</v>
      </c>
      <c r="I2781" s="11" t="str">
        <f>HYPERLINK("http://www.soldasrl.it/","www.soldasrl.it")</f>
        <v>www.soldasrl.it</v>
      </c>
      <c r="J2781" s="12">
        <v>1479.357</v>
      </c>
      <c r="K2781" s="12">
        <v>1479.357</v>
      </c>
      <c r="L2781" s="13">
        <v>1237.098</v>
      </c>
      <c r="M2781" s="12">
        <v>32.840000000000003</v>
      </c>
      <c r="N2781" s="12">
        <v>32.840000000000003</v>
      </c>
      <c r="O2781" s="12">
        <v>22.733000000000001</v>
      </c>
      <c r="P2781" s="12">
        <v>14</v>
      </c>
      <c r="Q2781" s="12">
        <v>14</v>
      </c>
      <c r="R2781" s="12">
        <v>15</v>
      </c>
    </row>
    <row r="2782" spans="1:18" ht="29.5" customHeight="1" x14ac:dyDescent="0.15">
      <c r="A2782" s="8" t="s">
        <v>14889</v>
      </c>
      <c r="B2782" s="9" t="s">
        <v>14890</v>
      </c>
      <c r="C2782" s="8" t="s">
        <v>14891</v>
      </c>
      <c r="D2782" s="8" t="s">
        <v>14891</v>
      </c>
      <c r="E2782" s="8" t="s">
        <v>14892</v>
      </c>
      <c r="F2782" s="8" t="s">
        <v>14740</v>
      </c>
      <c r="G2782" s="8" t="s">
        <v>14893</v>
      </c>
      <c r="H2782" s="8" t="s">
        <v>14802</v>
      </c>
      <c r="I2782" s="8" t="str">
        <f>HYPERLINK("http://www.manamitalia.com/","www.manamitalia.com")</f>
        <v>www.manamitalia.com</v>
      </c>
      <c r="J2782" s="10">
        <v>820.98400000000004</v>
      </c>
      <c r="K2782" s="10">
        <v>820.98400000000004</v>
      </c>
      <c r="L2782" s="10">
        <v>1234.212</v>
      </c>
      <c r="M2782" s="10">
        <v>10.526999999999999</v>
      </c>
      <c r="N2782" s="10">
        <v>10.526999999999999</v>
      </c>
      <c r="O2782" s="10">
        <v>29.812000000000001</v>
      </c>
      <c r="P2782" s="15" t="s">
        <v>14728</v>
      </c>
      <c r="Q2782" s="15" t="s">
        <v>14728</v>
      </c>
      <c r="R2782" s="10">
        <v>5</v>
      </c>
    </row>
    <row r="2783" spans="1:18" ht="29.5" customHeight="1" x14ac:dyDescent="0.15">
      <c r="A2783" s="11" t="s">
        <v>14894</v>
      </c>
      <c r="B2783" s="1" t="s">
        <v>14895</v>
      </c>
      <c r="C2783" s="11" t="s">
        <v>14896</v>
      </c>
      <c r="D2783" s="11" t="s">
        <v>14896</v>
      </c>
      <c r="E2783" s="11" t="s">
        <v>14897</v>
      </c>
      <c r="F2783" s="11" t="s">
        <v>14898</v>
      </c>
      <c r="G2783" s="11" t="s">
        <v>14899</v>
      </c>
      <c r="H2783" s="11" t="s">
        <v>14727</v>
      </c>
      <c r="I2783" s="11" t="str">
        <f>HYPERLINK("http://www.fustellificiovenetovr.com/","www.fustellificiovenetovr.com")</f>
        <v>www.fustellificiovenetovr.com</v>
      </c>
      <c r="J2783" s="12">
        <v>1174.998</v>
      </c>
      <c r="K2783" s="12">
        <v>1174.998</v>
      </c>
      <c r="L2783" s="13">
        <v>1233.7049999999999</v>
      </c>
      <c r="M2783" s="12">
        <v>91.766000000000005</v>
      </c>
      <c r="N2783" s="12">
        <v>91.766000000000005</v>
      </c>
      <c r="O2783" s="12">
        <v>63.802</v>
      </c>
      <c r="P2783" s="12">
        <v>13</v>
      </c>
      <c r="Q2783" s="12">
        <v>13</v>
      </c>
      <c r="R2783" s="12">
        <v>14</v>
      </c>
    </row>
    <row r="2784" spans="1:18" ht="17" customHeight="1" x14ac:dyDescent="0.15">
      <c r="A2784" s="8" t="s">
        <v>14900</v>
      </c>
      <c r="B2784" s="9" t="s">
        <v>14901</v>
      </c>
      <c r="C2784" s="8" t="s">
        <v>14902</v>
      </c>
      <c r="D2784" s="8" t="s">
        <v>14902</v>
      </c>
      <c r="E2784" s="8" t="s">
        <v>14903</v>
      </c>
      <c r="F2784" s="8" t="s">
        <v>14835</v>
      </c>
      <c r="G2784" s="8" t="s">
        <v>14904</v>
      </c>
      <c r="H2784" s="8" t="s">
        <v>14767</v>
      </c>
      <c r="I2784" s="8" t="str">
        <f>HYPERLINK("http://www.luzzi.it/","www.luzzi.it")</f>
        <v>www.luzzi.it</v>
      </c>
      <c r="J2784" s="10">
        <v>1914.0920000000001</v>
      </c>
      <c r="K2784" s="10">
        <v>1914.0920000000001</v>
      </c>
      <c r="L2784" s="10">
        <v>1232.854</v>
      </c>
      <c r="M2784" s="10">
        <v>1.8220000000000001</v>
      </c>
      <c r="N2784" s="10">
        <v>1.8220000000000001</v>
      </c>
      <c r="O2784" s="10">
        <v>-6.0049999999999999</v>
      </c>
      <c r="P2784" s="10">
        <v>13</v>
      </c>
      <c r="Q2784" s="10">
        <v>13</v>
      </c>
      <c r="R2784" s="10">
        <v>10</v>
      </c>
    </row>
    <row r="2785" spans="1:18" ht="17" customHeight="1" x14ac:dyDescent="0.15">
      <c r="A2785" s="11" t="s">
        <v>14905</v>
      </c>
      <c r="B2785" s="1" t="s">
        <v>14906</v>
      </c>
      <c r="C2785" s="11" t="s">
        <v>14907</v>
      </c>
      <c r="D2785" s="11" t="s">
        <v>14907</v>
      </c>
      <c r="E2785" s="11" t="s">
        <v>14908</v>
      </c>
      <c r="F2785" s="11" t="s">
        <v>14909</v>
      </c>
      <c r="G2785" s="11" t="s">
        <v>14910</v>
      </c>
      <c r="H2785" s="11" t="s">
        <v>14911</v>
      </c>
      <c r="I2785" s="11" t="str">
        <f>HYPERLINK("http://bellashoes.it/","bellashoes.it")</f>
        <v>bellashoes.it</v>
      </c>
      <c r="J2785" s="12">
        <v>1395.2260000000001</v>
      </c>
      <c r="K2785" s="12">
        <v>1395.2260000000001</v>
      </c>
      <c r="L2785" s="13">
        <v>1232.0039999999999</v>
      </c>
      <c r="M2785" s="12">
        <v>2.573</v>
      </c>
      <c r="N2785" s="12">
        <v>2.573</v>
      </c>
      <c r="O2785" s="12">
        <v>11.105</v>
      </c>
      <c r="P2785" s="12">
        <v>9</v>
      </c>
      <c r="Q2785" s="12">
        <v>9</v>
      </c>
      <c r="R2785" s="12">
        <v>9</v>
      </c>
    </row>
    <row r="2786" spans="1:18" ht="17" customHeight="1" x14ac:dyDescent="0.15">
      <c r="A2786" s="8" t="s">
        <v>14912</v>
      </c>
      <c r="B2786" s="9" t="s">
        <v>14913</v>
      </c>
      <c r="C2786" s="8" t="s">
        <v>14914</v>
      </c>
      <c r="D2786" s="8" t="s">
        <v>14914</v>
      </c>
      <c r="E2786" s="8" t="s">
        <v>14915</v>
      </c>
      <c r="F2786" s="8" t="s">
        <v>14916</v>
      </c>
      <c r="G2786" s="8" t="s">
        <v>14917</v>
      </c>
      <c r="H2786" s="8" t="s">
        <v>14918</v>
      </c>
      <c r="I2786" s="8" t="str">
        <f>HYPERLINK("http://tacchificiocristina.it/","tacchificiocristina.it")</f>
        <v>tacchificiocristina.it</v>
      </c>
      <c r="J2786" s="10">
        <v>1203.7090000000001</v>
      </c>
      <c r="K2786" s="10">
        <v>1313.4839999999999</v>
      </c>
      <c r="L2786" s="10">
        <v>1231.893</v>
      </c>
      <c r="M2786" s="10">
        <v>16.155999999999999</v>
      </c>
      <c r="N2786" s="10">
        <v>46.110999999999997</v>
      </c>
      <c r="O2786" s="10">
        <v>156.10599999999999</v>
      </c>
      <c r="P2786" s="10">
        <v>8</v>
      </c>
      <c r="Q2786" s="10">
        <v>8</v>
      </c>
      <c r="R2786" s="10">
        <v>6</v>
      </c>
    </row>
    <row r="2787" spans="1:18" ht="29.5" customHeight="1" x14ac:dyDescent="0.15">
      <c r="A2787" s="11" t="s">
        <v>14919</v>
      </c>
      <c r="B2787" s="1" t="s">
        <v>14920</v>
      </c>
      <c r="C2787" s="11" t="s">
        <v>14921</v>
      </c>
      <c r="D2787" s="11" t="s">
        <v>14921</v>
      </c>
      <c r="E2787" s="11" t="s">
        <v>14922</v>
      </c>
      <c r="F2787" s="11" t="s">
        <v>14923</v>
      </c>
      <c r="G2787" s="11" t="s">
        <v>14924</v>
      </c>
      <c r="H2787" s="11" t="s">
        <v>14925</v>
      </c>
      <c r="I2787" s="11" t="str">
        <f>HYPERLINK("http://extremewinter.it/","extremewinter.it")</f>
        <v>extremewinter.it</v>
      </c>
      <c r="J2787" s="12">
        <v>1115.8989999999999</v>
      </c>
      <c r="K2787" s="12">
        <v>1115.8989999999999</v>
      </c>
      <c r="L2787" s="13">
        <v>1230.194</v>
      </c>
      <c r="M2787" s="12">
        <v>16.186</v>
      </c>
      <c r="N2787" s="12">
        <v>16.186</v>
      </c>
      <c r="O2787" s="12">
        <v>15.641999999999999</v>
      </c>
      <c r="P2787" s="12">
        <v>3</v>
      </c>
      <c r="Q2787" s="12">
        <v>3</v>
      </c>
      <c r="R2787" s="12">
        <v>4</v>
      </c>
    </row>
    <row r="2788" spans="1:18" ht="17" customHeight="1" x14ac:dyDescent="0.15">
      <c r="A2788" s="8" t="s">
        <v>14926</v>
      </c>
      <c r="B2788" s="9" t="s">
        <v>14927</v>
      </c>
      <c r="C2788" s="8" t="s">
        <v>14928</v>
      </c>
      <c r="D2788" s="8" t="s">
        <v>14928</v>
      </c>
      <c r="E2788" s="8" t="s">
        <v>14929</v>
      </c>
      <c r="F2788" s="8" t="s">
        <v>14909</v>
      </c>
      <c r="G2788" s="8" t="s">
        <v>14910</v>
      </c>
      <c r="H2788" s="8" t="s">
        <v>14911</v>
      </c>
      <c r="I2788" s="8" t="str">
        <f>HYPERLINK("http://abocca.co/","abocca.co")</f>
        <v>abocca.co</v>
      </c>
      <c r="J2788" s="10">
        <v>1806.3420000000001</v>
      </c>
      <c r="K2788" s="10">
        <v>1806.3420000000001</v>
      </c>
      <c r="L2788" s="10">
        <v>1229.9559999999999</v>
      </c>
      <c r="M2788" s="10">
        <v>4.9039999999999999</v>
      </c>
      <c r="N2788" s="10">
        <v>4.9039999999999999</v>
      </c>
      <c r="O2788" s="10">
        <v>7.6879999999999997</v>
      </c>
      <c r="P2788" s="10">
        <v>4</v>
      </c>
      <c r="Q2788" s="10">
        <v>4</v>
      </c>
      <c r="R2788" s="10">
        <v>4</v>
      </c>
    </row>
    <row r="2789" spans="1:18" ht="17" customHeight="1" x14ac:dyDescent="0.15">
      <c r="A2789" s="11" t="s">
        <v>14930</v>
      </c>
      <c r="B2789" s="1" t="s">
        <v>14931</v>
      </c>
      <c r="C2789" s="11" t="s">
        <v>14932</v>
      </c>
      <c r="D2789" s="11" t="s">
        <v>14932</v>
      </c>
      <c r="E2789" s="11" t="s">
        <v>14933</v>
      </c>
      <c r="F2789" s="11" t="s">
        <v>14909</v>
      </c>
      <c r="G2789" s="11" t="s">
        <v>14934</v>
      </c>
      <c r="H2789" s="11" t="s">
        <v>14925</v>
      </c>
      <c r="I2789" s="11" t="str">
        <f>HYPERLINK("http://www.pellettieridiparma.com/","www.pellettieridiparma.com")</f>
        <v>www.pellettieridiparma.com</v>
      </c>
      <c r="J2789" s="12">
        <v>1577.1110000000001</v>
      </c>
      <c r="K2789" s="12">
        <v>1577.1110000000001</v>
      </c>
      <c r="L2789" s="13">
        <v>1228.9970000000001</v>
      </c>
      <c r="M2789" s="12">
        <v>6.94</v>
      </c>
      <c r="N2789" s="12">
        <v>6.94</v>
      </c>
      <c r="O2789" s="12">
        <v>2.923</v>
      </c>
      <c r="P2789" s="12">
        <v>4</v>
      </c>
      <c r="Q2789" s="12">
        <v>4</v>
      </c>
      <c r="R2789" s="12">
        <v>4</v>
      </c>
    </row>
    <row r="2790" spans="1:18" ht="17" customHeight="1" x14ac:dyDescent="0.15">
      <c r="A2790" s="8" t="s">
        <v>14935</v>
      </c>
      <c r="B2790" s="9" t="s">
        <v>14936</v>
      </c>
      <c r="C2790" s="8" t="s">
        <v>14937</v>
      </c>
      <c r="D2790" s="8" t="s">
        <v>14937</v>
      </c>
      <c r="E2790" s="8" t="s">
        <v>14938</v>
      </c>
      <c r="F2790" s="8" t="s">
        <v>14916</v>
      </c>
      <c r="G2790" s="8" t="s">
        <v>14939</v>
      </c>
      <c r="H2790" s="8" t="s">
        <v>14940</v>
      </c>
      <c r="I2790" s="8" t="str">
        <f>HYPERLINK("http://www.enzobonafe.com/","www.enzobonafe.com")</f>
        <v>www.enzobonafe.com</v>
      </c>
      <c r="J2790" s="10">
        <v>1347.874</v>
      </c>
      <c r="K2790" s="10">
        <v>1347.874</v>
      </c>
      <c r="L2790" s="10">
        <v>1228.0719999999999</v>
      </c>
      <c r="M2790" s="10">
        <v>68.613</v>
      </c>
      <c r="N2790" s="10">
        <v>68.613</v>
      </c>
      <c r="O2790" s="10">
        <v>29.97</v>
      </c>
      <c r="P2790" s="10">
        <v>16</v>
      </c>
      <c r="Q2790" s="10">
        <v>16</v>
      </c>
      <c r="R2790" s="10">
        <v>20</v>
      </c>
    </row>
    <row r="2791" spans="1:18" ht="17" customHeight="1" x14ac:dyDescent="0.15">
      <c r="A2791" s="11" t="s">
        <v>14941</v>
      </c>
      <c r="B2791" s="1" t="s">
        <v>14942</v>
      </c>
      <c r="C2791" s="11" t="s">
        <v>14943</v>
      </c>
      <c r="D2791" s="11" t="s">
        <v>14943</v>
      </c>
      <c r="E2791" s="11" t="s">
        <v>14944</v>
      </c>
      <c r="F2791" s="11" t="s">
        <v>14923</v>
      </c>
      <c r="G2791" s="11" t="s">
        <v>14945</v>
      </c>
      <c r="H2791" s="11" t="s">
        <v>14918</v>
      </c>
      <c r="I2791" s="11" t="str">
        <f>HYPERLINK("http://sagester.it/","sagester.it")</f>
        <v>sagester.it</v>
      </c>
      <c r="J2791" s="12">
        <v>1355.703</v>
      </c>
      <c r="K2791" s="12">
        <v>1355.703</v>
      </c>
      <c r="L2791" s="13">
        <v>1227.9939999999999</v>
      </c>
      <c r="M2791" s="12">
        <v>15.135</v>
      </c>
      <c r="N2791" s="12">
        <v>15.135</v>
      </c>
      <c r="O2791" s="12">
        <v>11.202</v>
      </c>
      <c r="P2791" s="12">
        <v>27</v>
      </c>
      <c r="Q2791" s="12">
        <v>27</v>
      </c>
      <c r="R2791" s="12">
        <v>16</v>
      </c>
    </row>
    <row r="2792" spans="1:18" ht="29.5" customHeight="1" x14ac:dyDescent="0.15">
      <c r="A2792" s="8" t="s">
        <v>14946</v>
      </c>
      <c r="B2792" s="9" t="s">
        <v>14947</v>
      </c>
      <c r="C2792" s="8" t="s">
        <v>14948</v>
      </c>
      <c r="D2792" s="8" t="s">
        <v>14948</v>
      </c>
      <c r="E2792" s="8" t="s">
        <v>14949</v>
      </c>
      <c r="F2792" s="8" t="s">
        <v>14909</v>
      </c>
      <c r="G2792" s="8" t="s">
        <v>14950</v>
      </c>
      <c r="H2792" s="8" t="s">
        <v>14951</v>
      </c>
      <c r="I2792" s="8" t="str">
        <f>HYPERLINK("http://www.calzaturificiociaschi.net/","www.calzaturificiociaschi.net")</f>
        <v>www.calzaturificiociaschi.net</v>
      </c>
      <c r="J2792" s="10">
        <v>1356.424</v>
      </c>
      <c r="K2792" s="10">
        <v>1356.424</v>
      </c>
      <c r="L2792" s="10">
        <v>1225.296</v>
      </c>
      <c r="M2792" s="10">
        <v>56.341000000000001</v>
      </c>
      <c r="N2792" s="10">
        <v>56.341000000000001</v>
      </c>
      <c r="O2792" s="10">
        <v>67</v>
      </c>
      <c r="P2792" s="15" t="s">
        <v>14952</v>
      </c>
      <c r="Q2792" s="15" t="s">
        <v>14952</v>
      </c>
      <c r="R2792" s="10">
        <v>11</v>
      </c>
    </row>
    <row r="2793" spans="1:18" ht="17" customHeight="1" x14ac:dyDescent="0.15">
      <c r="A2793" s="11" t="s">
        <v>14953</v>
      </c>
      <c r="B2793" s="1" t="s">
        <v>14954</v>
      </c>
      <c r="C2793" s="11" t="s">
        <v>14955</v>
      </c>
      <c r="D2793" s="11" t="s">
        <v>14955</v>
      </c>
      <c r="E2793" s="11" t="s">
        <v>14956</v>
      </c>
      <c r="F2793" s="11" t="s">
        <v>14957</v>
      </c>
      <c r="G2793" s="11" t="s">
        <v>14958</v>
      </c>
      <c r="H2793" s="11" t="s">
        <v>14951</v>
      </c>
      <c r="I2793" s="11" t="str">
        <f>HYPERLINK("http://www.conceriamancini.it/","www.conceriamancini.it")</f>
        <v>www.conceriamancini.it</v>
      </c>
      <c r="J2793" s="12">
        <v>1607.6890000000001</v>
      </c>
      <c r="K2793" s="12">
        <v>1607.6890000000001</v>
      </c>
      <c r="L2793" s="13">
        <v>1225.027</v>
      </c>
      <c r="M2793" s="12">
        <v>78.275000000000006</v>
      </c>
      <c r="N2793" s="12">
        <v>78.275000000000006</v>
      </c>
      <c r="O2793" s="12">
        <v>62.994999999999997</v>
      </c>
      <c r="P2793" s="12">
        <v>3</v>
      </c>
      <c r="Q2793" s="12">
        <v>3</v>
      </c>
      <c r="R2793" s="12">
        <v>3</v>
      </c>
    </row>
    <row r="2794" spans="1:18" ht="17" customHeight="1" x14ac:dyDescent="0.15">
      <c r="A2794" s="8" t="s">
        <v>14959</v>
      </c>
      <c r="B2794" s="9" t="s">
        <v>14960</v>
      </c>
      <c r="C2794" s="8" t="s">
        <v>14961</v>
      </c>
      <c r="D2794" s="8" t="s">
        <v>14961</v>
      </c>
      <c r="E2794" s="8" t="s">
        <v>14962</v>
      </c>
      <c r="F2794" s="8" t="s">
        <v>14963</v>
      </c>
      <c r="G2794" s="8" t="s">
        <v>14964</v>
      </c>
      <c r="H2794" s="8" t="s">
        <v>14965</v>
      </c>
      <c r="I2794" s="8" t="str">
        <f>HYPERLINK("http://www.marlenelingerie.it/","www.marlenelingerie.it")</f>
        <v>www.marlenelingerie.it</v>
      </c>
      <c r="J2794" s="10">
        <v>1147.9269999999999</v>
      </c>
      <c r="K2794" s="10">
        <v>1147.9269999999999</v>
      </c>
      <c r="L2794" s="10">
        <v>1224.02</v>
      </c>
      <c r="M2794" s="10">
        <v>60.66</v>
      </c>
      <c r="N2794" s="10">
        <v>60.66</v>
      </c>
      <c r="O2794" s="10">
        <v>42.671999999999997</v>
      </c>
      <c r="P2794" s="10">
        <v>19</v>
      </c>
      <c r="Q2794" s="10">
        <v>19</v>
      </c>
      <c r="R2794" s="10">
        <v>18</v>
      </c>
    </row>
    <row r="2795" spans="1:18" ht="17" customHeight="1" x14ac:dyDescent="0.15">
      <c r="A2795" s="11" t="s">
        <v>14966</v>
      </c>
      <c r="B2795" s="1" t="s">
        <v>14967</v>
      </c>
      <c r="C2795" s="11" t="s">
        <v>14968</v>
      </c>
      <c r="D2795" s="11" t="s">
        <v>14968</v>
      </c>
      <c r="E2795" s="11" t="s">
        <v>14969</v>
      </c>
      <c r="F2795" s="11" t="s">
        <v>14970</v>
      </c>
      <c r="G2795" s="11" t="s">
        <v>14910</v>
      </c>
      <c r="H2795" s="11" t="s">
        <v>14911</v>
      </c>
      <c r="I2795" s="11" t="str">
        <f>HYPERLINK("http://www.solettificioterry.it/","www.solettificioterry.it")</f>
        <v>www.solettificioterry.it</v>
      </c>
      <c r="J2795" s="12">
        <v>1508.633</v>
      </c>
      <c r="K2795" s="12">
        <v>1508.633</v>
      </c>
      <c r="L2795" s="13">
        <v>1221.5050000000001</v>
      </c>
      <c r="M2795" s="12">
        <v>28.558</v>
      </c>
      <c r="N2795" s="12">
        <v>28.558</v>
      </c>
      <c r="O2795" s="12">
        <v>27.666</v>
      </c>
      <c r="P2795" s="12">
        <v>13</v>
      </c>
      <c r="Q2795" s="12">
        <v>13</v>
      </c>
      <c r="R2795" s="12">
        <v>12</v>
      </c>
    </row>
    <row r="2796" spans="1:18" ht="29.5" customHeight="1" x14ac:dyDescent="0.15">
      <c r="A2796" s="8" t="s">
        <v>14971</v>
      </c>
      <c r="B2796" s="9" t="s">
        <v>14972</v>
      </c>
      <c r="C2796" s="8" t="s">
        <v>14973</v>
      </c>
      <c r="D2796" s="8" t="s">
        <v>14973</v>
      </c>
      <c r="E2796" s="8" t="s">
        <v>14974</v>
      </c>
      <c r="F2796" s="8" t="s">
        <v>14909</v>
      </c>
      <c r="G2796" s="8" t="s">
        <v>14975</v>
      </c>
      <c r="H2796" s="8" t="s">
        <v>14976</v>
      </c>
      <c r="I2796" s="8" t="str">
        <f>HYPERLINK("http://www.calzaturificiomusella.it/","www.calzaturificiomusella.it")</f>
        <v>www.calzaturificiomusella.it</v>
      </c>
      <c r="J2796" s="10">
        <v>1255.4079999999999</v>
      </c>
      <c r="K2796" s="10">
        <v>1255.4079999999999</v>
      </c>
      <c r="L2796" s="10">
        <v>1221.346</v>
      </c>
      <c r="M2796" s="10">
        <v>-27.263000000000002</v>
      </c>
      <c r="N2796" s="10">
        <v>-27.263000000000002</v>
      </c>
      <c r="O2796" s="10">
        <v>25.234000000000002</v>
      </c>
      <c r="P2796" s="10">
        <v>11</v>
      </c>
      <c r="Q2796" s="10">
        <v>11</v>
      </c>
      <c r="R2796" s="10">
        <v>12</v>
      </c>
    </row>
    <row r="2797" spans="1:18" ht="17" customHeight="1" x14ac:dyDescent="0.15">
      <c r="A2797" s="11" t="s">
        <v>14977</v>
      </c>
      <c r="B2797" s="1" t="s">
        <v>14978</v>
      </c>
      <c r="C2797" s="11" t="s">
        <v>14979</v>
      </c>
      <c r="D2797" s="11" t="s">
        <v>14979</v>
      </c>
      <c r="E2797" s="11" t="s">
        <v>14980</v>
      </c>
      <c r="F2797" s="11" t="s">
        <v>14963</v>
      </c>
      <c r="G2797" s="11" t="s">
        <v>14981</v>
      </c>
      <c r="H2797" s="11" t="s">
        <v>14925</v>
      </c>
      <c r="I2797" s="11" t="str">
        <f>HYPERLINK("http://knitknit.eu/","knitknit.eu")</f>
        <v>knitknit.eu</v>
      </c>
      <c r="J2797" s="12">
        <v>1179.6790000000001</v>
      </c>
      <c r="K2797" s="12">
        <v>1179.6790000000001</v>
      </c>
      <c r="L2797" s="13">
        <v>1218.259</v>
      </c>
      <c r="M2797" s="12">
        <v>17.536999999999999</v>
      </c>
      <c r="N2797" s="12">
        <v>17.536999999999999</v>
      </c>
      <c r="O2797" s="12">
        <v>20.779</v>
      </c>
      <c r="P2797" s="12">
        <v>2</v>
      </c>
      <c r="Q2797" s="12">
        <v>2</v>
      </c>
      <c r="R2797" s="12">
        <v>3</v>
      </c>
    </row>
    <row r="2798" spans="1:18" ht="17" customHeight="1" x14ac:dyDescent="0.15">
      <c r="A2798" s="8" t="s">
        <v>14982</v>
      </c>
      <c r="B2798" s="9" t="s">
        <v>14983</v>
      </c>
      <c r="C2798" s="8" t="s">
        <v>14984</v>
      </c>
      <c r="D2798" s="8" t="s">
        <v>14984</v>
      </c>
      <c r="E2798" s="8" t="s">
        <v>14985</v>
      </c>
      <c r="F2798" s="8" t="s">
        <v>14986</v>
      </c>
      <c r="G2798" s="8" t="s">
        <v>14987</v>
      </c>
      <c r="H2798" s="8" t="s">
        <v>14940</v>
      </c>
      <c r="I2798" s="8" t="str">
        <f>HYPERLINK("http://www.tassivanis.com/","www.tassivanis.com")</f>
        <v>www.tassivanis.com</v>
      </c>
      <c r="J2798" s="10">
        <v>430.54599999999999</v>
      </c>
      <c r="K2798" s="10">
        <v>430.54599999999999</v>
      </c>
      <c r="L2798" s="10">
        <v>1218.1990000000001</v>
      </c>
      <c r="M2798" s="10">
        <v>-72.578999999999994</v>
      </c>
      <c r="N2798" s="10">
        <v>-72.578999999999994</v>
      </c>
      <c r="O2798" s="10">
        <v>44.67</v>
      </c>
      <c r="P2798" s="10">
        <v>2</v>
      </c>
      <c r="Q2798" s="10">
        <v>2</v>
      </c>
      <c r="R2798" s="10">
        <v>7</v>
      </c>
    </row>
    <row r="2799" spans="1:18" ht="17" customHeight="1" x14ac:dyDescent="0.15">
      <c r="A2799" s="11" t="s">
        <v>14988</v>
      </c>
      <c r="B2799" s="1" t="s">
        <v>14989</v>
      </c>
      <c r="C2799" s="11" t="s">
        <v>14990</v>
      </c>
      <c r="D2799" s="11" t="s">
        <v>14990</v>
      </c>
      <c r="E2799" s="11" t="s">
        <v>14991</v>
      </c>
      <c r="F2799" s="11" t="s">
        <v>14909</v>
      </c>
      <c r="G2799" s="11" t="s">
        <v>14992</v>
      </c>
      <c r="H2799" s="11" t="s">
        <v>14918</v>
      </c>
      <c r="I2799" s="11" t="str">
        <f>HYPERLINK("http://www.newitaliashoes.it/","www.newitaliashoes.it")</f>
        <v>www.newitaliashoes.it</v>
      </c>
      <c r="J2799" s="12">
        <v>1039.048</v>
      </c>
      <c r="K2799" s="12">
        <v>1039.048</v>
      </c>
      <c r="L2799" s="13">
        <v>1217.3520000000001</v>
      </c>
      <c r="M2799" s="12">
        <v>3.0139999999999998</v>
      </c>
      <c r="N2799" s="12">
        <v>3.0139999999999998</v>
      </c>
      <c r="O2799" s="12">
        <v>9.5660000000000007</v>
      </c>
      <c r="P2799" s="14" t="s">
        <v>14952</v>
      </c>
      <c r="Q2799" s="14" t="s">
        <v>14952</v>
      </c>
      <c r="R2799" s="12">
        <v>9</v>
      </c>
    </row>
    <row r="2800" spans="1:18" ht="68" customHeight="1" x14ac:dyDescent="0.15">
      <c r="A2800" s="8" t="s">
        <v>14993</v>
      </c>
      <c r="B2800" s="9" t="s">
        <v>14994</v>
      </c>
      <c r="C2800" s="8" t="s">
        <v>14995</v>
      </c>
      <c r="D2800" s="8" t="s">
        <v>14995</v>
      </c>
      <c r="E2800" s="8" t="s">
        <v>14996</v>
      </c>
      <c r="F2800" s="8" t="s">
        <v>14963</v>
      </c>
      <c r="G2800" s="8" t="s">
        <v>14997</v>
      </c>
      <c r="H2800" s="8" t="s">
        <v>14951</v>
      </c>
      <c r="I2800" s="8" t="str">
        <f>HYPERLINK("http://publiartex.com/","publiartex.com")</f>
        <v>publiartex.com</v>
      </c>
      <c r="J2800" s="10">
        <v>1476.6479999999999</v>
      </c>
      <c r="K2800" s="10">
        <v>1476.6479999999999</v>
      </c>
      <c r="L2800" s="10">
        <v>1216.376</v>
      </c>
      <c r="M2800" s="10">
        <v>125.792</v>
      </c>
      <c r="N2800" s="10">
        <v>125.792</v>
      </c>
      <c r="O2800" s="10">
        <v>63.668999999999997</v>
      </c>
      <c r="P2800" s="10">
        <v>7</v>
      </c>
      <c r="Q2800" s="10">
        <v>7</v>
      </c>
      <c r="R2800" s="10">
        <v>7</v>
      </c>
    </row>
    <row r="2801" spans="1:18" ht="17" customHeight="1" x14ac:dyDescent="0.15">
      <c r="A2801" s="11" t="s">
        <v>14998</v>
      </c>
      <c r="B2801" s="1" t="s">
        <v>14999</v>
      </c>
      <c r="C2801" s="11" t="s">
        <v>15000</v>
      </c>
      <c r="D2801" s="11" t="s">
        <v>15000</v>
      </c>
      <c r="E2801" s="11" t="s">
        <v>15001</v>
      </c>
      <c r="F2801" s="11" t="s">
        <v>14957</v>
      </c>
      <c r="G2801" s="11" t="s">
        <v>14958</v>
      </c>
      <c r="H2801" s="11" t="s">
        <v>14951</v>
      </c>
      <c r="I2801" s="11" t="str">
        <f>HYPERLINK("http://www.ferradinibruno.it/","www.ferradinibruno.it")</f>
        <v>www.ferradinibruno.it</v>
      </c>
      <c r="J2801" s="12">
        <v>1014.978</v>
      </c>
      <c r="K2801" s="12">
        <v>1014.978</v>
      </c>
      <c r="L2801" s="13">
        <v>1215.596</v>
      </c>
      <c r="M2801" s="12">
        <v>-6.1989999999999998</v>
      </c>
      <c r="N2801" s="12">
        <v>-6.1989999999999998</v>
      </c>
      <c r="O2801" s="12">
        <v>12.867000000000001</v>
      </c>
      <c r="P2801" s="12">
        <v>14</v>
      </c>
      <c r="Q2801" s="12">
        <v>14</v>
      </c>
      <c r="R2801" s="12">
        <v>15</v>
      </c>
    </row>
    <row r="2802" spans="1:18" ht="17" customHeight="1" x14ac:dyDescent="0.15">
      <c r="A2802" s="8" t="s">
        <v>15002</v>
      </c>
      <c r="B2802" s="9" t="s">
        <v>15003</v>
      </c>
      <c r="C2802" s="8" t="s">
        <v>15004</v>
      </c>
      <c r="D2802" s="8" t="s">
        <v>15004</v>
      </c>
      <c r="E2802" s="8" t="s">
        <v>15005</v>
      </c>
      <c r="F2802" s="8" t="s">
        <v>15006</v>
      </c>
      <c r="G2802" s="8" t="s">
        <v>14992</v>
      </c>
      <c r="H2802" s="8" t="s">
        <v>14918</v>
      </c>
      <c r="I2802" s="8" t="str">
        <f>HYPERLINK("http://alp1964.it/","alp1964.it")</f>
        <v>alp1964.it</v>
      </c>
      <c r="J2802" s="10">
        <v>1316.2529999999999</v>
      </c>
      <c r="K2802" s="10">
        <v>1316.2529999999999</v>
      </c>
      <c r="L2802" s="10">
        <v>1215.376</v>
      </c>
      <c r="M2802" s="10">
        <v>109.262</v>
      </c>
      <c r="N2802" s="10">
        <v>109.262</v>
      </c>
      <c r="O2802" s="10">
        <v>11.199</v>
      </c>
      <c r="P2802" s="10">
        <v>8</v>
      </c>
      <c r="Q2802" s="10">
        <v>8</v>
      </c>
      <c r="R2802" s="10">
        <v>6</v>
      </c>
    </row>
    <row r="2803" spans="1:18" ht="17" customHeight="1" x14ac:dyDescent="0.15">
      <c r="A2803" s="11" t="s">
        <v>15007</v>
      </c>
      <c r="B2803" s="1" t="s">
        <v>15008</v>
      </c>
      <c r="C2803" s="11" t="s">
        <v>15009</v>
      </c>
      <c r="D2803" s="11" t="s">
        <v>15009</v>
      </c>
      <c r="E2803" s="11" t="s">
        <v>15010</v>
      </c>
      <c r="F2803" s="11" t="s">
        <v>15011</v>
      </c>
      <c r="G2803" s="11" t="s">
        <v>14987</v>
      </c>
      <c r="H2803" s="11" t="s">
        <v>14940</v>
      </c>
      <c r="I2803" s="11" t="str">
        <f>HYPERLINK("http://www.elisabettaminellimaglieria.it/","www.elisabettaminellimaglieria.it")</f>
        <v>www.elisabettaminellimaglieria.it</v>
      </c>
      <c r="J2803" s="12">
        <v>1048.2139999999999</v>
      </c>
      <c r="K2803" s="12">
        <v>1048.2139999999999</v>
      </c>
      <c r="L2803" s="13">
        <v>1214.835</v>
      </c>
      <c r="M2803" s="12">
        <v>3.2789999999999999</v>
      </c>
      <c r="N2803" s="12">
        <v>3.2789999999999999</v>
      </c>
      <c r="O2803" s="12">
        <v>2.6019999999999999</v>
      </c>
      <c r="P2803" s="14" t="s">
        <v>14952</v>
      </c>
      <c r="Q2803" s="14" t="s">
        <v>14952</v>
      </c>
      <c r="R2803" s="12">
        <v>4</v>
      </c>
    </row>
    <row r="2804" spans="1:18" ht="17" customHeight="1" x14ac:dyDescent="0.15">
      <c r="A2804" s="8" t="s">
        <v>15012</v>
      </c>
      <c r="B2804" s="9" t="s">
        <v>15013</v>
      </c>
      <c r="C2804" s="8" t="s">
        <v>15014</v>
      </c>
      <c r="D2804" s="8" t="s">
        <v>15014</v>
      </c>
      <c r="E2804" s="8" t="s">
        <v>15015</v>
      </c>
      <c r="F2804" s="8" t="s">
        <v>14957</v>
      </c>
      <c r="G2804" s="8" t="s">
        <v>14958</v>
      </c>
      <c r="H2804" s="8" t="s">
        <v>14951</v>
      </c>
      <c r="I2804" s="8" t="str">
        <f>HYPERLINK("http://www.ghepardo.it/","www.ghepardo.it")</f>
        <v>www.ghepardo.it</v>
      </c>
      <c r="J2804" s="10">
        <v>1527.3689999999999</v>
      </c>
      <c r="K2804" s="10">
        <v>1527.3689999999999</v>
      </c>
      <c r="L2804" s="10">
        <v>1214.6010000000001</v>
      </c>
      <c r="M2804" s="10">
        <v>52.847000000000001</v>
      </c>
      <c r="N2804" s="10">
        <v>52.847000000000001</v>
      </c>
      <c r="O2804" s="10">
        <v>39.764000000000003</v>
      </c>
      <c r="P2804" s="10">
        <v>6</v>
      </c>
      <c r="Q2804" s="10">
        <v>6</v>
      </c>
      <c r="R2804" s="10">
        <v>6</v>
      </c>
    </row>
    <row r="2805" spans="1:18" ht="17" customHeight="1" x14ac:dyDescent="0.15">
      <c r="A2805" s="11" t="s">
        <v>15016</v>
      </c>
      <c r="B2805" s="1" t="s">
        <v>15017</v>
      </c>
      <c r="C2805" s="11" t="s">
        <v>15018</v>
      </c>
      <c r="D2805" s="11" t="s">
        <v>15018</v>
      </c>
      <c r="E2805" s="11" t="s">
        <v>15019</v>
      </c>
      <c r="F2805" s="11" t="s">
        <v>15020</v>
      </c>
      <c r="G2805" s="11" t="s">
        <v>15021</v>
      </c>
      <c r="H2805" s="11" t="s">
        <v>15022</v>
      </c>
      <c r="I2805" s="11" t="str">
        <f>HYPERLINK("http://www.manifatturevignola.com/","www.manifatturevignola.com")</f>
        <v>www.manifatturevignola.com</v>
      </c>
      <c r="J2805" s="12">
        <v>1296.127</v>
      </c>
      <c r="K2805" s="12">
        <v>1296.127</v>
      </c>
      <c r="L2805" s="13">
        <v>1214.1020000000001</v>
      </c>
      <c r="M2805" s="12">
        <v>107.051</v>
      </c>
      <c r="N2805" s="12">
        <v>107.051</v>
      </c>
      <c r="O2805" s="12">
        <v>68.688000000000002</v>
      </c>
      <c r="P2805" s="12">
        <v>6</v>
      </c>
      <c r="Q2805" s="12">
        <v>6</v>
      </c>
      <c r="R2805" s="12">
        <v>7</v>
      </c>
    </row>
    <row r="2806" spans="1:18" ht="17" customHeight="1" x14ac:dyDescent="0.15">
      <c r="A2806" s="8" t="s">
        <v>15023</v>
      </c>
      <c r="B2806" s="9" t="s">
        <v>15024</v>
      </c>
      <c r="C2806" s="8" t="s">
        <v>15025</v>
      </c>
      <c r="D2806" s="8" t="s">
        <v>15025</v>
      </c>
      <c r="E2806" s="8" t="s">
        <v>15026</v>
      </c>
      <c r="F2806" s="8" t="s">
        <v>14963</v>
      </c>
      <c r="G2806" s="8" t="s">
        <v>15027</v>
      </c>
      <c r="H2806" s="8" t="s">
        <v>15028</v>
      </c>
      <c r="I2806" s="8" t="str">
        <f>HYPERLINK("http://www.jqjeans.eu/","www.jqjeans.eu")</f>
        <v>www.jqjeans.eu</v>
      </c>
      <c r="J2806" s="10">
        <v>772.93299999999999</v>
      </c>
      <c r="K2806" s="10">
        <v>772.93299999999999</v>
      </c>
      <c r="L2806" s="10">
        <v>1213.3579999999999</v>
      </c>
      <c r="M2806" s="10">
        <v>-18.827000000000002</v>
      </c>
      <c r="N2806" s="10">
        <v>-18.827000000000002</v>
      </c>
      <c r="O2806" s="10">
        <v>25.535</v>
      </c>
      <c r="P2806" s="15" t="s">
        <v>14952</v>
      </c>
      <c r="Q2806" s="15" t="s">
        <v>14952</v>
      </c>
      <c r="R2806" s="10">
        <v>8</v>
      </c>
    </row>
    <row r="2807" spans="1:18" ht="43" customHeight="1" x14ac:dyDescent="0.15">
      <c r="A2807" s="11" t="s">
        <v>15029</v>
      </c>
      <c r="B2807" s="1" t="s">
        <v>15030</v>
      </c>
      <c r="C2807" s="11" t="s">
        <v>15031</v>
      </c>
      <c r="D2807" s="11" t="s">
        <v>15031</v>
      </c>
      <c r="E2807" s="11" t="s">
        <v>15032</v>
      </c>
      <c r="F2807" s="11" t="s">
        <v>15006</v>
      </c>
      <c r="G2807" s="11" t="s">
        <v>15033</v>
      </c>
      <c r="H2807" s="11" t="s">
        <v>14965</v>
      </c>
      <c r="I2807" s="11" t="str">
        <f>HYPERLINK("http://www.malcom-italy.it/it/studio-tessile","www.malcom-italy.it/it/studio-tessile")</f>
        <v>www.malcom-italy.it/it/studio-tessile</v>
      </c>
      <c r="J2807" s="12">
        <v>1518.9760000000001</v>
      </c>
      <c r="K2807" s="12">
        <v>1518.9760000000001</v>
      </c>
      <c r="L2807" s="13">
        <v>1212.3009999999999</v>
      </c>
      <c r="M2807" s="12">
        <v>0.214</v>
      </c>
      <c r="N2807" s="12">
        <v>0.214</v>
      </c>
      <c r="O2807" s="12">
        <v>5.0609999999999999</v>
      </c>
      <c r="P2807" s="12">
        <v>6</v>
      </c>
      <c r="Q2807" s="12">
        <v>6</v>
      </c>
      <c r="R2807" s="12">
        <v>6</v>
      </c>
    </row>
    <row r="2808" spans="1:18" ht="17" customHeight="1" x14ac:dyDescent="0.15">
      <c r="A2808" s="8" t="s">
        <v>15034</v>
      </c>
      <c r="B2808" s="9" t="s">
        <v>15035</v>
      </c>
      <c r="C2808" s="8" t="s">
        <v>15036</v>
      </c>
      <c r="D2808" s="8" t="s">
        <v>15036</v>
      </c>
      <c r="E2808" s="8" t="s">
        <v>15037</v>
      </c>
      <c r="F2808" s="8" t="s">
        <v>15038</v>
      </c>
      <c r="G2808" s="8" t="s">
        <v>15039</v>
      </c>
      <c r="H2808" s="8" t="s">
        <v>14976</v>
      </c>
      <c r="I2808" s="8" t="str">
        <f>HYPERLINK("http://www.depianpel.it/","www.depianpel.it")</f>
        <v>www.depianpel.it</v>
      </c>
      <c r="J2808" s="10">
        <v>1180.934</v>
      </c>
      <c r="K2808" s="10">
        <v>1180.934</v>
      </c>
      <c r="L2808" s="10">
        <v>1211.1410000000001</v>
      </c>
      <c r="M2808" s="10">
        <v>73.147000000000006</v>
      </c>
      <c r="N2808" s="10">
        <v>73.147000000000006</v>
      </c>
      <c r="O2808" s="10">
        <v>124.143</v>
      </c>
      <c r="P2808" s="10">
        <v>11</v>
      </c>
      <c r="Q2808" s="10">
        <v>11</v>
      </c>
      <c r="R2808" s="10">
        <v>11</v>
      </c>
    </row>
    <row r="2809" spans="1:18" ht="17" customHeight="1" x14ac:dyDescent="0.15">
      <c r="A2809" s="11" t="s">
        <v>15040</v>
      </c>
      <c r="B2809" s="1" t="s">
        <v>15041</v>
      </c>
      <c r="C2809" s="11" t="s">
        <v>15042</v>
      </c>
      <c r="D2809" s="11" t="s">
        <v>15042</v>
      </c>
      <c r="E2809" s="11" t="s">
        <v>15043</v>
      </c>
      <c r="F2809" s="11" t="s">
        <v>15044</v>
      </c>
      <c r="G2809" s="11" t="s">
        <v>15045</v>
      </c>
      <c r="H2809" s="11" t="s">
        <v>14911</v>
      </c>
      <c r="I2809" s="11" t="str">
        <f>HYPERLINK("http://ommysrl.it/","ommysrl.it")</f>
        <v>ommysrl.it</v>
      </c>
      <c r="J2809" s="12">
        <v>1155.6189999999999</v>
      </c>
      <c r="K2809" s="12">
        <v>1155.6189999999999</v>
      </c>
      <c r="L2809" s="13">
        <v>1211.145</v>
      </c>
      <c r="M2809" s="12">
        <v>5.4560000000000004</v>
      </c>
      <c r="N2809" s="12">
        <v>5.4560000000000004</v>
      </c>
      <c r="O2809" s="12">
        <v>16.196000000000002</v>
      </c>
      <c r="P2809" s="12">
        <v>19</v>
      </c>
      <c r="Q2809" s="12">
        <v>19</v>
      </c>
      <c r="R2809" s="12">
        <v>7</v>
      </c>
    </row>
    <row r="2810" spans="1:18" ht="17" customHeight="1" x14ac:dyDescent="0.15">
      <c r="A2810" s="8" t="s">
        <v>15046</v>
      </c>
      <c r="B2810" s="9" t="s">
        <v>15047</v>
      </c>
      <c r="C2810" s="8" t="s">
        <v>15048</v>
      </c>
      <c r="D2810" s="8" t="s">
        <v>15048</v>
      </c>
      <c r="E2810" s="8" t="s">
        <v>15049</v>
      </c>
      <c r="F2810" s="8" t="s">
        <v>15006</v>
      </c>
      <c r="G2810" s="8" t="s">
        <v>15050</v>
      </c>
      <c r="H2810" s="8" t="s">
        <v>14925</v>
      </c>
      <c r="I2810" s="8" t="str">
        <f>HYPERLINK("http://www.lauraurbinati.com/","www.lauraurbinati.com")</f>
        <v>www.lauraurbinati.com</v>
      </c>
      <c r="J2810" s="10">
        <v>1342.616</v>
      </c>
      <c r="K2810" s="10">
        <v>1342.616</v>
      </c>
      <c r="L2810" s="10">
        <v>1206.9359999999999</v>
      </c>
      <c r="M2810" s="10">
        <v>6.7569999999999997</v>
      </c>
      <c r="N2810" s="10">
        <v>6.7569999999999997</v>
      </c>
      <c r="O2810" s="10">
        <v>8.7479999999999993</v>
      </c>
      <c r="P2810" s="15" t="s">
        <v>14952</v>
      </c>
      <c r="Q2810" s="15" t="s">
        <v>14952</v>
      </c>
      <c r="R2810" s="10">
        <v>6</v>
      </c>
    </row>
    <row r="2811" spans="1:18" ht="17" customHeight="1" x14ac:dyDescent="0.15">
      <c r="A2811" s="11" t="s">
        <v>15051</v>
      </c>
      <c r="B2811" s="1" t="s">
        <v>15052</v>
      </c>
      <c r="C2811" s="11" t="s">
        <v>15053</v>
      </c>
      <c r="D2811" s="11" t="s">
        <v>15053</v>
      </c>
      <c r="E2811" s="11" t="s">
        <v>15054</v>
      </c>
      <c r="F2811" s="11" t="s">
        <v>15006</v>
      </c>
      <c r="G2811" s="11" t="s">
        <v>15055</v>
      </c>
      <c r="H2811" s="11" t="s">
        <v>15056</v>
      </c>
      <c r="I2811" s="11" t="str">
        <f>HYPERLINK("http://vivaldimoda.it/","vivaldimoda.it")</f>
        <v>vivaldimoda.it</v>
      </c>
      <c r="J2811" s="12">
        <v>1138.1559999999999</v>
      </c>
      <c r="K2811" s="12">
        <v>1138.1559999999999</v>
      </c>
      <c r="L2811" s="13">
        <v>1206.751</v>
      </c>
      <c r="M2811" s="12">
        <v>31.123999999999999</v>
      </c>
      <c r="N2811" s="12">
        <v>31.123999999999999</v>
      </c>
      <c r="O2811" s="12">
        <v>126.55800000000001</v>
      </c>
      <c r="P2811" s="12">
        <v>7</v>
      </c>
      <c r="Q2811" s="12">
        <v>7</v>
      </c>
      <c r="R2811" s="12">
        <v>11</v>
      </c>
    </row>
    <row r="2812" spans="1:18" ht="17" customHeight="1" x14ac:dyDescent="0.15">
      <c r="A2812" s="8" t="s">
        <v>15057</v>
      </c>
      <c r="B2812" s="9" t="s">
        <v>15058</v>
      </c>
      <c r="C2812" s="8" t="s">
        <v>15059</v>
      </c>
      <c r="D2812" s="8" t="s">
        <v>15059</v>
      </c>
      <c r="E2812" s="8" t="s">
        <v>15060</v>
      </c>
      <c r="F2812" s="8" t="s">
        <v>14963</v>
      </c>
      <c r="G2812" s="8" t="s">
        <v>15061</v>
      </c>
      <c r="H2812" s="8" t="s">
        <v>14976</v>
      </c>
      <c r="I2812" s="8" t="str">
        <f>HYPERLINK("http://www.viben.it/","http://www.viben.it")</f>
        <v>http://www.viben.it</v>
      </c>
      <c r="J2812" s="10">
        <v>1562.0119999999999</v>
      </c>
      <c r="K2812" s="10">
        <v>1562.0119999999999</v>
      </c>
      <c r="L2812" s="10">
        <v>1205.5940000000001</v>
      </c>
      <c r="M2812" s="10">
        <v>13.866</v>
      </c>
      <c r="N2812" s="10">
        <v>13.866</v>
      </c>
      <c r="O2812" s="10">
        <v>3.9039999999999999</v>
      </c>
      <c r="P2812" s="10">
        <v>9</v>
      </c>
      <c r="Q2812" s="10">
        <v>9</v>
      </c>
      <c r="R2812" s="10">
        <v>9</v>
      </c>
    </row>
    <row r="2813" spans="1:18" ht="17" customHeight="1" x14ac:dyDescent="0.15">
      <c r="A2813" s="11" t="s">
        <v>15062</v>
      </c>
      <c r="B2813" s="1" t="s">
        <v>15063</v>
      </c>
      <c r="C2813" s="11" t="s">
        <v>15064</v>
      </c>
      <c r="D2813" s="11" t="s">
        <v>15064</v>
      </c>
      <c r="E2813" s="11" t="s">
        <v>15065</v>
      </c>
      <c r="F2813" s="11" t="s">
        <v>15066</v>
      </c>
      <c r="G2813" s="11" t="s">
        <v>15067</v>
      </c>
      <c r="H2813" s="11" t="s">
        <v>14940</v>
      </c>
      <c r="I2813" s="11" t="str">
        <f>HYPERLINK("http://www.paceprofessional.it/","www.paceprofessional.it")</f>
        <v>www.paceprofessional.it</v>
      </c>
      <c r="J2813" s="12">
        <v>907.37</v>
      </c>
      <c r="K2813" s="12">
        <v>907.37</v>
      </c>
      <c r="L2813" s="13">
        <v>1204.9059999999999</v>
      </c>
      <c r="M2813" s="12">
        <v>-67.769000000000005</v>
      </c>
      <c r="N2813" s="12">
        <v>-67.769000000000005</v>
      </c>
      <c r="O2813" s="12">
        <v>107.93899999999999</v>
      </c>
      <c r="P2813" s="12">
        <v>8</v>
      </c>
      <c r="Q2813" s="12">
        <v>8</v>
      </c>
      <c r="R2813" s="12">
        <v>7</v>
      </c>
    </row>
    <row r="2814" spans="1:18" ht="17" customHeight="1" x14ac:dyDescent="0.15">
      <c r="A2814" s="8" t="s">
        <v>15068</v>
      </c>
      <c r="B2814" s="9" t="s">
        <v>15069</v>
      </c>
      <c r="C2814" s="8" t="s">
        <v>15070</v>
      </c>
      <c r="D2814" s="8" t="s">
        <v>15070</v>
      </c>
      <c r="E2814" s="8" t="s">
        <v>15071</v>
      </c>
      <c r="F2814" s="8" t="s">
        <v>14957</v>
      </c>
      <c r="G2814" s="8" t="s">
        <v>14958</v>
      </c>
      <c r="H2814" s="8" t="s">
        <v>14951</v>
      </c>
      <c r="I2814" s="8" t="str">
        <f>HYPERLINK("http://www.conceriacerbiatto.it/","www.conceriacerbiatto.it")</f>
        <v>www.conceriacerbiatto.it</v>
      </c>
      <c r="J2814" s="10">
        <v>909.99900000000002</v>
      </c>
      <c r="K2814" s="10">
        <v>909.99900000000002</v>
      </c>
      <c r="L2814" s="10">
        <v>1203.77</v>
      </c>
      <c r="M2814" s="10">
        <v>20.053999999999998</v>
      </c>
      <c r="N2814" s="10">
        <v>20.053999999999998</v>
      </c>
      <c r="O2814" s="10">
        <v>156.72999999999999</v>
      </c>
      <c r="P2814" s="15" t="s">
        <v>14952</v>
      </c>
      <c r="Q2814" s="15" t="s">
        <v>14952</v>
      </c>
      <c r="R2814" s="10">
        <v>5</v>
      </c>
    </row>
    <row r="2815" spans="1:18" ht="17" customHeight="1" x14ac:dyDescent="0.15">
      <c r="A2815" s="11" t="s">
        <v>15072</v>
      </c>
      <c r="B2815" s="1" t="s">
        <v>15073</v>
      </c>
      <c r="C2815" s="11" t="s">
        <v>15074</v>
      </c>
      <c r="D2815" s="11" t="s">
        <v>15074</v>
      </c>
      <c r="E2815" s="11" t="s">
        <v>15075</v>
      </c>
      <c r="F2815" s="11" t="s">
        <v>14986</v>
      </c>
      <c r="G2815" s="11" t="s">
        <v>15076</v>
      </c>
      <c r="H2815" s="11" t="s">
        <v>15056</v>
      </c>
      <c r="I2815" s="11" t="str">
        <f>HYPERLINK("http://www.endscuoio.com/","www.endscuoio.com")</f>
        <v>www.endscuoio.com</v>
      </c>
      <c r="J2815" s="12">
        <v>1130.587</v>
      </c>
      <c r="K2815" s="12">
        <v>1130.587</v>
      </c>
      <c r="L2815" s="13">
        <v>1203.7360000000001</v>
      </c>
      <c r="M2815" s="12">
        <v>114.745</v>
      </c>
      <c r="N2815" s="12">
        <v>114.745</v>
      </c>
      <c r="O2815" s="12">
        <v>65.415000000000006</v>
      </c>
      <c r="P2815" s="12">
        <v>13</v>
      </c>
      <c r="Q2815" s="12">
        <v>13</v>
      </c>
      <c r="R2815" s="12">
        <v>14</v>
      </c>
    </row>
    <row r="2816" spans="1:18" ht="17" customHeight="1" x14ac:dyDescent="0.15">
      <c r="A2816" s="8" t="s">
        <v>15077</v>
      </c>
      <c r="B2816" s="9" t="s">
        <v>15078</v>
      </c>
      <c r="C2816" s="8" t="s">
        <v>15079</v>
      </c>
      <c r="D2816" s="8" t="s">
        <v>15079</v>
      </c>
      <c r="E2816" s="8" t="s">
        <v>15080</v>
      </c>
      <c r="F2816" s="8" t="s">
        <v>15081</v>
      </c>
      <c r="G2816" s="8" t="s">
        <v>15082</v>
      </c>
      <c r="H2816" s="8" t="s">
        <v>14918</v>
      </c>
      <c r="I2816" s="8" t="str">
        <f>HYPERLINK("http://ottobconfezioni.it/","ottobconfezioni.it")</f>
        <v>ottobconfezioni.it</v>
      </c>
      <c r="J2816" s="10">
        <v>1664.6869999999999</v>
      </c>
      <c r="K2816" s="10">
        <v>1664.6869999999999</v>
      </c>
      <c r="L2816" s="10">
        <v>1203.374</v>
      </c>
      <c r="M2816" s="10">
        <v>437.673</v>
      </c>
      <c r="N2816" s="10">
        <v>437.673</v>
      </c>
      <c r="O2816" s="10">
        <v>125.91200000000001</v>
      </c>
      <c r="P2816" s="10">
        <v>12</v>
      </c>
      <c r="Q2816" s="10">
        <v>12</v>
      </c>
      <c r="R2816" s="10">
        <v>12</v>
      </c>
    </row>
    <row r="2817" spans="1:18" ht="17" customHeight="1" x14ac:dyDescent="0.15">
      <c r="A2817" s="11" t="s">
        <v>15083</v>
      </c>
      <c r="B2817" s="1" t="s">
        <v>15084</v>
      </c>
      <c r="C2817" s="11" t="s">
        <v>15085</v>
      </c>
      <c r="D2817" s="11" t="s">
        <v>15085</v>
      </c>
      <c r="E2817" s="11" t="s">
        <v>15086</v>
      </c>
      <c r="F2817" s="11" t="s">
        <v>15087</v>
      </c>
      <c r="G2817" s="11" t="s">
        <v>15088</v>
      </c>
      <c r="H2817" s="11" t="s">
        <v>15089</v>
      </c>
      <c r="I2817" s="11" t="str">
        <f>HYPERLINK("http://tivioli.it/","tivioli.it")</f>
        <v>tivioli.it</v>
      </c>
      <c r="J2817" s="12">
        <v>1761.8330000000001</v>
      </c>
      <c r="K2817" s="12">
        <v>1761.8330000000001</v>
      </c>
      <c r="L2817" s="13">
        <v>1203.0229999999999</v>
      </c>
      <c r="M2817" s="12">
        <v>425.32400000000001</v>
      </c>
      <c r="N2817" s="12">
        <v>425.32400000000001</v>
      </c>
      <c r="O2817" s="12">
        <v>125.923</v>
      </c>
      <c r="P2817" s="12">
        <v>22</v>
      </c>
      <c r="Q2817" s="12">
        <v>22</v>
      </c>
      <c r="R2817" s="12">
        <v>18</v>
      </c>
    </row>
    <row r="2818" spans="1:18" ht="17" customHeight="1" x14ac:dyDescent="0.15">
      <c r="A2818" s="8" t="s">
        <v>15090</v>
      </c>
      <c r="B2818" s="9" t="s">
        <v>15091</v>
      </c>
      <c r="C2818" s="8" t="s">
        <v>15092</v>
      </c>
      <c r="D2818" s="8" t="s">
        <v>15092</v>
      </c>
      <c r="E2818" s="8" t="s">
        <v>15093</v>
      </c>
      <c r="F2818" s="8" t="s">
        <v>15094</v>
      </c>
      <c r="G2818" s="8" t="s">
        <v>15095</v>
      </c>
      <c r="H2818" s="8" t="s">
        <v>15096</v>
      </c>
      <c r="I2818" s="8" t="str">
        <f>HYPERLINK("http://www.zenitsrl2018.it/","www.zenitsrl2018.it")</f>
        <v>www.zenitsrl2018.it</v>
      </c>
      <c r="J2818" s="10">
        <v>1375.3</v>
      </c>
      <c r="K2818" s="10">
        <v>1375.3</v>
      </c>
      <c r="L2818" s="10">
        <v>1201.934</v>
      </c>
      <c r="M2818" s="10">
        <v>1.3260000000000001</v>
      </c>
      <c r="N2818" s="10">
        <v>1.3260000000000001</v>
      </c>
      <c r="O2818" s="10">
        <v>6.7290000000000001</v>
      </c>
      <c r="P2818" s="10">
        <v>14</v>
      </c>
      <c r="Q2818" s="10">
        <v>14</v>
      </c>
      <c r="R2818" s="10">
        <v>7</v>
      </c>
    </row>
    <row r="2819" spans="1:18" ht="17" customHeight="1" x14ac:dyDescent="0.15">
      <c r="A2819" s="11" t="s">
        <v>15097</v>
      </c>
      <c r="B2819" s="1" t="s">
        <v>15098</v>
      </c>
      <c r="C2819" s="11" t="s">
        <v>15099</v>
      </c>
      <c r="D2819" s="11" t="s">
        <v>15099</v>
      </c>
      <c r="E2819" s="11" t="s">
        <v>15100</v>
      </c>
      <c r="F2819" s="11" t="s">
        <v>15101</v>
      </c>
      <c r="G2819" s="11" t="s">
        <v>15102</v>
      </c>
      <c r="H2819" s="11" t="s">
        <v>15103</v>
      </c>
      <c r="I2819" s="11" t="str">
        <f>HYPERLINK("http://www.gbm-maglieria.it/","www.gbm-maglieria.it")</f>
        <v>www.gbm-maglieria.it</v>
      </c>
      <c r="J2819" s="12">
        <v>818.13699999999994</v>
      </c>
      <c r="K2819" s="12">
        <v>818.13699999999994</v>
      </c>
      <c r="L2819" s="13">
        <v>1201.768</v>
      </c>
      <c r="M2819" s="12">
        <v>-5.7089999999999996</v>
      </c>
      <c r="N2819" s="12">
        <v>-5.7089999999999996</v>
      </c>
      <c r="O2819" s="12">
        <v>3.024</v>
      </c>
      <c r="P2819" s="12">
        <v>5</v>
      </c>
      <c r="Q2819" s="12">
        <v>5</v>
      </c>
      <c r="R2819" s="12">
        <v>9</v>
      </c>
    </row>
    <row r="2820" spans="1:18" ht="29.5" customHeight="1" x14ac:dyDescent="0.15">
      <c r="A2820" s="8" t="s">
        <v>15104</v>
      </c>
      <c r="B2820" s="9" t="s">
        <v>15105</v>
      </c>
      <c r="C2820" s="8" t="s">
        <v>15106</v>
      </c>
      <c r="D2820" s="8" t="s">
        <v>15106</v>
      </c>
      <c r="E2820" s="8" t="s">
        <v>15107</v>
      </c>
      <c r="F2820" s="8" t="s">
        <v>15108</v>
      </c>
      <c r="G2820" s="8" t="s">
        <v>15109</v>
      </c>
      <c r="H2820" s="8" t="s">
        <v>15110</v>
      </c>
      <c r="I2820" s="8" t="str">
        <f>HYPERLINK("http://www.ateliercurti.com/","www.ateliercurti.com")</f>
        <v>www.ateliercurti.com</v>
      </c>
      <c r="J2820" s="10">
        <v>1386.1980000000001</v>
      </c>
      <c r="K2820" s="10">
        <v>1386.1980000000001</v>
      </c>
      <c r="L2820" s="10">
        <v>1198.402</v>
      </c>
      <c r="M2820" s="10">
        <v>103.92400000000001</v>
      </c>
      <c r="N2820" s="10">
        <v>103.92400000000001</v>
      </c>
      <c r="O2820" s="10">
        <v>49.970999999999997</v>
      </c>
      <c r="P2820" s="10">
        <v>17</v>
      </c>
      <c r="Q2820" s="10">
        <v>17</v>
      </c>
      <c r="R2820" s="10">
        <v>18</v>
      </c>
    </row>
    <row r="2821" spans="1:18" ht="17" customHeight="1" x14ac:dyDescent="0.15">
      <c r="A2821" s="11" t="s">
        <v>15111</v>
      </c>
      <c r="B2821" s="1" t="s">
        <v>15112</v>
      </c>
      <c r="C2821" s="11" t="s">
        <v>15113</v>
      </c>
      <c r="D2821" s="11" t="s">
        <v>15113</v>
      </c>
      <c r="E2821" s="11" t="s">
        <v>15114</v>
      </c>
      <c r="F2821" s="11" t="s">
        <v>15101</v>
      </c>
      <c r="G2821" s="11" t="s">
        <v>15095</v>
      </c>
      <c r="H2821" s="11" t="s">
        <v>15096</v>
      </c>
      <c r="I2821" s="11" t="str">
        <f>HYPERLINK("http://www.outlet-tomas.com/","www.outlet-tomas.com")</f>
        <v>www.outlet-tomas.com</v>
      </c>
      <c r="J2821" s="12">
        <v>1835.1089999999999</v>
      </c>
      <c r="K2821" s="12">
        <v>1835.1089999999999</v>
      </c>
      <c r="L2821" s="13">
        <v>1198.229</v>
      </c>
      <c r="M2821" s="12">
        <v>0.11</v>
      </c>
      <c r="N2821" s="12">
        <v>0.11</v>
      </c>
      <c r="O2821" s="12">
        <v>19.065999999999999</v>
      </c>
      <c r="P2821" s="12">
        <v>17</v>
      </c>
      <c r="Q2821" s="12">
        <v>17</v>
      </c>
      <c r="R2821" s="12">
        <v>14</v>
      </c>
    </row>
    <row r="2822" spans="1:18" ht="17" customHeight="1" x14ac:dyDescent="0.15">
      <c r="A2822" s="8" t="s">
        <v>15115</v>
      </c>
      <c r="B2822" s="9" t="s">
        <v>15116</v>
      </c>
      <c r="C2822" s="8" t="s">
        <v>15117</v>
      </c>
      <c r="D2822" s="8" t="s">
        <v>15117</v>
      </c>
      <c r="E2822" s="8" t="s">
        <v>15118</v>
      </c>
      <c r="F2822" s="8" t="s">
        <v>15119</v>
      </c>
      <c r="G2822" s="8" t="s">
        <v>15120</v>
      </c>
      <c r="H2822" s="8" t="s">
        <v>15103</v>
      </c>
      <c r="I2822" s="8" t="str">
        <f>HYPERLINK("http://www.catya.it/","www.catya.it")</f>
        <v>www.catya.it</v>
      </c>
      <c r="J2822" s="10">
        <v>1035.0519999999999</v>
      </c>
      <c r="K2822" s="10">
        <v>1035.0519999999999</v>
      </c>
      <c r="L2822" s="10">
        <v>1197.2619999999999</v>
      </c>
      <c r="M2822" s="10">
        <v>6.9530000000000003</v>
      </c>
      <c r="N2822" s="10">
        <v>6.9530000000000003</v>
      </c>
      <c r="O2822" s="10">
        <v>32.51</v>
      </c>
      <c r="P2822" s="10">
        <v>28</v>
      </c>
      <c r="Q2822" s="10">
        <v>28</v>
      </c>
      <c r="R2822" s="10">
        <v>30</v>
      </c>
    </row>
    <row r="2823" spans="1:18" ht="29.5" customHeight="1" x14ac:dyDescent="0.15">
      <c r="A2823" s="11" t="s">
        <v>15121</v>
      </c>
      <c r="B2823" s="1" t="s">
        <v>15122</v>
      </c>
      <c r="C2823" s="11" t="s">
        <v>15123</v>
      </c>
      <c r="D2823" s="11" t="s">
        <v>15123</v>
      </c>
      <c r="E2823" s="11" t="s">
        <v>15124</v>
      </c>
      <c r="F2823" s="11" t="s">
        <v>15094</v>
      </c>
      <c r="G2823" s="11" t="s">
        <v>15125</v>
      </c>
      <c r="H2823" s="11" t="s">
        <v>15126</v>
      </c>
      <c r="I2823" s="11" t="str">
        <f>HYPERLINK("http://www.volbal.it/","www.volbal.it")</f>
        <v>www.volbal.it</v>
      </c>
      <c r="J2823" s="12">
        <v>1081.4259999999999</v>
      </c>
      <c r="K2823" s="12">
        <v>1081.4259999999999</v>
      </c>
      <c r="L2823" s="13">
        <v>1195.855</v>
      </c>
      <c r="M2823" s="12">
        <v>5.8840000000000003</v>
      </c>
      <c r="N2823" s="12">
        <v>5.8840000000000003</v>
      </c>
      <c r="O2823" s="12">
        <v>1.1850000000000001</v>
      </c>
      <c r="P2823" s="12">
        <v>16</v>
      </c>
      <c r="Q2823" s="12">
        <v>16</v>
      </c>
      <c r="R2823" s="12">
        <v>19</v>
      </c>
    </row>
    <row r="2824" spans="1:18" ht="29.5" customHeight="1" x14ac:dyDescent="0.15">
      <c r="A2824" s="8" t="s">
        <v>15127</v>
      </c>
      <c r="B2824" s="9" t="s">
        <v>15128</v>
      </c>
      <c r="C2824" s="8" t="s">
        <v>15129</v>
      </c>
      <c r="D2824" s="8" t="s">
        <v>15129</v>
      </c>
      <c r="E2824" s="8" t="s">
        <v>15130</v>
      </c>
      <c r="F2824" s="8" t="s">
        <v>15131</v>
      </c>
      <c r="G2824" s="8" t="s">
        <v>15095</v>
      </c>
      <c r="H2824" s="8" t="s">
        <v>15096</v>
      </c>
      <c r="I2824" s="8" t="str">
        <f>HYPERLINK("http://www.lavorazionepellamicentanni.it/","www.lavorazionepellamicentanni.it")</f>
        <v>www.lavorazionepellamicentanni.it</v>
      </c>
      <c r="J2824" s="10">
        <v>943.93299999999999</v>
      </c>
      <c r="K2824" s="10">
        <v>943.93299999999999</v>
      </c>
      <c r="L2824" s="10">
        <v>1195.6220000000001</v>
      </c>
      <c r="M2824" s="10">
        <v>-26.423999999999999</v>
      </c>
      <c r="N2824" s="10">
        <v>-26.423999999999999</v>
      </c>
      <c r="O2824" s="10">
        <v>10.79</v>
      </c>
      <c r="P2824" s="10">
        <v>14</v>
      </c>
      <c r="Q2824" s="10">
        <v>14</v>
      </c>
      <c r="R2824" s="10">
        <v>15</v>
      </c>
    </row>
    <row r="2825" spans="1:18" ht="17" customHeight="1" x14ac:dyDescent="0.15">
      <c r="A2825" s="11" t="s">
        <v>15132</v>
      </c>
      <c r="B2825" s="1" t="s">
        <v>15133</v>
      </c>
      <c r="C2825" s="11" t="s">
        <v>15134</v>
      </c>
      <c r="D2825" s="11" t="s">
        <v>15134</v>
      </c>
      <c r="E2825" s="11" t="s">
        <v>15135</v>
      </c>
      <c r="F2825" s="11" t="s">
        <v>15136</v>
      </c>
      <c r="G2825" s="11" t="s">
        <v>15137</v>
      </c>
      <c r="H2825" s="11" t="s">
        <v>15138</v>
      </c>
      <c r="I2825" s="11" t="str">
        <f>HYPERLINK("http://www.gitsrl.com/","www.gitsrl.com")</f>
        <v>www.gitsrl.com</v>
      </c>
      <c r="J2825" s="12">
        <v>1463.6220000000001</v>
      </c>
      <c r="K2825" s="12">
        <v>1463.6220000000001</v>
      </c>
      <c r="L2825" s="13">
        <v>1195.4739999999999</v>
      </c>
      <c r="M2825" s="12">
        <v>93.495999999999995</v>
      </c>
      <c r="N2825" s="12">
        <v>93.495999999999995</v>
      </c>
      <c r="O2825" s="12">
        <v>37.668999999999997</v>
      </c>
      <c r="P2825" s="12">
        <v>8</v>
      </c>
      <c r="Q2825" s="12">
        <v>8</v>
      </c>
      <c r="R2825" s="12">
        <v>7</v>
      </c>
    </row>
    <row r="2826" spans="1:18" ht="29.5" customHeight="1" x14ac:dyDescent="0.15">
      <c r="A2826" s="8" t="s">
        <v>15139</v>
      </c>
      <c r="B2826" s="9" t="s">
        <v>15140</v>
      </c>
      <c r="C2826" s="8" t="s">
        <v>15141</v>
      </c>
      <c r="D2826" s="8" t="s">
        <v>15141</v>
      </c>
      <c r="E2826" s="8" t="s">
        <v>15142</v>
      </c>
      <c r="F2826" s="8" t="s">
        <v>15143</v>
      </c>
      <c r="G2826" s="8" t="s">
        <v>15144</v>
      </c>
      <c r="H2826" s="8" t="s">
        <v>15096</v>
      </c>
      <c r="I2826" s="8" t="str">
        <f>HYPERLINK("http://www.emanuelapasseri.it/","www.emanuelapasseri.it")</f>
        <v>www.emanuelapasseri.it</v>
      </c>
      <c r="J2826" s="10">
        <v>1158.557</v>
      </c>
      <c r="K2826" s="10">
        <v>1158.557</v>
      </c>
      <c r="L2826" s="10">
        <v>1194.7940000000001</v>
      </c>
      <c r="M2826" s="10">
        <v>9.1769999999999996</v>
      </c>
      <c r="N2826" s="10">
        <v>9.1769999999999996</v>
      </c>
      <c r="O2826" s="10">
        <v>4.4020000000000001</v>
      </c>
      <c r="P2826" s="15" t="s">
        <v>15145</v>
      </c>
      <c r="Q2826" s="15" t="s">
        <v>15145</v>
      </c>
      <c r="R2826" s="10">
        <v>16</v>
      </c>
    </row>
    <row r="2827" spans="1:18" ht="17" customHeight="1" x14ac:dyDescent="0.15">
      <c r="A2827" s="11" t="s">
        <v>15146</v>
      </c>
      <c r="B2827" s="1" t="s">
        <v>15147</v>
      </c>
      <c r="C2827" s="11" t="s">
        <v>15148</v>
      </c>
      <c r="D2827" s="11" t="s">
        <v>15148</v>
      </c>
      <c r="E2827" s="11" t="s">
        <v>15149</v>
      </c>
      <c r="F2827" s="11" t="s">
        <v>15136</v>
      </c>
      <c r="G2827" s="11" t="s">
        <v>15150</v>
      </c>
      <c r="H2827" s="11" t="s">
        <v>15151</v>
      </c>
      <c r="I2827" s="11" t="str">
        <f>HYPERLINK("http://www.brouback.it/","www.brouback.it")</f>
        <v>www.brouback.it</v>
      </c>
      <c r="J2827" s="12">
        <v>1673.835</v>
      </c>
      <c r="K2827" s="12">
        <v>1673.835</v>
      </c>
      <c r="L2827" s="13">
        <v>1194.18</v>
      </c>
      <c r="M2827" s="12">
        <v>44.68</v>
      </c>
      <c r="N2827" s="12">
        <v>44.68</v>
      </c>
      <c r="O2827" s="12">
        <v>31.712</v>
      </c>
      <c r="P2827" s="12">
        <v>7</v>
      </c>
      <c r="Q2827" s="12">
        <v>7</v>
      </c>
      <c r="R2827" s="12">
        <v>7</v>
      </c>
    </row>
    <row r="2828" spans="1:18" ht="17" customHeight="1" x14ac:dyDescent="0.15">
      <c r="A2828" s="8" t="s">
        <v>15152</v>
      </c>
      <c r="B2828" s="9" t="s">
        <v>15153</v>
      </c>
      <c r="C2828" s="8" t="s">
        <v>15154</v>
      </c>
      <c r="D2828" s="8" t="s">
        <v>15154</v>
      </c>
      <c r="E2828" s="8" t="s">
        <v>15155</v>
      </c>
      <c r="F2828" s="8" t="s">
        <v>15156</v>
      </c>
      <c r="G2828" s="8" t="s">
        <v>15157</v>
      </c>
      <c r="H2828" s="8" t="s">
        <v>15158</v>
      </c>
      <c r="I2828" s="8" t="str">
        <f>HYPERLINK("http://marcomasi.it/","marcomasi.it")</f>
        <v>marcomasi.it</v>
      </c>
      <c r="J2828" s="10">
        <v>985.63699999999994</v>
      </c>
      <c r="K2828" s="10">
        <v>985.63699999999994</v>
      </c>
      <c r="L2828" s="10">
        <v>1193.502</v>
      </c>
      <c r="M2828" s="10">
        <v>14.686999999999999</v>
      </c>
      <c r="N2828" s="10">
        <v>14.686999999999999</v>
      </c>
      <c r="O2828" s="10">
        <v>10.259</v>
      </c>
      <c r="P2828" s="10">
        <v>3</v>
      </c>
      <c r="Q2828" s="10">
        <v>3</v>
      </c>
      <c r="R2828" s="10">
        <v>5</v>
      </c>
    </row>
    <row r="2829" spans="1:18" ht="17" customHeight="1" x14ac:dyDescent="0.15">
      <c r="A2829" s="11" t="s">
        <v>15159</v>
      </c>
      <c r="B2829" s="1" t="s">
        <v>15160</v>
      </c>
      <c r="C2829" s="11" t="s">
        <v>15161</v>
      </c>
      <c r="D2829" s="11" t="s">
        <v>15161</v>
      </c>
      <c r="E2829" s="11" t="s">
        <v>15162</v>
      </c>
      <c r="F2829" s="11" t="s">
        <v>15163</v>
      </c>
      <c r="G2829" s="11" t="s">
        <v>15164</v>
      </c>
      <c r="H2829" s="11" t="s">
        <v>15158</v>
      </c>
      <c r="I2829" s="11" t="str">
        <f>HYPERLINK("http://www.racingtack.it/","www.racingtack.it")</f>
        <v>www.racingtack.it</v>
      </c>
      <c r="J2829" s="12">
        <v>1076.519</v>
      </c>
      <c r="K2829" s="12">
        <v>1076.519</v>
      </c>
      <c r="L2829" s="13">
        <v>1189.6479999999999</v>
      </c>
      <c r="M2829" s="12">
        <v>76.168000000000006</v>
      </c>
      <c r="N2829" s="12">
        <v>76.168000000000006</v>
      </c>
      <c r="O2829" s="12">
        <v>93.457999999999998</v>
      </c>
      <c r="P2829" s="12">
        <v>6</v>
      </c>
      <c r="Q2829" s="12">
        <v>6</v>
      </c>
      <c r="R2829" s="12">
        <v>7</v>
      </c>
    </row>
    <row r="2830" spans="1:18" ht="17" customHeight="1" x14ac:dyDescent="0.15">
      <c r="A2830" s="8" t="s">
        <v>15165</v>
      </c>
      <c r="B2830" s="9" t="s">
        <v>15166</v>
      </c>
      <c r="C2830" s="8" t="s">
        <v>15167</v>
      </c>
      <c r="D2830" s="8" t="s">
        <v>15167</v>
      </c>
      <c r="E2830" s="8" t="s">
        <v>15168</v>
      </c>
      <c r="F2830" s="8" t="s">
        <v>15143</v>
      </c>
      <c r="G2830" s="8" t="s">
        <v>15095</v>
      </c>
      <c r="H2830" s="8" t="s">
        <v>15096</v>
      </c>
      <c r="I2830" s="8" t="str">
        <f>HYPERLINK("http://www.diamfondi.com/","www.diamfondi.com")</f>
        <v>www.diamfondi.com</v>
      </c>
      <c r="J2830" s="10">
        <v>746.23199999999997</v>
      </c>
      <c r="K2830" s="10">
        <v>746.23199999999997</v>
      </c>
      <c r="L2830" s="10">
        <v>1189.0899999999999</v>
      </c>
      <c r="M2830" s="10">
        <v>-38.923000000000002</v>
      </c>
      <c r="N2830" s="10">
        <v>-38.923000000000002</v>
      </c>
      <c r="O2830" s="10">
        <v>34.19</v>
      </c>
      <c r="P2830" s="10">
        <v>7</v>
      </c>
      <c r="Q2830" s="10">
        <v>7</v>
      </c>
      <c r="R2830" s="10">
        <v>9</v>
      </c>
    </row>
    <row r="2831" spans="1:18" ht="17" customHeight="1" x14ac:dyDescent="0.15">
      <c r="A2831" s="11" t="s">
        <v>15169</v>
      </c>
      <c r="B2831" s="1" t="s">
        <v>15170</v>
      </c>
      <c r="C2831" s="11" t="s">
        <v>15171</v>
      </c>
      <c r="D2831" s="11" t="s">
        <v>15171</v>
      </c>
      <c r="E2831" s="11" t="s">
        <v>15172</v>
      </c>
      <c r="F2831" s="11" t="s">
        <v>15131</v>
      </c>
      <c r="G2831" s="11" t="s">
        <v>15173</v>
      </c>
      <c r="H2831" s="11" t="s">
        <v>15126</v>
      </c>
      <c r="I2831" s="11" t="str">
        <f>HYPERLINK("http://www.peleritalia.com/","www.peleritalia.com")</f>
        <v>www.peleritalia.com</v>
      </c>
      <c r="J2831" s="12">
        <v>988.99199999999996</v>
      </c>
      <c r="K2831" s="12">
        <v>988.99199999999996</v>
      </c>
      <c r="L2831" s="13">
        <v>1189.0329999999999</v>
      </c>
      <c r="M2831" s="12">
        <v>10.313000000000001</v>
      </c>
      <c r="N2831" s="12">
        <v>10.313000000000001</v>
      </c>
      <c r="O2831" s="12">
        <v>2.4319999999999999</v>
      </c>
      <c r="P2831" s="12">
        <v>2</v>
      </c>
      <c r="Q2831" s="12">
        <v>2</v>
      </c>
      <c r="R2831" s="12">
        <v>3</v>
      </c>
    </row>
    <row r="2832" spans="1:18" ht="17" customHeight="1" x14ac:dyDescent="0.15">
      <c r="A2832" s="8" t="s">
        <v>15174</v>
      </c>
      <c r="B2832" s="9" t="s">
        <v>15175</v>
      </c>
      <c r="C2832" s="8" t="s">
        <v>15176</v>
      </c>
      <c r="D2832" s="8" t="s">
        <v>15176</v>
      </c>
      <c r="E2832" s="8" t="s">
        <v>15177</v>
      </c>
      <c r="F2832" s="8" t="s">
        <v>15136</v>
      </c>
      <c r="G2832" s="8" t="s">
        <v>15178</v>
      </c>
      <c r="H2832" s="8" t="s">
        <v>15138</v>
      </c>
      <c r="I2832" s="8" t="str">
        <f>HYPERLINK("http://www.westar.it/","www.westar.it")</f>
        <v>www.westar.it</v>
      </c>
      <c r="J2832" s="10">
        <v>923.279</v>
      </c>
      <c r="K2832" s="10">
        <v>923.279</v>
      </c>
      <c r="L2832" s="10">
        <v>1187.7280000000001</v>
      </c>
      <c r="M2832" s="10">
        <v>6.2469999999999999</v>
      </c>
      <c r="N2832" s="10">
        <v>6.2469999999999999</v>
      </c>
      <c r="O2832" s="10">
        <v>6.66</v>
      </c>
      <c r="P2832" s="10">
        <v>6</v>
      </c>
      <c r="Q2832" s="10">
        <v>6</v>
      </c>
      <c r="R2832" s="10">
        <v>6</v>
      </c>
    </row>
    <row r="2833" spans="1:18" ht="17" customHeight="1" x14ac:dyDescent="0.15">
      <c r="A2833" s="11" t="s">
        <v>15179</v>
      </c>
      <c r="B2833" s="1" t="s">
        <v>15180</v>
      </c>
      <c r="C2833" s="11" t="s">
        <v>15181</v>
      </c>
      <c r="D2833" s="11" t="s">
        <v>15181</v>
      </c>
      <c r="E2833" s="11" t="s">
        <v>15182</v>
      </c>
      <c r="F2833" s="11" t="s">
        <v>15183</v>
      </c>
      <c r="G2833" s="11" t="s">
        <v>15184</v>
      </c>
      <c r="H2833" s="11" t="s">
        <v>15151</v>
      </c>
      <c r="I2833" s="11" t="str">
        <f>HYPERLINK("http://enjoywear.it/","enjoywear.it")</f>
        <v>enjoywear.it</v>
      </c>
      <c r="J2833" s="12">
        <v>1691.096</v>
      </c>
      <c r="K2833" s="12">
        <v>1691.096</v>
      </c>
      <c r="L2833" s="13">
        <v>1186.78</v>
      </c>
      <c r="M2833" s="12">
        <v>11.018000000000001</v>
      </c>
      <c r="N2833" s="12">
        <v>11.018000000000001</v>
      </c>
      <c r="O2833" s="12">
        <v>18.335000000000001</v>
      </c>
      <c r="P2833" s="12">
        <v>11</v>
      </c>
      <c r="Q2833" s="12">
        <v>11</v>
      </c>
      <c r="R2833" s="12">
        <v>11</v>
      </c>
    </row>
    <row r="2834" spans="1:18" ht="29.5" customHeight="1" x14ac:dyDescent="0.15">
      <c r="A2834" s="8" t="s">
        <v>15185</v>
      </c>
      <c r="B2834" s="9" t="s">
        <v>15186</v>
      </c>
      <c r="C2834" s="8" t="s">
        <v>15187</v>
      </c>
      <c r="D2834" s="8" t="s">
        <v>15187</v>
      </c>
      <c r="E2834" s="8" t="s">
        <v>15188</v>
      </c>
      <c r="F2834" s="8" t="s">
        <v>15189</v>
      </c>
      <c r="G2834" s="8" t="s">
        <v>15125</v>
      </c>
      <c r="H2834" s="8" t="s">
        <v>15126</v>
      </c>
      <c r="I2834" s="8" t="str">
        <f>HYPERLINK("http://www.laudinocaccin.it/","www.laudinocaccin.it")</f>
        <v>www.laudinocaccin.it</v>
      </c>
      <c r="J2834" s="10">
        <v>814.74599999999998</v>
      </c>
      <c r="K2834" s="10">
        <v>814.74599999999998</v>
      </c>
      <c r="L2834" s="10">
        <v>1185.2619999999999</v>
      </c>
      <c r="M2834" s="10">
        <v>-57.043999999999997</v>
      </c>
      <c r="N2834" s="10">
        <v>-57.043999999999997</v>
      </c>
      <c r="O2834" s="10">
        <v>11.627000000000001</v>
      </c>
      <c r="P2834" s="15" t="s">
        <v>15145</v>
      </c>
      <c r="Q2834" s="15" t="s">
        <v>15145</v>
      </c>
      <c r="R2834" s="10">
        <v>11</v>
      </c>
    </row>
    <row r="2835" spans="1:18" ht="17" customHeight="1" x14ac:dyDescent="0.15">
      <c r="A2835" s="11" t="s">
        <v>15190</v>
      </c>
      <c r="B2835" s="1" t="s">
        <v>15191</v>
      </c>
      <c r="C2835" s="11" t="s">
        <v>15192</v>
      </c>
      <c r="D2835" s="11" t="s">
        <v>15192</v>
      </c>
      <c r="E2835" s="11" t="s">
        <v>15193</v>
      </c>
      <c r="F2835" s="11" t="s">
        <v>15101</v>
      </c>
      <c r="G2835" s="11" t="s">
        <v>15194</v>
      </c>
      <c r="H2835" s="11" t="s">
        <v>15103</v>
      </c>
      <c r="I2835" s="11" t="str">
        <f>HYPERLINK("http://maxmaglierie.it/","maxmaglierie.it")</f>
        <v>maxmaglierie.it</v>
      </c>
      <c r="J2835" s="12">
        <v>1008.426</v>
      </c>
      <c r="K2835" s="12">
        <v>1008.426</v>
      </c>
      <c r="L2835" s="13">
        <v>1184.7809999999999</v>
      </c>
      <c r="M2835" s="12">
        <v>1.706</v>
      </c>
      <c r="N2835" s="12">
        <v>1.706</v>
      </c>
      <c r="O2835" s="12">
        <v>3.0230000000000001</v>
      </c>
      <c r="P2835" s="12">
        <v>3</v>
      </c>
      <c r="Q2835" s="12">
        <v>3</v>
      </c>
      <c r="R2835" s="12">
        <v>3</v>
      </c>
    </row>
    <row r="2836" spans="1:18" ht="17" customHeight="1" x14ac:dyDescent="0.15">
      <c r="A2836" s="8" t="s">
        <v>15195</v>
      </c>
      <c r="B2836" s="9" t="s">
        <v>15196</v>
      </c>
      <c r="C2836" s="8" t="s">
        <v>15197</v>
      </c>
      <c r="D2836" s="8" t="s">
        <v>15197</v>
      </c>
      <c r="E2836" s="8" t="s">
        <v>15198</v>
      </c>
      <c r="F2836" s="8" t="s">
        <v>15131</v>
      </c>
      <c r="G2836" s="8" t="s">
        <v>15109</v>
      </c>
      <c r="H2836" s="8" t="s">
        <v>15110</v>
      </c>
      <c r="I2836" s="8" t="str">
        <f>HYPERLINK("http://www.startupgroupsrls.it/","www.startupgroupsrls.it")</f>
        <v>www.startupgroupsrls.it</v>
      </c>
      <c r="J2836" s="10">
        <v>1130.7539999999999</v>
      </c>
      <c r="K2836" s="10">
        <v>1130.7539999999999</v>
      </c>
      <c r="L2836" s="10">
        <v>1180.366</v>
      </c>
      <c r="M2836" s="10">
        <v>27.893000000000001</v>
      </c>
      <c r="N2836" s="10">
        <v>27.893000000000001</v>
      </c>
      <c r="O2836" s="10">
        <v>22.135999999999999</v>
      </c>
      <c r="P2836" s="15" t="s">
        <v>15145</v>
      </c>
      <c r="Q2836" s="15" t="s">
        <v>15145</v>
      </c>
      <c r="R2836" s="10">
        <v>2</v>
      </c>
    </row>
    <row r="2837" spans="1:18" ht="17" customHeight="1" x14ac:dyDescent="0.15">
      <c r="A2837" s="11" t="s">
        <v>15199</v>
      </c>
      <c r="B2837" s="1" t="s">
        <v>15200</v>
      </c>
      <c r="C2837" s="11" t="s">
        <v>15201</v>
      </c>
      <c r="D2837" s="11" t="s">
        <v>15201</v>
      </c>
      <c r="E2837" s="11" t="s">
        <v>15202</v>
      </c>
      <c r="F2837" s="11" t="s">
        <v>15203</v>
      </c>
      <c r="G2837" s="11" t="s">
        <v>15204</v>
      </c>
      <c r="H2837" s="11" t="s">
        <v>15138</v>
      </c>
      <c r="I2837" s="11" t="str">
        <f>HYPERLINK("http://www.confezionibilo.com/","www.confezionibilo.com")</f>
        <v>www.confezionibilo.com</v>
      </c>
      <c r="J2837" s="12">
        <v>1776.9269999999999</v>
      </c>
      <c r="K2837" s="12">
        <v>1776.9269999999999</v>
      </c>
      <c r="L2837" s="13">
        <v>1179.8499999999999</v>
      </c>
      <c r="M2837" s="12">
        <v>165.834</v>
      </c>
      <c r="N2837" s="12">
        <v>165.834</v>
      </c>
      <c r="O2837" s="12">
        <v>89.62</v>
      </c>
      <c r="P2837" s="14" t="s">
        <v>15145</v>
      </c>
      <c r="Q2837" s="14" t="s">
        <v>15145</v>
      </c>
      <c r="R2837" s="12">
        <v>16</v>
      </c>
    </row>
    <row r="2838" spans="1:18" ht="29.5" customHeight="1" x14ac:dyDescent="0.15">
      <c r="A2838" s="8" t="s">
        <v>15205</v>
      </c>
      <c r="B2838" s="9" t="s">
        <v>15206</v>
      </c>
      <c r="C2838" s="8" t="s">
        <v>15207</v>
      </c>
      <c r="D2838" s="8" t="s">
        <v>15208</v>
      </c>
      <c r="E2838" s="8" t="s">
        <v>15209</v>
      </c>
      <c r="F2838" s="8" t="s">
        <v>15210</v>
      </c>
      <c r="G2838" s="8" t="s">
        <v>15164</v>
      </c>
      <c r="H2838" s="8" t="s">
        <v>15158</v>
      </c>
      <c r="I2838" s="8" t="str">
        <f>HYPERLINK("http://www.sensiline-shop.it/","www.sensiline-shop.it")</f>
        <v>www.sensiline-shop.it</v>
      </c>
      <c r="J2838" s="10">
        <v>1089.0319999999999</v>
      </c>
      <c r="K2838" s="10">
        <v>1089.0319999999999</v>
      </c>
      <c r="L2838" s="10">
        <v>1178.1669999999999</v>
      </c>
      <c r="M2838" s="10">
        <v>-239.86099999999999</v>
      </c>
      <c r="N2838" s="10">
        <v>-239.86099999999999</v>
      </c>
      <c r="O2838" s="10">
        <v>-52.753</v>
      </c>
      <c r="P2838" s="10">
        <v>10</v>
      </c>
      <c r="Q2838" s="10">
        <v>10</v>
      </c>
      <c r="R2838" s="10">
        <v>15</v>
      </c>
    </row>
    <row r="2839" spans="1:18" ht="17" customHeight="1" x14ac:dyDescent="0.15">
      <c r="A2839" s="11" t="s">
        <v>15211</v>
      </c>
      <c r="B2839" s="1" t="s">
        <v>15212</v>
      </c>
      <c r="C2839" s="11" t="s">
        <v>15213</v>
      </c>
      <c r="D2839" s="11" t="s">
        <v>15213</v>
      </c>
      <c r="E2839" s="11" t="s">
        <v>15214</v>
      </c>
      <c r="F2839" s="11" t="s">
        <v>15215</v>
      </c>
      <c r="G2839" s="11" t="s">
        <v>15137</v>
      </c>
      <c r="H2839" s="11" t="s">
        <v>15138</v>
      </c>
      <c r="I2839" s="11" t="str">
        <f>HYPERLINK("http://www.magnanisposa.it/","www.magnanisposa.it")</f>
        <v>www.magnanisposa.it</v>
      </c>
      <c r="J2839" s="12">
        <v>1247.894</v>
      </c>
      <c r="K2839" s="12">
        <v>1247.894</v>
      </c>
      <c r="L2839" s="13">
        <v>1177.5340000000001</v>
      </c>
      <c r="M2839" s="12">
        <v>51.625999999999998</v>
      </c>
      <c r="N2839" s="12">
        <v>51.625999999999998</v>
      </c>
      <c r="O2839" s="12">
        <v>-75.260999999999996</v>
      </c>
      <c r="P2839" s="12">
        <v>15</v>
      </c>
      <c r="Q2839" s="12">
        <v>15</v>
      </c>
      <c r="R2839" s="12">
        <v>13</v>
      </c>
    </row>
    <row r="2840" spans="1:18" ht="17" customHeight="1" x14ac:dyDescent="0.15">
      <c r="A2840" s="8" t="s">
        <v>15216</v>
      </c>
      <c r="B2840" s="9" t="s">
        <v>15217</v>
      </c>
      <c r="C2840" s="8" t="s">
        <v>15218</v>
      </c>
      <c r="D2840" s="8" t="s">
        <v>15218</v>
      </c>
      <c r="E2840" s="8" t="s">
        <v>15219</v>
      </c>
      <c r="F2840" s="8" t="s">
        <v>15119</v>
      </c>
      <c r="G2840" s="8" t="s">
        <v>15220</v>
      </c>
      <c r="H2840" s="8" t="s">
        <v>15126</v>
      </c>
      <c r="I2840" s="8" t="str">
        <f>HYPERLINK("http://www.antoninovalenti.com/","www.antoninovalenti.com")</f>
        <v>www.antoninovalenti.com</v>
      </c>
      <c r="J2840" s="10">
        <v>1117.71</v>
      </c>
      <c r="K2840" s="10">
        <v>1117.71</v>
      </c>
      <c r="L2840" s="10">
        <v>1174.991</v>
      </c>
      <c r="M2840" s="10">
        <v>-29.2</v>
      </c>
      <c r="N2840" s="10">
        <v>-29.2</v>
      </c>
      <c r="O2840" s="10">
        <v>34.226999999999997</v>
      </c>
      <c r="P2840" s="10">
        <v>7</v>
      </c>
      <c r="Q2840" s="10">
        <v>7</v>
      </c>
      <c r="R2840" s="10">
        <v>7</v>
      </c>
    </row>
    <row r="2841" spans="1:18" ht="17" customHeight="1" x14ac:dyDescent="0.15">
      <c r="A2841" s="11" t="s">
        <v>15221</v>
      </c>
      <c r="B2841" s="1" t="s">
        <v>15222</v>
      </c>
      <c r="C2841" s="11" t="s">
        <v>15223</v>
      </c>
      <c r="D2841" s="11" t="s">
        <v>15223</v>
      </c>
      <c r="E2841" s="11" t="s">
        <v>15224</v>
      </c>
      <c r="F2841" s="11" t="s">
        <v>15131</v>
      </c>
      <c r="G2841" s="11" t="s">
        <v>15137</v>
      </c>
      <c r="H2841" s="11" t="s">
        <v>15138</v>
      </c>
      <c r="I2841" s="11" t="str">
        <f>HYPERLINK("http://www.ghizzanpelli.com/","www.ghizzanpelli.com")</f>
        <v>www.ghizzanpelli.com</v>
      </c>
      <c r="J2841" s="12">
        <v>1200.8589999999999</v>
      </c>
      <c r="K2841" s="12">
        <v>1200.8589999999999</v>
      </c>
      <c r="L2841" s="13">
        <v>1172.68</v>
      </c>
      <c r="M2841" s="12">
        <v>295.79500000000002</v>
      </c>
      <c r="N2841" s="12">
        <v>295.79500000000002</v>
      </c>
      <c r="O2841" s="12">
        <v>329.72699999999998</v>
      </c>
      <c r="P2841" s="12">
        <v>5</v>
      </c>
      <c r="Q2841" s="12">
        <v>5</v>
      </c>
      <c r="R2841" s="12">
        <v>5</v>
      </c>
    </row>
    <row r="2842" spans="1:18" ht="17" customHeight="1" x14ac:dyDescent="0.15">
      <c r="A2842" s="8" t="s">
        <v>15225</v>
      </c>
      <c r="B2842" s="9" t="s">
        <v>15226</v>
      </c>
      <c r="C2842" s="8" t="s">
        <v>15227</v>
      </c>
      <c r="D2842" s="8" t="s">
        <v>15227</v>
      </c>
      <c r="E2842" s="8" t="s">
        <v>15228</v>
      </c>
      <c r="F2842" s="8" t="s">
        <v>15203</v>
      </c>
      <c r="G2842" s="8" t="s">
        <v>15164</v>
      </c>
      <c r="H2842" s="8" t="s">
        <v>15158</v>
      </c>
      <c r="I2842" s="8" t="str">
        <f>HYPERLINK("http://en.askforamask.it/","en.askforamask.it")</f>
        <v>en.askforamask.it</v>
      </c>
      <c r="J2842" s="10">
        <v>881.31200000000001</v>
      </c>
      <c r="K2842" s="10">
        <v>881.31200000000001</v>
      </c>
      <c r="L2842" s="10">
        <v>1172.077</v>
      </c>
      <c r="M2842" s="10">
        <v>9.39</v>
      </c>
      <c r="N2842" s="10">
        <v>9.39</v>
      </c>
      <c r="O2842" s="10">
        <v>0.18099999999999999</v>
      </c>
      <c r="P2842" s="15" t="s">
        <v>15145</v>
      </c>
      <c r="Q2842" s="15" t="s">
        <v>15145</v>
      </c>
      <c r="R2842" s="10">
        <v>5</v>
      </c>
    </row>
    <row r="2843" spans="1:18" ht="17" customHeight="1" x14ac:dyDescent="0.15">
      <c r="A2843" s="11" t="s">
        <v>15229</v>
      </c>
      <c r="B2843" s="1" t="s">
        <v>15230</v>
      </c>
      <c r="C2843" s="11" t="s">
        <v>15231</v>
      </c>
      <c r="D2843" s="11" t="s">
        <v>15231</v>
      </c>
      <c r="E2843" s="11" t="s">
        <v>15232</v>
      </c>
      <c r="F2843" s="11" t="s">
        <v>15210</v>
      </c>
      <c r="G2843" s="11" t="s">
        <v>15233</v>
      </c>
      <c r="H2843" s="11" t="s">
        <v>15158</v>
      </c>
      <c r="I2843" s="11" t="str">
        <f>HYPERLINK("http://calzekinesia.it/","calzekinesia.it")</f>
        <v>calzekinesia.it</v>
      </c>
      <c r="J2843" s="12">
        <v>722.63499999999999</v>
      </c>
      <c r="K2843" s="12">
        <v>722.63499999999999</v>
      </c>
      <c r="L2843" s="13">
        <v>1170.9290000000001</v>
      </c>
      <c r="M2843" s="12">
        <v>-506.27199999999999</v>
      </c>
      <c r="N2843" s="12">
        <v>-506.27199999999999</v>
      </c>
      <c r="O2843" s="12">
        <v>11.708</v>
      </c>
      <c r="P2843" s="12">
        <v>11</v>
      </c>
      <c r="Q2843" s="12">
        <v>11</v>
      </c>
      <c r="R2843" s="12">
        <v>13</v>
      </c>
    </row>
    <row r="2844" spans="1:18" ht="17" customHeight="1" x14ac:dyDescent="0.15">
      <c r="A2844" s="8" t="s">
        <v>15234</v>
      </c>
      <c r="B2844" s="9" t="s">
        <v>15235</v>
      </c>
      <c r="C2844" s="8" t="s">
        <v>15236</v>
      </c>
      <c r="D2844" s="8" t="s">
        <v>15236</v>
      </c>
      <c r="E2844" s="8" t="s">
        <v>15237</v>
      </c>
      <c r="F2844" s="8" t="s">
        <v>15119</v>
      </c>
      <c r="G2844" s="8" t="s">
        <v>15164</v>
      </c>
      <c r="H2844" s="8" t="s">
        <v>15158</v>
      </c>
      <c r="I2844" s="8" t="str">
        <f>HYPERLINK("http://www.tessilcompanysrl.it/","www.tessilcompanysrl.it")</f>
        <v>www.tessilcompanysrl.it</v>
      </c>
      <c r="J2844" s="10">
        <v>1207.683</v>
      </c>
      <c r="K2844" s="10">
        <v>1207.683</v>
      </c>
      <c r="L2844" s="10">
        <v>1170.1590000000001</v>
      </c>
      <c r="M2844" s="10">
        <v>-197.625</v>
      </c>
      <c r="N2844" s="10">
        <v>-197.625</v>
      </c>
      <c r="O2844" s="10">
        <v>-19.038</v>
      </c>
      <c r="P2844" s="10">
        <v>6</v>
      </c>
      <c r="Q2844" s="10">
        <v>6</v>
      </c>
      <c r="R2844" s="10">
        <v>7</v>
      </c>
    </row>
    <row r="2845" spans="1:18" ht="17" customHeight="1" x14ac:dyDescent="0.15">
      <c r="A2845" s="11" t="s">
        <v>15238</v>
      </c>
      <c r="B2845" s="1" t="s">
        <v>15239</v>
      </c>
      <c r="C2845" s="11" t="s">
        <v>15240</v>
      </c>
      <c r="D2845" s="11" t="s">
        <v>15240</v>
      </c>
      <c r="E2845" s="11" t="s">
        <v>15241</v>
      </c>
      <c r="F2845" s="11" t="s">
        <v>15143</v>
      </c>
      <c r="G2845" s="11" t="s">
        <v>15095</v>
      </c>
      <c r="H2845" s="11" t="s">
        <v>15096</v>
      </c>
      <c r="I2845" s="11" t="str">
        <f>HYPERLINK("http://www.calzaturificiocaf.it/","www.calzaturificiocaf.it")</f>
        <v>www.calzaturificiocaf.it</v>
      </c>
      <c r="J2845" s="12">
        <v>1122.8689999999999</v>
      </c>
      <c r="K2845" s="12">
        <v>1122.8689999999999</v>
      </c>
      <c r="L2845" s="13">
        <v>1170.222</v>
      </c>
      <c r="M2845" s="12">
        <v>1.4039999999999999</v>
      </c>
      <c r="N2845" s="12">
        <v>1.4039999999999999</v>
      </c>
      <c r="O2845" s="12">
        <v>21.59</v>
      </c>
      <c r="P2845" s="12">
        <v>5</v>
      </c>
      <c r="Q2845" s="12">
        <v>5</v>
      </c>
      <c r="R2845" s="12">
        <v>3</v>
      </c>
    </row>
    <row r="2846" spans="1:18" ht="29.5" customHeight="1" x14ac:dyDescent="0.15">
      <c r="A2846" s="8" t="s">
        <v>15242</v>
      </c>
      <c r="B2846" s="9" t="s">
        <v>15243</v>
      </c>
      <c r="C2846" s="8" t="s">
        <v>15244</v>
      </c>
      <c r="D2846" s="8" t="s">
        <v>15244</v>
      </c>
      <c r="E2846" s="8" t="s">
        <v>15245</v>
      </c>
      <c r="F2846" s="8" t="s">
        <v>15119</v>
      </c>
      <c r="G2846" s="8" t="s">
        <v>15157</v>
      </c>
      <c r="H2846" s="8" t="s">
        <v>15158</v>
      </c>
      <c r="I2846" s="8" t="str">
        <f>HYPERLINK("http://bigicravatte.it/","bigicravatte.it")</f>
        <v>bigicravatte.it</v>
      </c>
      <c r="J2846" s="10">
        <v>1388.9760000000001</v>
      </c>
      <c r="K2846" s="10">
        <v>1388.9760000000001</v>
      </c>
      <c r="L2846" s="10">
        <v>1167.778</v>
      </c>
      <c r="M2846" s="10">
        <v>-19.648</v>
      </c>
      <c r="N2846" s="10">
        <v>-19.648</v>
      </c>
      <c r="O2846" s="10">
        <v>-19.605</v>
      </c>
      <c r="P2846" s="10">
        <v>22</v>
      </c>
      <c r="Q2846" s="10">
        <v>22</v>
      </c>
      <c r="R2846" s="10">
        <v>13</v>
      </c>
    </row>
    <row r="2847" spans="1:18" ht="17" customHeight="1" x14ac:dyDescent="0.15">
      <c r="A2847" s="11" t="s">
        <v>15246</v>
      </c>
      <c r="B2847" s="1" t="s">
        <v>15247</v>
      </c>
      <c r="C2847" s="11" t="s">
        <v>15248</v>
      </c>
      <c r="D2847" s="11" t="s">
        <v>15248</v>
      </c>
      <c r="E2847" s="11" t="s">
        <v>15249</v>
      </c>
      <c r="F2847" s="11" t="s">
        <v>15203</v>
      </c>
      <c r="G2847" s="11" t="s">
        <v>15250</v>
      </c>
      <c r="H2847" s="11" t="s">
        <v>15251</v>
      </c>
      <c r="I2847" s="11" t="str">
        <f>HYPERLINK("http://www.modicollezione.com/","www.modicollezione.com")</f>
        <v>www.modicollezione.com</v>
      </c>
      <c r="J2847" s="12">
        <v>1255.5319999999999</v>
      </c>
      <c r="K2847" s="12">
        <v>1255.5319999999999</v>
      </c>
      <c r="L2847" s="13">
        <v>1167.3979999999999</v>
      </c>
      <c r="M2847" s="12">
        <v>64.096999999999994</v>
      </c>
      <c r="N2847" s="12">
        <v>64.096999999999994</v>
      </c>
      <c r="O2847" s="12">
        <v>31.74</v>
      </c>
      <c r="P2847" s="12">
        <v>12</v>
      </c>
      <c r="Q2847" s="12">
        <v>12</v>
      </c>
      <c r="R2847" s="12">
        <v>12</v>
      </c>
    </row>
    <row r="2848" spans="1:18" ht="17" customHeight="1" x14ac:dyDescent="0.15">
      <c r="A2848" s="8" t="s">
        <v>15252</v>
      </c>
      <c r="B2848" s="9" t="s">
        <v>15253</v>
      </c>
      <c r="C2848" s="8" t="s">
        <v>15254</v>
      </c>
      <c r="D2848" s="8" t="s">
        <v>15255</v>
      </c>
      <c r="E2848" s="8" t="s">
        <v>15256</v>
      </c>
      <c r="F2848" s="8" t="s">
        <v>15101</v>
      </c>
      <c r="G2848" s="8" t="s">
        <v>15257</v>
      </c>
      <c r="H2848" s="8" t="s">
        <v>15138</v>
      </c>
      <c r="I2848" s="8" t="str">
        <f>HYPERLINK("http://www.prontomodamachattie.it/","www.prontomodamachattie.it")</f>
        <v>www.prontomodamachattie.it</v>
      </c>
      <c r="J2848" s="10">
        <v>1195.556</v>
      </c>
      <c r="K2848" s="10">
        <v>1195.556</v>
      </c>
      <c r="L2848" s="10">
        <v>1166.674</v>
      </c>
      <c r="M2848" s="10">
        <v>-2.2919999999999998</v>
      </c>
      <c r="N2848" s="10">
        <v>-2.2919999999999998</v>
      </c>
      <c r="O2848" s="10">
        <v>10.505000000000001</v>
      </c>
      <c r="P2848" s="10">
        <v>7</v>
      </c>
      <c r="Q2848" s="10">
        <v>7</v>
      </c>
      <c r="R2848" s="10">
        <v>6</v>
      </c>
    </row>
    <row r="2849" spans="1:18" ht="17" customHeight="1" x14ac:dyDescent="0.15">
      <c r="A2849" s="11" t="s">
        <v>15258</v>
      </c>
      <c r="B2849" s="1" t="s">
        <v>15259</v>
      </c>
      <c r="C2849" s="11" t="s">
        <v>15260</v>
      </c>
      <c r="D2849" s="11" t="s">
        <v>15260</v>
      </c>
      <c r="E2849" s="11" t="s">
        <v>15261</v>
      </c>
      <c r="F2849" s="11" t="s">
        <v>15262</v>
      </c>
      <c r="G2849" s="11" t="s">
        <v>15263</v>
      </c>
      <c r="H2849" s="11" t="s">
        <v>15264</v>
      </c>
      <c r="I2849" s="11" t="str">
        <f>HYPERLINK("http://www.ivishock.it/","www.ivishock.it")</f>
        <v>www.ivishock.it</v>
      </c>
      <c r="J2849" s="12">
        <v>1101.472</v>
      </c>
      <c r="K2849" s="12">
        <v>1101.472</v>
      </c>
      <c r="L2849" s="13">
        <v>1165.623</v>
      </c>
      <c r="M2849" s="12">
        <v>2.302</v>
      </c>
      <c r="N2849" s="12">
        <v>2.302</v>
      </c>
      <c r="O2849" s="12">
        <v>1.72</v>
      </c>
      <c r="P2849" s="12">
        <v>5</v>
      </c>
      <c r="Q2849" s="12">
        <v>5</v>
      </c>
      <c r="R2849" s="12">
        <v>4</v>
      </c>
    </row>
    <row r="2850" spans="1:18" ht="17" customHeight="1" x14ac:dyDescent="0.15">
      <c r="A2850" s="8" t="s">
        <v>15265</v>
      </c>
      <c r="B2850" s="9" t="s">
        <v>15266</v>
      </c>
      <c r="C2850" s="8" t="s">
        <v>15267</v>
      </c>
      <c r="D2850" s="8" t="s">
        <v>15267</v>
      </c>
      <c r="E2850" s="8" t="s">
        <v>15268</v>
      </c>
      <c r="F2850" s="8" t="s">
        <v>15269</v>
      </c>
      <c r="G2850" s="8" t="s">
        <v>15270</v>
      </c>
      <c r="H2850" s="8" t="s">
        <v>15271</v>
      </c>
      <c r="I2850" s="8" t="str">
        <f>HYPERLINK("http://www.barattolorappresentanze.it/","www.barattolorappresentanze.it")</f>
        <v>www.barattolorappresentanze.it</v>
      </c>
      <c r="J2850" s="10">
        <v>936.08699999999999</v>
      </c>
      <c r="K2850" s="10">
        <v>936.08699999999999</v>
      </c>
      <c r="L2850" s="10">
        <v>1164.0139999999999</v>
      </c>
      <c r="M2850" s="10">
        <v>-142.99100000000001</v>
      </c>
      <c r="N2850" s="10">
        <v>-142.99100000000001</v>
      </c>
      <c r="O2850" s="10">
        <v>44.533000000000001</v>
      </c>
      <c r="P2850" s="15" t="s">
        <v>15272</v>
      </c>
      <c r="Q2850" s="15" t="s">
        <v>15272</v>
      </c>
      <c r="R2850" s="10">
        <v>24</v>
      </c>
    </row>
    <row r="2851" spans="1:18" ht="17" customHeight="1" x14ac:dyDescent="0.15">
      <c r="A2851" s="11" t="s">
        <v>15273</v>
      </c>
      <c r="B2851" s="1" t="s">
        <v>15274</v>
      </c>
      <c r="C2851" s="11" t="s">
        <v>15275</v>
      </c>
      <c r="D2851" s="11" t="s">
        <v>15275</v>
      </c>
      <c r="E2851" s="11" t="s">
        <v>15276</v>
      </c>
      <c r="F2851" s="11" t="s">
        <v>15277</v>
      </c>
      <c r="G2851" s="11" t="s">
        <v>15278</v>
      </c>
      <c r="H2851" s="11" t="s">
        <v>15264</v>
      </c>
      <c r="I2851" s="11" t="str">
        <f>HYPERLINK("http://www.alma-knit.it/","www.alma-knit.it")</f>
        <v>www.alma-knit.it</v>
      </c>
      <c r="J2851" s="12">
        <v>1424.568</v>
      </c>
      <c r="K2851" s="12">
        <v>1424.568</v>
      </c>
      <c r="L2851" s="13">
        <v>1163.9490000000001</v>
      </c>
      <c r="M2851" s="12">
        <v>40.575000000000003</v>
      </c>
      <c r="N2851" s="12">
        <v>40.575000000000003</v>
      </c>
      <c r="O2851" s="12">
        <v>50.100999999999999</v>
      </c>
      <c r="P2851" s="12">
        <v>16</v>
      </c>
      <c r="Q2851" s="12">
        <v>16</v>
      </c>
      <c r="R2851" s="12">
        <v>16</v>
      </c>
    </row>
    <row r="2852" spans="1:18" ht="17" customHeight="1" x14ac:dyDescent="0.15">
      <c r="A2852" s="8" t="s">
        <v>15279</v>
      </c>
      <c r="B2852" s="9" t="s">
        <v>15280</v>
      </c>
      <c r="C2852" s="8" t="s">
        <v>15281</v>
      </c>
      <c r="D2852" s="8" t="s">
        <v>15281</v>
      </c>
      <c r="E2852" s="8" t="s">
        <v>15282</v>
      </c>
      <c r="F2852" s="8" t="s">
        <v>15283</v>
      </c>
      <c r="G2852" s="8" t="s">
        <v>15284</v>
      </c>
      <c r="H2852" s="8" t="s">
        <v>15285</v>
      </c>
      <c r="I2852" s="8" t="str">
        <f>HYPERLINK("http://www.calzesportivedany.it/","www.calzesportivedany.it")</f>
        <v>www.calzesportivedany.it</v>
      </c>
      <c r="J2852" s="10">
        <v>1045.1369999999999</v>
      </c>
      <c r="K2852" s="10">
        <v>1045.1369999999999</v>
      </c>
      <c r="L2852" s="10">
        <v>1163.876</v>
      </c>
      <c r="M2852" s="10">
        <v>29.844999999999999</v>
      </c>
      <c r="N2852" s="10">
        <v>29.844999999999999</v>
      </c>
      <c r="O2852" s="10">
        <v>59.75</v>
      </c>
      <c r="P2852" s="10">
        <v>11</v>
      </c>
      <c r="Q2852" s="10">
        <v>11</v>
      </c>
      <c r="R2852" s="10">
        <v>10</v>
      </c>
    </row>
    <row r="2853" spans="1:18" ht="17" customHeight="1" x14ac:dyDescent="0.15">
      <c r="A2853" s="11" t="s">
        <v>15286</v>
      </c>
      <c r="B2853" s="1" t="s">
        <v>15287</v>
      </c>
      <c r="C2853" s="11" t="s">
        <v>15288</v>
      </c>
      <c r="D2853" s="11" t="s">
        <v>15288</v>
      </c>
      <c r="E2853" s="11" t="s">
        <v>15289</v>
      </c>
      <c r="F2853" s="11" t="s">
        <v>15290</v>
      </c>
      <c r="G2853" s="11" t="s">
        <v>15284</v>
      </c>
      <c r="H2853" s="11" t="s">
        <v>15285</v>
      </c>
      <c r="I2853" s="11" t="str">
        <f>HYPERLINK("http://floresinex.com/","floresinex.com")</f>
        <v>floresinex.com</v>
      </c>
      <c r="J2853" s="12">
        <v>1304.2439999999999</v>
      </c>
      <c r="K2853" s="12">
        <v>1304.2439999999999</v>
      </c>
      <c r="L2853" s="13">
        <v>1162.3230000000001</v>
      </c>
      <c r="M2853" s="12">
        <v>249.47499999999999</v>
      </c>
      <c r="N2853" s="12">
        <v>249.47499999999999</v>
      </c>
      <c r="O2853" s="12">
        <v>103.494</v>
      </c>
      <c r="P2853" s="14" t="s">
        <v>15272</v>
      </c>
      <c r="Q2853" s="14" t="s">
        <v>15272</v>
      </c>
      <c r="R2853" s="12">
        <v>8</v>
      </c>
    </row>
    <row r="2854" spans="1:18" ht="17" customHeight="1" x14ac:dyDescent="0.15">
      <c r="A2854" s="8" t="s">
        <v>15291</v>
      </c>
      <c r="B2854" s="9" t="s">
        <v>15292</v>
      </c>
      <c r="C2854" s="8" t="s">
        <v>15293</v>
      </c>
      <c r="D2854" s="8" t="s">
        <v>15293</v>
      </c>
      <c r="E2854" s="8" t="s">
        <v>15294</v>
      </c>
      <c r="F2854" s="8" t="s">
        <v>15262</v>
      </c>
      <c r="G2854" s="8" t="s">
        <v>15295</v>
      </c>
      <c r="H2854" s="8" t="s">
        <v>15285</v>
      </c>
      <c r="I2854" s="8" t="str">
        <f>HYPERLINK("http://www.mabiline.com/","www.mabiline.com")</f>
        <v>www.mabiline.com</v>
      </c>
      <c r="J2854" s="10">
        <v>1164.346</v>
      </c>
      <c r="K2854" s="10">
        <v>1164.346</v>
      </c>
      <c r="L2854" s="10">
        <v>1160.596</v>
      </c>
      <c r="M2854" s="10">
        <v>2.6059999999999999</v>
      </c>
      <c r="N2854" s="10">
        <v>2.6059999999999999</v>
      </c>
      <c r="O2854" s="10">
        <v>1.087</v>
      </c>
      <c r="P2854" s="15" t="s">
        <v>15272</v>
      </c>
      <c r="Q2854" s="15" t="s">
        <v>15272</v>
      </c>
      <c r="R2854" s="10">
        <v>10</v>
      </c>
    </row>
    <row r="2855" spans="1:18" ht="17" customHeight="1" x14ac:dyDescent="0.15">
      <c r="A2855" s="11" t="s">
        <v>15296</v>
      </c>
      <c r="B2855" s="1" t="s">
        <v>15297</v>
      </c>
      <c r="C2855" s="11" t="s">
        <v>15298</v>
      </c>
      <c r="D2855" s="11" t="s">
        <v>15298</v>
      </c>
      <c r="E2855" s="11" t="s">
        <v>15299</v>
      </c>
      <c r="F2855" s="11" t="s">
        <v>15300</v>
      </c>
      <c r="G2855" s="11" t="s">
        <v>15270</v>
      </c>
      <c r="H2855" s="11" t="s">
        <v>15271</v>
      </c>
      <c r="I2855" s="11" t="str">
        <f>HYPERLINK("http://www.sler.it/","www.sler.it")</f>
        <v>www.sler.it</v>
      </c>
      <c r="J2855" s="12">
        <v>1200.328</v>
      </c>
      <c r="K2855" s="12">
        <v>1200.328</v>
      </c>
      <c r="L2855" s="13">
        <v>1159.973</v>
      </c>
      <c r="M2855" s="12">
        <v>23.672999999999998</v>
      </c>
      <c r="N2855" s="12">
        <v>23.672999999999998</v>
      </c>
      <c r="O2855" s="12">
        <v>93.186000000000007</v>
      </c>
      <c r="P2855" s="12">
        <v>19</v>
      </c>
      <c r="Q2855" s="12">
        <v>19</v>
      </c>
      <c r="R2855" s="12">
        <v>17</v>
      </c>
    </row>
    <row r="2856" spans="1:18" ht="17" customHeight="1" x14ac:dyDescent="0.15">
      <c r="A2856" s="8" t="s">
        <v>15301</v>
      </c>
      <c r="B2856" s="9" t="s">
        <v>15302</v>
      </c>
      <c r="C2856" s="8" t="s">
        <v>15303</v>
      </c>
      <c r="D2856" s="8" t="s">
        <v>15303</v>
      </c>
      <c r="E2856" s="8" t="s">
        <v>15304</v>
      </c>
      <c r="F2856" s="8" t="s">
        <v>15300</v>
      </c>
      <c r="G2856" s="8" t="s">
        <v>15305</v>
      </c>
      <c r="H2856" s="8" t="s">
        <v>15306</v>
      </c>
      <c r="I2856" s="8" t="str">
        <f>HYPERLINK("http://www.martylo.it/","www.martylo.it/")</f>
        <v>www.martylo.it/</v>
      </c>
      <c r="J2856" s="10">
        <v>1020.981</v>
      </c>
      <c r="K2856" s="10">
        <v>1020.981</v>
      </c>
      <c r="L2856" s="10">
        <v>1159.6110000000001</v>
      </c>
      <c r="M2856" s="10">
        <v>8.3889999999999993</v>
      </c>
      <c r="N2856" s="10">
        <v>8.3889999999999993</v>
      </c>
      <c r="O2856" s="10">
        <v>16.896000000000001</v>
      </c>
      <c r="P2856" s="10">
        <v>4</v>
      </c>
      <c r="Q2856" s="10">
        <v>4</v>
      </c>
      <c r="R2856" s="10">
        <v>4</v>
      </c>
    </row>
    <row r="2857" spans="1:18" ht="17" customHeight="1" x14ac:dyDescent="0.15">
      <c r="A2857" s="11" t="s">
        <v>15307</v>
      </c>
      <c r="B2857" s="1" t="s">
        <v>15308</v>
      </c>
      <c r="C2857" s="11" t="s">
        <v>15309</v>
      </c>
      <c r="D2857" s="11" t="s">
        <v>15309</v>
      </c>
      <c r="E2857" s="11" t="s">
        <v>15310</v>
      </c>
      <c r="F2857" s="11" t="s">
        <v>15311</v>
      </c>
      <c r="G2857" s="11" t="s">
        <v>15312</v>
      </c>
      <c r="H2857" s="11" t="s">
        <v>15306</v>
      </c>
      <c r="I2857" s="11" t="str">
        <f>HYPERLINK("http://cristinamillotti.it/","cristinamillotti.it")</f>
        <v>cristinamillotti.it</v>
      </c>
      <c r="J2857" s="12">
        <v>1346.9159999999999</v>
      </c>
      <c r="K2857" s="12">
        <v>1346.9159999999999</v>
      </c>
      <c r="L2857" s="13">
        <v>1157.5899999999999</v>
      </c>
      <c r="M2857" s="12">
        <v>123.68</v>
      </c>
      <c r="N2857" s="12">
        <v>123.68</v>
      </c>
      <c r="O2857" s="12">
        <v>147.542</v>
      </c>
      <c r="P2857" s="12">
        <v>8</v>
      </c>
      <c r="Q2857" s="12">
        <v>8</v>
      </c>
      <c r="R2857" s="12">
        <v>7</v>
      </c>
    </row>
    <row r="2858" spans="1:18" ht="29.5" customHeight="1" x14ac:dyDescent="0.15">
      <c r="A2858" s="8" t="s">
        <v>15313</v>
      </c>
      <c r="B2858" s="9" t="s">
        <v>15314</v>
      </c>
      <c r="C2858" s="8" t="s">
        <v>15315</v>
      </c>
      <c r="D2858" s="8" t="s">
        <v>15315</v>
      </c>
      <c r="E2858" s="8" t="s">
        <v>15316</v>
      </c>
      <c r="F2858" s="8" t="s">
        <v>15311</v>
      </c>
      <c r="G2858" s="8" t="s">
        <v>15278</v>
      </c>
      <c r="H2858" s="8" t="s">
        <v>15264</v>
      </c>
      <c r="I2858" s="8" t="str">
        <f>HYPERLINK("http://www.lamontelliana.it/","www.lamontelliana.it")</f>
        <v>www.lamontelliana.it</v>
      </c>
      <c r="J2858" s="10">
        <v>537.22900000000004</v>
      </c>
      <c r="K2858" s="10">
        <v>537.22900000000004</v>
      </c>
      <c r="L2858" s="10">
        <v>1157.155</v>
      </c>
      <c r="M2858" s="10">
        <v>-203.34</v>
      </c>
      <c r="N2858" s="10">
        <v>-203.34</v>
      </c>
      <c r="O2858" s="10">
        <v>7.9329999999999998</v>
      </c>
      <c r="P2858" s="10">
        <v>5</v>
      </c>
      <c r="Q2858" s="10">
        <v>5</v>
      </c>
      <c r="R2858" s="10">
        <v>5</v>
      </c>
    </row>
    <row r="2859" spans="1:18" ht="17" customHeight="1" x14ac:dyDescent="0.15">
      <c r="A2859" s="11" t="s">
        <v>15317</v>
      </c>
      <c r="B2859" s="1" t="s">
        <v>15318</v>
      </c>
      <c r="C2859" s="11" t="s">
        <v>15319</v>
      </c>
      <c r="D2859" s="11" t="s">
        <v>15319</v>
      </c>
      <c r="E2859" s="11" t="s">
        <v>15320</v>
      </c>
      <c r="F2859" s="11" t="s">
        <v>15269</v>
      </c>
      <c r="G2859" s="11" t="s">
        <v>15321</v>
      </c>
      <c r="H2859" s="11" t="s">
        <v>15264</v>
      </c>
      <c r="I2859" s="11" t="str">
        <f>HYPERLINK("http://duegipelletterie.it/","duegipelletterie.it")</f>
        <v>duegipelletterie.it</v>
      </c>
      <c r="J2859" s="12">
        <v>1087.1980000000001</v>
      </c>
      <c r="K2859" s="12">
        <v>1087.1980000000001</v>
      </c>
      <c r="L2859" s="13">
        <v>1156.7</v>
      </c>
      <c r="M2859" s="12">
        <v>5.508</v>
      </c>
      <c r="N2859" s="12">
        <v>5.508</v>
      </c>
      <c r="O2859" s="12">
        <v>6.7350000000000003</v>
      </c>
      <c r="P2859" s="12">
        <v>16</v>
      </c>
      <c r="Q2859" s="12">
        <v>16</v>
      </c>
      <c r="R2859" s="12">
        <v>17</v>
      </c>
    </row>
    <row r="2860" spans="1:18" ht="17" customHeight="1" x14ac:dyDescent="0.15">
      <c r="A2860" s="8" t="s">
        <v>15322</v>
      </c>
      <c r="B2860" s="9" t="s">
        <v>15323</v>
      </c>
      <c r="C2860" s="8" t="s">
        <v>15324</v>
      </c>
      <c r="D2860" s="8" t="s">
        <v>15324</v>
      </c>
      <c r="E2860" s="8" t="s">
        <v>15325</v>
      </c>
      <c r="F2860" s="8" t="s">
        <v>15311</v>
      </c>
      <c r="G2860" s="8" t="s">
        <v>15326</v>
      </c>
      <c r="H2860" s="8" t="s">
        <v>15327</v>
      </c>
      <c r="I2860" s="8" t="str">
        <f>HYPERLINK("http://www.myaclara.it/","www.myaclara.it")</f>
        <v>www.myaclara.it</v>
      </c>
      <c r="J2860" s="10">
        <v>1109.7570000000001</v>
      </c>
      <c r="K2860" s="10">
        <v>1109.7570000000001</v>
      </c>
      <c r="L2860" s="10">
        <v>1155.338</v>
      </c>
      <c r="M2860" s="10">
        <v>-3.9529999999999998</v>
      </c>
      <c r="N2860" s="10">
        <v>-3.9529999999999998</v>
      </c>
      <c r="O2860" s="10">
        <v>9.7119999999999997</v>
      </c>
      <c r="P2860" s="10">
        <v>7</v>
      </c>
      <c r="Q2860" s="10">
        <v>7</v>
      </c>
      <c r="R2860" s="10">
        <v>6</v>
      </c>
    </row>
    <row r="2861" spans="1:18" ht="17" customHeight="1" x14ac:dyDescent="0.15">
      <c r="A2861" s="11" t="s">
        <v>15328</v>
      </c>
      <c r="B2861" s="1" t="s">
        <v>15329</v>
      </c>
      <c r="C2861" s="11" t="s">
        <v>15330</v>
      </c>
      <c r="D2861" s="11" t="s">
        <v>15330</v>
      </c>
      <c r="E2861" s="11" t="s">
        <v>15331</v>
      </c>
      <c r="F2861" s="11" t="s">
        <v>15332</v>
      </c>
      <c r="G2861" s="11" t="s">
        <v>15333</v>
      </c>
      <c r="H2861" s="11" t="s">
        <v>15285</v>
      </c>
      <c r="I2861" s="11" t="str">
        <f>HYPERLINK("http://www.valentinabags.it/","www.valentinabags.it")</f>
        <v>www.valentinabags.it</v>
      </c>
      <c r="J2861" s="12">
        <v>1154.463</v>
      </c>
      <c r="K2861" s="14" t="s">
        <v>15272</v>
      </c>
      <c r="L2861" s="13">
        <v>1154.463</v>
      </c>
      <c r="M2861" s="12">
        <v>21.960999999999999</v>
      </c>
      <c r="N2861" s="14" t="s">
        <v>15272</v>
      </c>
      <c r="O2861" s="12">
        <v>21.960999999999999</v>
      </c>
      <c r="P2861" s="12">
        <v>9</v>
      </c>
      <c r="Q2861" s="14" t="s">
        <v>15272</v>
      </c>
      <c r="R2861" s="12">
        <v>9</v>
      </c>
    </row>
    <row r="2862" spans="1:18" ht="17" customHeight="1" x14ac:dyDescent="0.15">
      <c r="A2862" s="8" t="s">
        <v>15334</v>
      </c>
      <c r="B2862" s="9" t="s">
        <v>15335</v>
      </c>
      <c r="C2862" s="8" t="s">
        <v>15336</v>
      </c>
      <c r="D2862" s="8" t="s">
        <v>15336</v>
      </c>
      <c r="E2862" s="8" t="s">
        <v>15337</v>
      </c>
      <c r="F2862" s="8" t="s">
        <v>15338</v>
      </c>
      <c r="G2862" s="8" t="s">
        <v>15339</v>
      </c>
      <c r="H2862" s="8" t="s">
        <v>15340</v>
      </c>
      <c r="I2862" s="8" t="str">
        <f>HYPERLINK("http://www.elko.it/","www.elko.it")</f>
        <v>www.elko.it</v>
      </c>
      <c r="J2862" s="10">
        <v>1226.0909999999999</v>
      </c>
      <c r="K2862" s="10">
        <v>1226.0909999999999</v>
      </c>
      <c r="L2862" s="10">
        <v>1152.4449999999999</v>
      </c>
      <c r="M2862" s="10">
        <v>16.306999999999999</v>
      </c>
      <c r="N2862" s="10">
        <v>16.306999999999999</v>
      </c>
      <c r="O2862" s="10">
        <v>15.611000000000001</v>
      </c>
      <c r="P2862" s="15" t="s">
        <v>15272</v>
      </c>
      <c r="Q2862" s="15" t="s">
        <v>15272</v>
      </c>
      <c r="R2862" s="10">
        <v>4</v>
      </c>
    </row>
    <row r="2863" spans="1:18" ht="17" customHeight="1" x14ac:dyDescent="0.15">
      <c r="A2863" s="11" t="s">
        <v>15341</v>
      </c>
      <c r="B2863" s="1" t="s">
        <v>15342</v>
      </c>
      <c r="C2863" s="11" t="s">
        <v>15343</v>
      </c>
      <c r="D2863" s="11" t="s">
        <v>15343</v>
      </c>
      <c r="E2863" s="11" t="s">
        <v>15344</v>
      </c>
      <c r="F2863" s="11" t="s">
        <v>15290</v>
      </c>
      <c r="G2863" s="11" t="s">
        <v>15345</v>
      </c>
      <c r="H2863" s="11" t="s">
        <v>15264</v>
      </c>
      <c r="I2863" s="11" t="str">
        <f>HYPERLINK("http://www.sposadeste.it/","www.sposadeste.it")</f>
        <v>www.sposadeste.it</v>
      </c>
      <c r="J2863" s="12">
        <v>1479.0119999999999</v>
      </c>
      <c r="K2863" s="12">
        <v>1479.0119999999999</v>
      </c>
      <c r="L2863" s="13">
        <v>1150.962</v>
      </c>
      <c r="M2863" s="12">
        <v>91.289000000000001</v>
      </c>
      <c r="N2863" s="12">
        <v>91.289000000000001</v>
      </c>
      <c r="O2863" s="12">
        <v>110.291</v>
      </c>
      <c r="P2863" s="14" t="s">
        <v>15272</v>
      </c>
      <c r="Q2863" s="14" t="s">
        <v>15272</v>
      </c>
      <c r="R2863" s="12">
        <v>10</v>
      </c>
    </row>
    <row r="2864" spans="1:18" ht="29.5" customHeight="1" x14ac:dyDescent="0.15">
      <c r="A2864" s="8" t="s">
        <v>15346</v>
      </c>
      <c r="B2864" s="9" t="s">
        <v>15347</v>
      </c>
      <c r="C2864" s="8" t="s">
        <v>15348</v>
      </c>
      <c r="D2864" s="8" t="s">
        <v>15348</v>
      </c>
      <c r="E2864" s="8" t="s">
        <v>15349</v>
      </c>
      <c r="F2864" s="8" t="s">
        <v>15350</v>
      </c>
      <c r="G2864" s="8" t="s">
        <v>15321</v>
      </c>
      <c r="H2864" s="8" t="s">
        <v>15264</v>
      </c>
      <c r="I2864" s="8" t="str">
        <f>HYPERLINK("http://tregipell.it/","tregipell.it")</f>
        <v>tregipell.it</v>
      </c>
      <c r="J2864" s="10">
        <v>606.54999999999995</v>
      </c>
      <c r="K2864" s="10">
        <v>606.54999999999995</v>
      </c>
      <c r="L2864" s="10">
        <v>1150.971</v>
      </c>
      <c r="M2864" s="10">
        <v>-59.709000000000003</v>
      </c>
      <c r="N2864" s="10">
        <v>-59.709000000000003</v>
      </c>
      <c r="O2864" s="10">
        <v>5.3419999999999996</v>
      </c>
      <c r="P2864" s="10">
        <v>3</v>
      </c>
      <c r="Q2864" s="10">
        <v>3</v>
      </c>
      <c r="R2864" s="10">
        <v>4</v>
      </c>
    </row>
    <row r="2865" spans="1:18" ht="17" customHeight="1" x14ac:dyDescent="0.15">
      <c r="A2865" s="11" t="s">
        <v>15351</v>
      </c>
      <c r="B2865" s="1" t="s">
        <v>15352</v>
      </c>
      <c r="C2865" s="11" t="s">
        <v>15353</v>
      </c>
      <c r="D2865" s="11" t="s">
        <v>15353</v>
      </c>
      <c r="E2865" s="11" t="s">
        <v>15354</v>
      </c>
      <c r="F2865" s="11" t="s">
        <v>15269</v>
      </c>
      <c r="G2865" s="11" t="s">
        <v>15355</v>
      </c>
      <c r="H2865" s="11" t="s">
        <v>15271</v>
      </c>
      <c r="I2865" s="11" t="str">
        <f>HYPERLINK("http://www.mc2madeinitaly.it/","www.mc2madeinitaly.it")</f>
        <v>www.mc2madeinitaly.it</v>
      </c>
      <c r="J2865" s="12">
        <v>2803.8690000000001</v>
      </c>
      <c r="K2865" s="12">
        <v>2803.8690000000001</v>
      </c>
      <c r="L2865" s="13">
        <v>1150.6790000000001</v>
      </c>
      <c r="M2865" s="12">
        <v>177.9</v>
      </c>
      <c r="N2865" s="12">
        <v>177.9</v>
      </c>
      <c r="O2865" s="12">
        <v>111.27500000000001</v>
      </c>
      <c r="P2865" s="12">
        <v>1</v>
      </c>
      <c r="Q2865" s="12">
        <v>1</v>
      </c>
      <c r="R2865" s="12">
        <v>0</v>
      </c>
    </row>
    <row r="2866" spans="1:18" ht="17" customHeight="1" x14ac:dyDescent="0.15">
      <c r="A2866" s="8" t="s">
        <v>15356</v>
      </c>
      <c r="B2866" s="9" t="s">
        <v>15357</v>
      </c>
      <c r="C2866" s="8" t="s">
        <v>15358</v>
      </c>
      <c r="D2866" s="8" t="s">
        <v>15358</v>
      </c>
      <c r="E2866" s="8" t="s">
        <v>15359</v>
      </c>
      <c r="F2866" s="8" t="s">
        <v>15360</v>
      </c>
      <c r="G2866" s="8" t="s">
        <v>15326</v>
      </c>
      <c r="H2866" s="8" t="s">
        <v>15327</v>
      </c>
      <c r="I2866" s="8" t="str">
        <f>HYPERLINK("http://www.suolificiotreesse.it/","www.suolificiotreesse.it")</f>
        <v>www.suolificiotreesse.it</v>
      </c>
      <c r="J2866" s="10">
        <v>1157.5730000000001</v>
      </c>
      <c r="K2866" s="10">
        <v>1157.5730000000001</v>
      </c>
      <c r="L2866" s="10">
        <v>1149.999</v>
      </c>
      <c r="M2866" s="10">
        <v>5.3369999999999997</v>
      </c>
      <c r="N2866" s="10">
        <v>5.3369999999999997</v>
      </c>
      <c r="O2866" s="10">
        <v>4.2430000000000003</v>
      </c>
      <c r="P2866" s="10">
        <v>12</v>
      </c>
      <c r="Q2866" s="10">
        <v>12</v>
      </c>
      <c r="R2866" s="10">
        <v>12</v>
      </c>
    </row>
    <row r="2867" spans="1:18" ht="17" customHeight="1" x14ac:dyDescent="0.15">
      <c r="A2867" s="11" t="s">
        <v>15361</v>
      </c>
      <c r="B2867" s="1" t="s">
        <v>15362</v>
      </c>
      <c r="C2867" s="11" t="s">
        <v>15363</v>
      </c>
      <c r="D2867" s="11" t="s">
        <v>15363</v>
      </c>
      <c r="E2867" s="11" t="s">
        <v>15364</v>
      </c>
      <c r="F2867" s="11" t="s">
        <v>15300</v>
      </c>
      <c r="G2867" s="11" t="s">
        <v>15321</v>
      </c>
      <c r="H2867" s="11" t="s">
        <v>15264</v>
      </c>
      <c r="I2867" s="11" t="str">
        <f>HYPERLINK("http://b-wear.it/","b-wear.it")</f>
        <v>b-wear.it</v>
      </c>
      <c r="J2867" s="12">
        <v>1037.6980000000001</v>
      </c>
      <c r="K2867" s="12">
        <v>1037.6980000000001</v>
      </c>
      <c r="L2867" s="13">
        <v>1150.037</v>
      </c>
      <c r="M2867" s="12">
        <v>60.405999999999999</v>
      </c>
      <c r="N2867" s="12">
        <v>60.405999999999999</v>
      </c>
      <c r="O2867" s="12">
        <v>147.976</v>
      </c>
      <c r="P2867" s="12">
        <v>11</v>
      </c>
      <c r="Q2867" s="12">
        <v>11</v>
      </c>
      <c r="R2867" s="12">
        <v>11</v>
      </c>
    </row>
    <row r="2868" spans="1:18" ht="17" customHeight="1" x14ac:dyDescent="0.15">
      <c r="A2868" s="8" t="s">
        <v>15365</v>
      </c>
      <c r="B2868" s="9" t="s">
        <v>15366</v>
      </c>
      <c r="C2868" s="8" t="s">
        <v>15367</v>
      </c>
      <c r="D2868" s="8" t="s">
        <v>15367</v>
      </c>
      <c r="E2868" s="8" t="s">
        <v>15368</v>
      </c>
      <c r="F2868" s="8" t="s">
        <v>15269</v>
      </c>
      <c r="G2868" s="8" t="s">
        <v>15326</v>
      </c>
      <c r="H2868" s="8" t="s">
        <v>15327</v>
      </c>
      <c r="I2868" s="8" t="str">
        <f>HYPERLINK("http://saraburglar.com/","saraburglar.com")</f>
        <v>saraburglar.com</v>
      </c>
      <c r="J2868" s="10">
        <v>1294.7270000000001</v>
      </c>
      <c r="K2868" s="10">
        <v>1294.7270000000001</v>
      </c>
      <c r="L2868" s="10">
        <v>1147.489</v>
      </c>
      <c r="M2868" s="10">
        <v>28.512</v>
      </c>
      <c r="N2868" s="10">
        <v>28.512</v>
      </c>
      <c r="O2868" s="10">
        <v>27.88</v>
      </c>
      <c r="P2868" s="10">
        <v>5</v>
      </c>
      <c r="Q2868" s="10">
        <v>5</v>
      </c>
      <c r="R2868" s="10">
        <v>5</v>
      </c>
    </row>
    <row r="2869" spans="1:18" ht="17" customHeight="1" x14ac:dyDescent="0.15">
      <c r="A2869" s="11" t="s">
        <v>15369</v>
      </c>
      <c r="B2869" s="1" t="s">
        <v>15370</v>
      </c>
      <c r="C2869" s="11" t="s">
        <v>15371</v>
      </c>
      <c r="D2869" s="11" t="s">
        <v>15371</v>
      </c>
      <c r="E2869" s="11" t="s">
        <v>15372</v>
      </c>
      <c r="F2869" s="11" t="s">
        <v>15350</v>
      </c>
      <c r="G2869" s="11" t="s">
        <v>15333</v>
      </c>
      <c r="H2869" s="11" t="s">
        <v>15285</v>
      </c>
      <c r="I2869" s="11" t="str">
        <f>HYPERLINK("http://www.conceriaturbighese.it/","http://www.conceriaturbighese.it")</f>
        <v>http://www.conceriaturbighese.it</v>
      </c>
      <c r="J2869" s="12">
        <v>1210.3499999999999</v>
      </c>
      <c r="K2869" s="12">
        <v>1210.3499999999999</v>
      </c>
      <c r="L2869" s="13">
        <v>1146.231</v>
      </c>
      <c r="M2869" s="12">
        <v>-354.31299999999999</v>
      </c>
      <c r="N2869" s="12">
        <v>-354.31299999999999</v>
      </c>
      <c r="O2869" s="12">
        <v>-314.96100000000001</v>
      </c>
      <c r="P2869" s="12">
        <v>9</v>
      </c>
      <c r="Q2869" s="12">
        <v>9</v>
      </c>
      <c r="R2869" s="12">
        <v>9</v>
      </c>
    </row>
    <row r="2870" spans="1:18" ht="17" customHeight="1" x14ac:dyDescent="0.15">
      <c r="A2870" s="8" t="s">
        <v>15373</v>
      </c>
      <c r="B2870" s="9" t="s">
        <v>15374</v>
      </c>
      <c r="C2870" s="8" t="s">
        <v>15375</v>
      </c>
      <c r="D2870" s="8" t="s">
        <v>15375</v>
      </c>
      <c r="E2870" s="8" t="s">
        <v>15376</v>
      </c>
      <c r="F2870" s="8" t="s">
        <v>15311</v>
      </c>
      <c r="G2870" s="8" t="s">
        <v>15377</v>
      </c>
      <c r="H2870" s="8" t="s">
        <v>15327</v>
      </c>
      <c r="I2870" s="8" t="str">
        <f>HYPERLINK("http://www.lorenapaggi.it/","www.lorenapaggi.it")</f>
        <v>www.lorenapaggi.it</v>
      </c>
      <c r="J2870" s="10">
        <v>1227.2070000000001</v>
      </c>
      <c r="K2870" s="10">
        <v>1227.2070000000001</v>
      </c>
      <c r="L2870" s="10">
        <v>1145.124</v>
      </c>
      <c r="M2870" s="10">
        <v>13.848000000000001</v>
      </c>
      <c r="N2870" s="10">
        <v>13.848000000000001</v>
      </c>
      <c r="O2870" s="10">
        <v>12.958</v>
      </c>
      <c r="P2870" s="15" t="s">
        <v>15272</v>
      </c>
      <c r="Q2870" s="15" t="s">
        <v>15272</v>
      </c>
      <c r="R2870" s="10">
        <v>3</v>
      </c>
    </row>
    <row r="2871" spans="1:18" ht="17" customHeight="1" x14ac:dyDescent="0.15">
      <c r="A2871" s="11" t="s">
        <v>15378</v>
      </c>
      <c r="B2871" s="1" t="s">
        <v>15379</v>
      </c>
      <c r="C2871" s="11" t="s">
        <v>15380</v>
      </c>
      <c r="D2871" s="11" t="s">
        <v>15380</v>
      </c>
      <c r="E2871" s="11" t="s">
        <v>15381</v>
      </c>
      <c r="F2871" s="11" t="s">
        <v>15262</v>
      </c>
      <c r="G2871" s="11" t="s">
        <v>15382</v>
      </c>
      <c r="H2871" s="11" t="s">
        <v>15383</v>
      </c>
      <c r="I2871" s="11" t="str">
        <f>HYPERLINK("http://www.nineminutes.it/","www.nineminutes.it")</f>
        <v>www.nineminutes.it</v>
      </c>
      <c r="J2871" s="12">
        <v>935.58399999999995</v>
      </c>
      <c r="K2871" s="12">
        <v>935.58399999999995</v>
      </c>
      <c r="L2871" s="13">
        <v>1144.585</v>
      </c>
      <c r="M2871" s="12">
        <v>5.79</v>
      </c>
      <c r="N2871" s="12">
        <v>5.79</v>
      </c>
      <c r="O2871" s="12">
        <v>2.6640000000000001</v>
      </c>
      <c r="P2871" s="12">
        <v>7</v>
      </c>
      <c r="Q2871" s="12">
        <v>7</v>
      </c>
      <c r="R2871" s="12">
        <v>7</v>
      </c>
    </row>
    <row r="2872" spans="1:18" ht="17" customHeight="1" x14ac:dyDescent="0.15">
      <c r="A2872" s="8" t="s">
        <v>15384</v>
      </c>
      <c r="B2872" s="9" t="s">
        <v>15385</v>
      </c>
      <c r="C2872" s="8" t="s">
        <v>15386</v>
      </c>
      <c r="D2872" s="8" t="s">
        <v>15386</v>
      </c>
      <c r="E2872" s="8" t="s">
        <v>15387</v>
      </c>
      <c r="F2872" s="8" t="s">
        <v>15300</v>
      </c>
      <c r="G2872" s="8" t="s">
        <v>15333</v>
      </c>
      <c r="H2872" s="8" t="s">
        <v>15285</v>
      </c>
      <c r="I2872" s="8" t="str">
        <f>HYPERLINK("http://www.forrestlesssleepers.com/","www.forrestlesssleepers.com")</f>
        <v>www.forrestlesssleepers.com</v>
      </c>
      <c r="J2872" s="10">
        <v>1430.46</v>
      </c>
      <c r="K2872" s="10">
        <v>1430.46</v>
      </c>
      <c r="L2872" s="10">
        <v>1144.384</v>
      </c>
      <c r="M2872" s="10">
        <v>-161.61099999999999</v>
      </c>
      <c r="N2872" s="10">
        <v>-161.61099999999999</v>
      </c>
      <c r="O2872" s="10">
        <v>-235.57499999999999</v>
      </c>
      <c r="P2872" s="15" t="s">
        <v>15272</v>
      </c>
      <c r="Q2872" s="15" t="s">
        <v>15272</v>
      </c>
      <c r="R2872" s="10">
        <v>6</v>
      </c>
    </row>
    <row r="2873" spans="1:18" ht="17" customHeight="1" x14ac:dyDescent="0.15">
      <c r="A2873" s="11" t="s">
        <v>15388</v>
      </c>
      <c r="B2873" s="1" t="s">
        <v>15389</v>
      </c>
      <c r="C2873" s="11" t="s">
        <v>15390</v>
      </c>
      <c r="D2873" s="11" t="s">
        <v>15390</v>
      </c>
      <c r="E2873" s="11" t="s">
        <v>15391</v>
      </c>
      <c r="F2873" s="11" t="s">
        <v>15300</v>
      </c>
      <c r="G2873" s="11" t="s">
        <v>15321</v>
      </c>
      <c r="H2873" s="11" t="s">
        <v>15264</v>
      </c>
      <c r="I2873" s="11" t="str">
        <f>HYPERLINK("http://www.dallago1958.com/","www.dallago1958.com")</f>
        <v>www.dallago1958.com</v>
      </c>
      <c r="J2873" s="12">
        <v>1083.8910000000001</v>
      </c>
      <c r="K2873" s="12">
        <v>1083.8910000000001</v>
      </c>
      <c r="L2873" s="13">
        <v>1144.04</v>
      </c>
      <c r="M2873" s="12">
        <v>30.521999999999998</v>
      </c>
      <c r="N2873" s="12">
        <v>30.521999999999998</v>
      </c>
      <c r="O2873" s="12">
        <v>42.908999999999999</v>
      </c>
      <c r="P2873" s="12">
        <v>5</v>
      </c>
      <c r="Q2873" s="12">
        <v>5</v>
      </c>
      <c r="R2873" s="12">
        <v>5</v>
      </c>
    </row>
    <row r="2874" spans="1:18" ht="17" customHeight="1" x14ac:dyDescent="0.15">
      <c r="A2874" s="8" t="s">
        <v>15392</v>
      </c>
      <c r="B2874" s="9" t="s">
        <v>15393</v>
      </c>
      <c r="C2874" s="8" t="s">
        <v>15394</v>
      </c>
      <c r="D2874" s="8" t="s">
        <v>15394</v>
      </c>
      <c r="E2874" s="8" t="s">
        <v>15395</v>
      </c>
      <c r="F2874" s="8" t="s">
        <v>15396</v>
      </c>
      <c r="G2874" s="8" t="s">
        <v>15397</v>
      </c>
      <c r="H2874" s="8" t="s">
        <v>15398</v>
      </c>
      <c r="I2874" s="8" t="str">
        <f>HYPERLINK("http://www.stirovap.com/","www.stirovap.com")</f>
        <v>www.stirovap.com</v>
      </c>
      <c r="J2874" s="10">
        <v>945.25800000000004</v>
      </c>
      <c r="K2874" s="10">
        <v>945.25800000000004</v>
      </c>
      <c r="L2874" s="10">
        <v>1143.616</v>
      </c>
      <c r="M2874" s="10">
        <v>17.646000000000001</v>
      </c>
      <c r="N2874" s="10">
        <v>17.646000000000001</v>
      </c>
      <c r="O2874" s="10">
        <v>119.89700000000001</v>
      </c>
      <c r="P2874" s="10">
        <v>2</v>
      </c>
      <c r="Q2874" s="10">
        <v>2</v>
      </c>
      <c r="R2874" s="10">
        <v>2</v>
      </c>
    </row>
    <row r="2875" spans="1:18" ht="17" customHeight="1" x14ac:dyDescent="0.15">
      <c r="A2875" s="11" t="s">
        <v>15399</v>
      </c>
      <c r="B2875" s="1" t="s">
        <v>15400</v>
      </c>
      <c r="C2875" s="11" t="s">
        <v>15401</v>
      </c>
      <c r="D2875" s="11" t="s">
        <v>15401</v>
      </c>
      <c r="E2875" s="11" t="s">
        <v>15402</v>
      </c>
      <c r="F2875" s="11" t="s">
        <v>15360</v>
      </c>
      <c r="G2875" s="11" t="s">
        <v>15377</v>
      </c>
      <c r="H2875" s="11" t="s">
        <v>15327</v>
      </c>
      <c r="I2875" s="11" t="str">
        <f>HYPERLINK("http://www.teox.it/","www.teox.it")</f>
        <v>www.teox.it</v>
      </c>
      <c r="J2875" s="12">
        <v>1076.0160000000001</v>
      </c>
      <c r="K2875" s="12">
        <v>1076.0160000000001</v>
      </c>
      <c r="L2875" s="13">
        <v>1142.8889999999999</v>
      </c>
      <c r="M2875" s="12">
        <v>12.709</v>
      </c>
      <c r="N2875" s="12">
        <v>12.709</v>
      </c>
      <c r="O2875" s="12">
        <v>7.09</v>
      </c>
      <c r="P2875" s="12">
        <v>4</v>
      </c>
      <c r="Q2875" s="12">
        <v>4</v>
      </c>
      <c r="R2875" s="12">
        <v>4</v>
      </c>
    </row>
    <row r="2876" spans="1:18" ht="29.5" customHeight="1" x14ac:dyDescent="0.15">
      <c r="A2876" s="8" t="s">
        <v>15403</v>
      </c>
      <c r="B2876" s="9" t="s">
        <v>15404</v>
      </c>
      <c r="C2876" s="8" t="s">
        <v>15405</v>
      </c>
      <c r="D2876" s="8" t="s">
        <v>15405</v>
      </c>
      <c r="E2876" s="8" t="s">
        <v>15406</v>
      </c>
      <c r="F2876" s="8" t="s">
        <v>15407</v>
      </c>
      <c r="G2876" s="8" t="s">
        <v>15408</v>
      </c>
      <c r="H2876" s="8" t="s">
        <v>15306</v>
      </c>
      <c r="I2876" s="8" t="str">
        <f>HYPERLINK("http://www.florenceinternational.it/","www.florenceinternational.it")</f>
        <v>www.florenceinternational.it</v>
      </c>
      <c r="J2876" s="10">
        <v>1000.436</v>
      </c>
      <c r="K2876" s="10">
        <v>1000.436</v>
      </c>
      <c r="L2876" s="10">
        <v>1142.145</v>
      </c>
      <c r="M2876" s="10">
        <v>18.969000000000001</v>
      </c>
      <c r="N2876" s="10">
        <v>18.969000000000001</v>
      </c>
      <c r="O2876" s="10">
        <v>30.29</v>
      </c>
      <c r="P2876" s="10">
        <v>8</v>
      </c>
      <c r="Q2876" s="10">
        <v>8</v>
      </c>
      <c r="R2876" s="10">
        <v>7</v>
      </c>
    </row>
    <row r="2877" spans="1:18" ht="17" customHeight="1" x14ac:dyDescent="0.15">
      <c r="A2877" s="11" t="s">
        <v>15409</v>
      </c>
      <c r="B2877" s="1" t="s">
        <v>15410</v>
      </c>
      <c r="C2877" s="11" t="s">
        <v>15411</v>
      </c>
      <c r="D2877" s="11" t="s">
        <v>15411</v>
      </c>
      <c r="E2877" s="11" t="s">
        <v>15412</v>
      </c>
      <c r="F2877" s="11" t="s">
        <v>15262</v>
      </c>
      <c r="G2877" s="11" t="s">
        <v>15333</v>
      </c>
      <c r="H2877" s="11" t="s">
        <v>15285</v>
      </c>
      <c r="I2877" s="11" t="str">
        <f>HYPERLINK("http://www.tiennecommerciale.it/","http://www.tiennecommerciale.it")</f>
        <v>http://www.tiennecommerciale.it</v>
      </c>
      <c r="J2877" s="12">
        <v>1282.915</v>
      </c>
      <c r="K2877" s="12">
        <v>1282.915</v>
      </c>
      <c r="L2877" s="13">
        <v>1140.923</v>
      </c>
      <c r="M2877" s="12">
        <v>4.6109999999999998</v>
      </c>
      <c r="N2877" s="12">
        <v>4.6109999999999998</v>
      </c>
      <c r="O2877" s="12">
        <v>1.891</v>
      </c>
      <c r="P2877" s="12">
        <v>8</v>
      </c>
      <c r="Q2877" s="12">
        <v>8</v>
      </c>
      <c r="R2877" s="12">
        <v>9</v>
      </c>
    </row>
    <row r="2878" spans="1:18" ht="17" customHeight="1" x14ac:dyDescent="0.15">
      <c r="A2878" s="8" t="s">
        <v>15413</v>
      </c>
      <c r="B2878" s="9" t="s">
        <v>15414</v>
      </c>
      <c r="C2878" s="8" t="s">
        <v>15415</v>
      </c>
      <c r="D2878" s="8" t="s">
        <v>15415</v>
      </c>
      <c r="E2878" s="8" t="s">
        <v>15416</v>
      </c>
      <c r="F2878" s="8" t="s">
        <v>15262</v>
      </c>
      <c r="G2878" s="8" t="s">
        <v>15345</v>
      </c>
      <c r="H2878" s="8" t="s">
        <v>15264</v>
      </c>
      <c r="I2878" s="8" t="str">
        <f>HYPERLINK("http://www.npmitaly.com/","www.npmitaly.com")</f>
        <v>www.npmitaly.com</v>
      </c>
      <c r="J2878" s="10">
        <v>810.70500000000004</v>
      </c>
      <c r="K2878" s="10">
        <v>810.70500000000004</v>
      </c>
      <c r="L2878" s="10">
        <v>1140.2370000000001</v>
      </c>
      <c r="M2878" s="10">
        <v>-1.367</v>
      </c>
      <c r="N2878" s="10">
        <v>-1.367</v>
      </c>
      <c r="O2878" s="10">
        <v>52.095999999999997</v>
      </c>
      <c r="P2878" s="15" t="s">
        <v>15272</v>
      </c>
      <c r="Q2878" s="15" t="s">
        <v>15272</v>
      </c>
      <c r="R2878" s="10">
        <v>3</v>
      </c>
    </row>
    <row r="2879" spans="1:18" ht="17" customHeight="1" x14ac:dyDescent="0.15">
      <c r="A2879" s="11" t="s">
        <v>15417</v>
      </c>
      <c r="B2879" s="1" t="s">
        <v>15418</v>
      </c>
      <c r="C2879" s="11" t="s">
        <v>15419</v>
      </c>
      <c r="D2879" s="11" t="s">
        <v>15419</v>
      </c>
      <c r="E2879" s="11" t="s">
        <v>15420</v>
      </c>
      <c r="F2879" s="11" t="s">
        <v>15421</v>
      </c>
      <c r="G2879" s="11" t="s">
        <v>15422</v>
      </c>
      <c r="H2879" s="11" t="s">
        <v>15306</v>
      </c>
      <c r="I2879" s="11" t="str">
        <f>HYPERLINK("http://trancerialatoscana.it/","trancerialatoscana.it")</f>
        <v>trancerialatoscana.it</v>
      </c>
      <c r="J2879" s="12">
        <v>1009.125</v>
      </c>
      <c r="K2879" s="12">
        <v>1009.125</v>
      </c>
      <c r="L2879" s="13">
        <v>1138.3340000000001</v>
      </c>
      <c r="M2879" s="12">
        <v>622.61300000000006</v>
      </c>
      <c r="N2879" s="12">
        <v>622.61300000000006</v>
      </c>
      <c r="O2879" s="12">
        <v>29.712</v>
      </c>
      <c r="P2879" s="12">
        <v>11</v>
      </c>
      <c r="Q2879" s="12">
        <v>11</v>
      </c>
      <c r="R2879" s="12">
        <v>11</v>
      </c>
    </row>
    <row r="2880" spans="1:18" ht="17" customHeight="1" x14ac:dyDescent="0.15">
      <c r="A2880" s="8" t="s">
        <v>15423</v>
      </c>
      <c r="B2880" s="9" t="s">
        <v>15424</v>
      </c>
      <c r="C2880" s="8" t="s">
        <v>15425</v>
      </c>
      <c r="D2880" s="8" t="s">
        <v>15425</v>
      </c>
      <c r="E2880" s="8" t="s">
        <v>15426</v>
      </c>
      <c r="F2880" s="8" t="s">
        <v>15283</v>
      </c>
      <c r="G2880" s="8" t="s">
        <v>15427</v>
      </c>
      <c r="H2880" s="8" t="s">
        <v>15285</v>
      </c>
      <c r="I2880" s="8" t="str">
        <f>HYPERLINK("http://www.bombanacalze.com/","www.bombanacalze.com")</f>
        <v>www.bombanacalze.com</v>
      </c>
      <c r="J2880" s="10">
        <v>909.76900000000001</v>
      </c>
      <c r="K2880" s="10">
        <v>909.76900000000001</v>
      </c>
      <c r="L2880" s="10">
        <v>1138.06</v>
      </c>
      <c r="M2880" s="10">
        <v>-73.242999999999995</v>
      </c>
      <c r="N2880" s="10">
        <v>-73.242999999999995</v>
      </c>
      <c r="O2880" s="10">
        <v>-94.53</v>
      </c>
      <c r="P2880" s="15" t="s">
        <v>15272</v>
      </c>
      <c r="Q2880" s="15" t="s">
        <v>15272</v>
      </c>
      <c r="R2880" s="10">
        <v>8</v>
      </c>
    </row>
    <row r="2881" spans="1:18" ht="17" customHeight="1" x14ac:dyDescent="0.15">
      <c r="A2881" s="11" t="s">
        <v>15428</v>
      </c>
      <c r="B2881" s="1" t="s">
        <v>15429</v>
      </c>
      <c r="C2881" s="11" t="s">
        <v>15430</v>
      </c>
      <c r="D2881" s="11" t="s">
        <v>15430</v>
      </c>
      <c r="E2881" s="11" t="s">
        <v>15431</v>
      </c>
      <c r="F2881" s="11" t="s">
        <v>15432</v>
      </c>
      <c r="G2881" s="11" t="s">
        <v>15433</v>
      </c>
      <c r="H2881" s="11" t="s">
        <v>15434</v>
      </c>
      <c r="I2881" s="11" t="str">
        <f>HYPERLINK("http://www.bottegaconticelli.it/","www.bottegaconticelli.it")</f>
        <v>www.bottegaconticelli.it</v>
      </c>
      <c r="J2881" s="12">
        <v>606.73099999999999</v>
      </c>
      <c r="K2881" s="12">
        <v>606.73099999999999</v>
      </c>
      <c r="L2881" s="13">
        <v>1135.585</v>
      </c>
      <c r="M2881" s="12">
        <v>0.14199999999999999</v>
      </c>
      <c r="N2881" s="12">
        <v>0.14199999999999999</v>
      </c>
      <c r="O2881" s="12">
        <v>5.6790000000000003</v>
      </c>
      <c r="P2881" s="14" t="s">
        <v>15435</v>
      </c>
      <c r="Q2881" s="14" t="s">
        <v>15435</v>
      </c>
      <c r="R2881" s="12">
        <v>6</v>
      </c>
    </row>
    <row r="2882" spans="1:18" ht="17" customHeight="1" x14ac:dyDescent="0.15">
      <c r="A2882" s="8" t="s">
        <v>15436</v>
      </c>
      <c r="B2882" s="9" t="s">
        <v>15437</v>
      </c>
      <c r="C2882" s="8" t="s">
        <v>15438</v>
      </c>
      <c r="D2882" s="8" t="s">
        <v>15438</v>
      </c>
      <c r="E2882" s="8" t="s">
        <v>15439</v>
      </c>
      <c r="F2882" s="8" t="s">
        <v>15440</v>
      </c>
      <c r="G2882" s="8" t="s">
        <v>15441</v>
      </c>
      <c r="H2882" s="8" t="s">
        <v>15442</v>
      </c>
      <c r="I2882" s="8" t="str">
        <f>HYPERLINK("http://cobripelletterie.it/","cobripelletterie.it")</f>
        <v>cobripelletterie.it</v>
      </c>
      <c r="J2882" s="10">
        <v>827.21299999999997</v>
      </c>
      <c r="K2882" s="10">
        <v>827.21299999999997</v>
      </c>
      <c r="L2882" s="10">
        <v>1135.0060000000001</v>
      </c>
      <c r="M2882" s="10">
        <v>-99.463999999999999</v>
      </c>
      <c r="N2882" s="10">
        <v>-99.463999999999999</v>
      </c>
      <c r="O2882" s="10">
        <v>1.1060000000000001</v>
      </c>
      <c r="P2882" s="10">
        <v>16</v>
      </c>
      <c r="Q2882" s="10">
        <v>16</v>
      </c>
      <c r="R2882" s="10">
        <v>13</v>
      </c>
    </row>
    <row r="2883" spans="1:18" ht="17" customHeight="1" x14ac:dyDescent="0.15">
      <c r="A2883" s="11" t="s">
        <v>15443</v>
      </c>
      <c r="B2883" s="1" t="s">
        <v>15444</v>
      </c>
      <c r="C2883" s="11" t="s">
        <v>15445</v>
      </c>
      <c r="D2883" s="11" t="s">
        <v>15445</v>
      </c>
      <c r="E2883" s="11" t="s">
        <v>15446</v>
      </c>
      <c r="F2883" s="11" t="s">
        <v>15447</v>
      </c>
      <c r="G2883" s="11" t="s">
        <v>15448</v>
      </c>
      <c r="H2883" s="11" t="s">
        <v>15449</v>
      </c>
      <c r="I2883" s="11" t="str">
        <f>HYPERLINK("http://www.auroramarzocchi.it/","www.auroramarzocchi.it")</f>
        <v>www.auroramarzocchi.it</v>
      </c>
      <c r="J2883" s="12">
        <v>733.76499999999999</v>
      </c>
      <c r="K2883" s="12">
        <v>733.76499999999999</v>
      </c>
      <c r="L2883" s="13">
        <v>1135.001</v>
      </c>
      <c r="M2883" s="12">
        <v>-13.352</v>
      </c>
      <c r="N2883" s="12">
        <v>-13.352</v>
      </c>
      <c r="O2883" s="12">
        <v>1.8720000000000001</v>
      </c>
      <c r="P2883" s="14" t="s">
        <v>15435</v>
      </c>
      <c r="Q2883" s="14" t="s">
        <v>15435</v>
      </c>
      <c r="R2883" s="12">
        <v>10</v>
      </c>
    </row>
    <row r="2884" spans="1:18" ht="17" customHeight="1" x14ac:dyDescent="0.15">
      <c r="A2884" s="8" t="s">
        <v>15450</v>
      </c>
      <c r="B2884" s="9" t="s">
        <v>15451</v>
      </c>
      <c r="C2884" s="8" t="s">
        <v>15452</v>
      </c>
      <c r="D2884" s="8" t="s">
        <v>15452</v>
      </c>
      <c r="E2884" s="8" t="s">
        <v>15453</v>
      </c>
      <c r="F2884" s="8" t="s">
        <v>15454</v>
      </c>
      <c r="G2884" s="8" t="s">
        <v>15455</v>
      </c>
      <c r="H2884" s="8" t="s">
        <v>15449</v>
      </c>
      <c r="I2884" s="8" t="str">
        <f>HYPERLINK("http://www.momoda.it/","www.momoda.it")</f>
        <v>www.momoda.it</v>
      </c>
      <c r="J2884" s="10">
        <v>1279.0219999999999</v>
      </c>
      <c r="K2884" s="10">
        <v>1279.0219999999999</v>
      </c>
      <c r="L2884" s="10">
        <v>1134.271</v>
      </c>
      <c r="M2884" s="10">
        <v>3.4289999999999998</v>
      </c>
      <c r="N2884" s="10">
        <v>3.4289999999999998</v>
      </c>
      <c r="O2884" s="10">
        <v>53.414000000000001</v>
      </c>
      <c r="P2884" s="10">
        <v>7</v>
      </c>
      <c r="Q2884" s="10">
        <v>7</v>
      </c>
      <c r="R2884" s="10">
        <v>13</v>
      </c>
    </row>
    <row r="2885" spans="1:18" ht="43" customHeight="1" x14ac:dyDescent="0.15">
      <c r="A2885" s="11" t="s">
        <v>15456</v>
      </c>
      <c r="B2885" s="1" t="s">
        <v>15457</v>
      </c>
      <c r="C2885" s="11" t="s">
        <v>15458</v>
      </c>
      <c r="D2885" s="11" t="s">
        <v>15458</v>
      </c>
      <c r="E2885" s="11" t="s">
        <v>15459</v>
      </c>
      <c r="F2885" s="11" t="s">
        <v>15447</v>
      </c>
      <c r="G2885" s="11" t="s">
        <v>15460</v>
      </c>
      <c r="H2885" s="11" t="s">
        <v>15461</v>
      </c>
      <c r="I2885" s="11" t="str">
        <f>HYPERLINK("http://www.siciliaconfezioni.it/","www.siciliaconfezioni.it")</f>
        <v>www.siciliaconfezioni.it</v>
      </c>
      <c r="J2885" s="12">
        <v>1524.26</v>
      </c>
      <c r="K2885" s="12">
        <v>1524.26</v>
      </c>
      <c r="L2885" s="13">
        <v>1133.99</v>
      </c>
      <c r="M2885" s="12">
        <v>87.989000000000004</v>
      </c>
      <c r="N2885" s="12">
        <v>87.989000000000004</v>
      </c>
      <c r="O2885" s="12">
        <v>36.502000000000002</v>
      </c>
      <c r="P2885" s="12">
        <v>30</v>
      </c>
      <c r="Q2885" s="12">
        <v>30</v>
      </c>
      <c r="R2885" s="12">
        <v>36</v>
      </c>
    </row>
    <row r="2886" spans="1:18" ht="17" customHeight="1" x14ac:dyDescent="0.15">
      <c r="A2886" s="8" t="s">
        <v>15462</v>
      </c>
      <c r="B2886" s="9" t="s">
        <v>15463</v>
      </c>
      <c r="C2886" s="8" t="s">
        <v>15464</v>
      </c>
      <c r="D2886" s="8" t="s">
        <v>15464</v>
      </c>
      <c r="E2886" s="8" t="s">
        <v>15465</v>
      </c>
      <c r="F2886" s="8" t="s">
        <v>15466</v>
      </c>
      <c r="G2886" s="8" t="s">
        <v>15467</v>
      </c>
      <c r="H2886" s="8" t="s">
        <v>15468</v>
      </c>
      <c r="I2886" s="8" t="str">
        <f>HYPERLINK("http://www.akronitalia.com/","www.akronitalia.com")</f>
        <v>www.akronitalia.com</v>
      </c>
      <c r="J2886" s="10">
        <v>1215.1669999999999</v>
      </c>
      <c r="K2886" s="10">
        <v>1215.1669999999999</v>
      </c>
      <c r="L2886" s="10">
        <v>1133.8530000000001</v>
      </c>
      <c r="M2886" s="10">
        <v>69.798000000000002</v>
      </c>
      <c r="N2886" s="10">
        <v>69.798000000000002</v>
      </c>
      <c r="O2886" s="10">
        <v>42.701000000000001</v>
      </c>
      <c r="P2886" s="10">
        <v>0</v>
      </c>
      <c r="Q2886" s="10">
        <v>0</v>
      </c>
      <c r="R2886" s="10">
        <v>0</v>
      </c>
    </row>
    <row r="2887" spans="1:18" ht="17" customHeight="1" x14ac:dyDescent="0.15">
      <c r="A2887" s="11" t="s">
        <v>15469</v>
      </c>
      <c r="B2887" s="1" t="s">
        <v>15470</v>
      </c>
      <c r="C2887" s="11" t="s">
        <v>15471</v>
      </c>
      <c r="D2887" s="11" t="s">
        <v>15471</v>
      </c>
      <c r="E2887" s="11" t="s">
        <v>15472</v>
      </c>
      <c r="F2887" s="11" t="s">
        <v>15466</v>
      </c>
      <c r="G2887" s="11" t="s">
        <v>15473</v>
      </c>
      <c r="H2887" s="11" t="s">
        <v>15449</v>
      </c>
      <c r="I2887" s="11" t="str">
        <f>HYPERLINK("http://www.luisamarialuglicostumidabagno.it/","www.luisamarialuglicostumidabagno.it")</f>
        <v>www.luisamarialuglicostumidabagno.it</v>
      </c>
      <c r="J2887" s="12">
        <v>1159.921</v>
      </c>
      <c r="K2887" s="12">
        <v>1159.921</v>
      </c>
      <c r="L2887" s="13">
        <v>1131.5920000000001</v>
      </c>
      <c r="M2887" s="12">
        <v>9.8640000000000008</v>
      </c>
      <c r="N2887" s="12">
        <v>9.8640000000000008</v>
      </c>
      <c r="O2887" s="12">
        <v>4.8360000000000003</v>
      </c>
      <c r="P2887" s="12">
        <v>7</v>
      </c>
      <c r="Q2887" s="12">
        <v>7</v>
      </c>
      <c r="R2887" s="12">
        <v>12</v>
      </c>
    </row>
    <row r="2888" spans="1:18" ht="29.5" customHeight="1" x14ac:dyDescent="0.15">
      <c r="A2888" s="8" t="s">
        <v>15474</v>
      </c>
      <c r="B2888" s="9" t="s">
        <v>15475</v>
      </c>
      <c r="C2888" s="8" t="s">
        <v>15476</v>
      </c>
      <c r="D2888" s="8" t="s">
        <v>15476</v>
      </c>
      <c r="E2888" s="8" t="s">
        <v>15477</v>
      </c>
      <c r="F2888" s="8" t="s">
        <v>15478</v>
      </c>
      <c r="G2888" s="8" t="s">
        <v>15479</v>
      </c>
      <c r="H2888" s="8" t="s">
        <v>15480</v>
      </c>
      <c r="I2888" s="8" t="str">
        <f>HYPERLINK("http://www.italianamanifatture.eu/","www.italianamanifatture.eu")</f>
        <v>www.italianamanifatture.eu</v>
      </c>
      <c r="J2888" s="10">
        <v>1198.3979999999999</v>
      </c>
      <c r="K2888" s="10">
        <v>1198.3979999999999</v>
      </c>
      <c r="L2888" s="10">
        <v>1131.4749999999999</v>
      </c>
      <c r="M2888" s="10">
        <v>73.197000000000003</v>
      </c>
      <c r="N2888" s="10">
        <v>73.197000000000003</v>
      </c>
      <c r="O2888" s="10">
        <v>32.777999999999999</v>
      </c>
      <c r="P2888" s="15" t="s">
        <v>15435</v>
      </c>
      <c r="Q2888" s="15" t="s">
        <v>15435</v>
      </c>
      <c r="R2888" s="10">
        <v>15</v>
      </c>
    </row>
    <row r="2889" spans="1:18" ht="17" customHeight="1" x14ac:dyDescent="0.15">
      <c r="A2889" s="11" t="s">
        <v>15481</v>
      </c>
      <c r="B2889" s="1" t="s">
        <v>15482</v>
      </c>
      <c r="C2889" s="11" t="s">
        <v>15483</v>
      </c>
      <c r="D2889" s="11" t="s">
        <v>15483</v>
      </c>
      <c r="E2889" s="11" t="s">
        <v>15484</v>
      </c>
      <c r="F2889" s="11" t="s">
        <v>15440</v>
      </c>
      <c r="G2889" s="11" t="s">
        <v>15485</v>
      </c>
      <c r="H2889" s="11" t="s">
        <v>15442</v>
      </c>
      <c r="I2889" s="11" t="str">
        <f>HYPERLINK("http://www.butipelletterie.com/","www.butipelletterie.com")</f>
        <v>www.butipelletterie.com</v>
      </c>
      <c r="J2889" s="12">
        <v>1087.5039999999999</v>
      </c>
      <c r="K2889" s="12">
        <v>1087.5039999999999</v>
      </c>
      <c r="L2889" s="13">
        <v>1131.135</v>
      </c>
      <c r="M2889" s="12">
        <v>5.7110000000000003</v>
      </c>
      <c r="N2889" s="12">
        <v>5.7110000000000003</v>
      </c>
      <c r="O2889" s="12">
        <v>-81.075999999999993</v>
      </c>
      <c r="P2889" s="12">
        <v>18</v>
      </c>
      <c r="Q2889" s="12">
        <v>18</v>
      </c>
      <c r="R2889" s="12">
        <v>19</v>
      </c>
    </row>
    <row r="2890" spans="1:18" ht="17" customHeight="1" x14ac:dyDescent="0.15">
      <c r="A2890" s="8" t="s">
        <v>15486</v>
      </c>
      <c r="B2890" s="9" t="s">
        <v>15487</v>
      </c>
      <c r="C2890" s="8" t="s">
        <v>15488</v>
      </c>
      <c r="D2890" s="8" t="s">
        <v>15488</v>
      </c>
      <c r="E2890" s="8" t="s">
        <v>15489</v>
      </c>
      <c r="F2890" s="8" t="s">
        <v>15490</v>
      </c>
      <c r="G2890" s="8" t="s">
        <v>15491</v>
      </c>
      <c r="H2890" s="8" t="s">
        <v>15468</v>
      </c>
      <c r="I2890" s="8" t="str">
        <f>HYPERLINK("http://tomaificiotarga.it/","tomaificiotarga.it")</f>
        <v>tomaificiotarga.it</v>
      </c>
      <c r="J2890" s="10">
        <v>1436.8309999999999</v>
      </c>
      <c r="K2890" s="10">
        <v>1436.8309999999999</v>
      </c>
      <c r="L2890" s="10">
        <v>1131.0070000000001</v>
      </c>
      <c r="M2890" s="10">
        <v>0.59699999999999998</v>
      </c>
      <c r="N2890" s="10">
        <v>0.59699999999999998</v>
      </c>
      <c r="O2890" s="10">
        <v>6.056</v>
      </c>
      <c r="P2890" s="10">
        <v>19</v>
      </c>
      <c r="Q2890" s="10">
        <v>19</v>
      </c>
      <c r="R2890" s="10">
        <v>19</v>
      </c>
    </row>
    <row r="2891" spans="1:18" ht="17" customHeight="1" x14ac:dyDescent="0.15">
      <c r="A2891" s="11" t="s">
        <v>15492</v>
      </c>
      <c r="B2891" s="1" t="s">
        <v>15493</v>
      </c>
      <c r="C2891" s="11" t="s">
        <v>15494</v>
      </c>
      <c r="D2891" s="11" t="s">
        <v>15494</v>
      </c>
      <c r="E2891" s="11" t="s">
        <v>15495</v>
      </c>
      <c r="F2891" s="11" t="s">
        <v>15490</v>
      </c>
      <c r="G2891" s="11" t="s">
        <v>15479</v>
      </c>
      <c r="H2891" s="11" t="s">
        <v>15480</v>
      </c>
      <c r="I2891" s="11" t="str">
        <f>HYPERLINK("http://www.tranceriagiori.it/","www.tranceriagiori.it")</f>
        <v>www.tranceriagiori.it</v>
      </c>
      <c r="J2891" s="12">
        <v>1228.547</v>
      </c>
      <c r="K2891" s="12">
        <v>1228.547</v>
      </c>
      <c r="L2891" s="13">
        <v>1130.877</v>
      </c>
      <c r="M2891" s="12">
        <v>66.23</v>
      </c>
      <c r="N2891" s="12">
        <v>66.23</v>
      </c>
      <c r="O2891" s="12">
        <v>72.334000000000003</v>
      </c>
      <c r="P2891" s="14" t="s">
        <v>15435</v>
      </c>
      <c r="Q2891" s="14" t="s">
        <v>15435</v>
      </c>
      <c r="R2891" s="12">
        <v>16</v>
      </c>
    </row>
    <row r="2892" spans="1:18" ht="17" customHeight="1" x14ac:dyDescent="0.15">
      <c r="A2892" s="8" t="s">
        <v>15496</v>
      </c>
      <c r="B2892" s="9" t="s">
        <v>15497</v>
      </c>
      <c r="C2892" s="8" t="s">
        <v>15498</v>
      </c>
      <c r="D2892" s="8" t="s">
        <v>15498</v>
      </c>
      <c r="E2892" s="8" t="s">
        <v>15499</v>
      </c>
      <c r="F2892" s="8" t="s">
        <v>15454</v>
      </c>
      <c r="G2892" s="8" t="s">
        <v>15500</v>
      </c>
      <c r="H2892" s="8" t="s">
        <v>15501</v>
      </c>
      <c r="I2892" s="8" t="str">
        <f>HYPERLINK("http://www.lubello.com/","www.lubello.com")</f>
        <v>www.lubello.com</v>
      </c>
      <c r="J2892" s="10">
        <v>1651.3119999999999</v>
      </c>
      <c r="K2892" s="10">
        <v>1651.3119999999999</v>
      </c>
      <c r="L2892" s="10">
        <v>1130.694</v>
      </c>
      <c r="M2892" s="10">
        <v>39.515000000000001</v>
      </c>
      <c r="N2892" s="10">
        <v>39.515000000000001</v>
      </c>
      <c r="O2892" s="10">
        <v>24.93</v>
      </c>
      <c r="P2892" s="10">
        <v>9</v>
      </c>
      <c r="Q2892" s="10">
        <v>9</v>
      </c>
      <c r="R2892" s="10">
        <v>9</v>
      </c>
    </row>
    <row r="2893" spans="1:18" ht="17" customHeight="1" x14ac:dyDescent="0.15">
      <c r="A2893" s="11" t="s">
        <v>15502</v>
      </c>
      <c r="B2893" s="1" t="s">
        <v>15503</v>
      </c>
      <c r="C2893" s="11" t="s">
        <v>15504</v>
      </c>
      <c r="D2893" s="11" t="s">
        <v>15504</v>
      </c>
      <c r="E2893" s="11" t="s">
        <v>15505</v>
      </c>
      <c r="F2893" s="11" t="s">
        <v>15447</v>
      </c>
      <c r="G2893" s="11" t="s">
        <v>15506</v>
      </c>
      <c r="H2893" s="11" t="s">
        <v>15507</v>
      </c>
      <c r="I2893" s="11" t="str">
        <f>HYPERLINK("http://www.jeffed.it/","www.jeffed.it")</f>
        <v>www.jeffed.it</v>
      </c>
      <c r="J2893" s="12">
        <v>1219.731</v>
      </c>
      <c r="K2893" s="12">
        <v>1219.731</v>
      </c>
      <c r="L2893" s="13">
        <v>1129.904</v>
      </c>
      <c r="M2893" s="12">
        <v>2.66</v>
      </c>
      <c r="N2893" s="12">
        <v>2.66</v>
      </c>
      <c r="O2893" s="12">
        <v>0.219</v>
      </c>
      <c r="P2893" s="14" t="s">
        <v>15435</v>
      </c>
      <c r="Q2893" s="14" t="s">
        <v>15435</v>
      </c>
      <c r="R2893" s="12">
        <v>26</v>
      </c>
    </row>
    <row r="2894" spans="1:18" ht="17" customHeight="1" x14ac:dyDescent="0.15">
      <c r="A2894" s="8" t="s">
        <v>15508</v>
      </c>
      <c r="B2894" s="9" t="s">
        <v>15509</v>
      </c>
      <c r="C2894" s="8" t="s">
        <v>15510</v>
      </c>
      <c r="D2894" s="8" t="s">
        <v>15510</v>
      </c>
      <c r="E2894" s="8" t="s">
        <v>15511</v>
      </c>
      <c r="F2894" s="8" t="s">
        <v>15454</v>
      </c>
      <c r="G2894" s="8" t="s">
        <v>15512</v>
      </c>
      <c r="H2894" s="8" t="s">
        <v>15513</v>
      </c>
      <c r="I2894" s="8" t="str">
        <f>HYPERLINK("http://vichitalia.com/","vichitalia.com")</f>
        <v>vichitalia.com</v>
      </c>
      <c r="J2894" s="10">
        <v>1130.874</v>
      </c>
      <c r="K2894" s="10">
        <v>1130.874</v>
      </c>
      <c r="L2894" s="10">
        <v>1129.1869999999999</v>
      </c>
      <c r="M2894" s="10">
        <v>36.853000000000002</v>
      </c>
      <c r="N2894" s="10">
        <v>36.853000000000002</v>
      </c>
      <c r="O2894" s="10">
        <v>29.812000000000001</v>
      </c>
      <c r="P2894" s="15" t="s">
        <v>15435</v>
      </c>
      <c r="Q2894" s="15" t="s">
        <v>15435</v>
      </c>
      <c r="R2894" s="10">
        <v>4</v>
      </c>
    </row>
    <row r="2895" spans="1:18" ht="29.5" customHeight="1" x14ac:dyDescent="0.15">
      <c r="A2895" s="11" t="s">
        <v>15514</v>
      </c>
      <c r="B2895" s="1" t="s">
        <v>15515</v>
      </c>
      <c r="C2895" s="11" t="s">
        <v>15516</v>
      </c>
      <c r="D2895" s="11" t="s">
        <v>15516</v>
      </c>
      <c r="E2895" s="11" t="s">
        <v>15517</v>
      </c>
      <c r="F2895" s="11" t="s">
        <v>15518</v>
      </c>
      <c r="G2895" s="11" t="s">
        <v>15519</v>
      </c>
      <c r="H2895" s="11" t="s">
        <v>15501</v>
      </c>
      <c r="I2895" s="11" t="str">
        <f>HYPERLINK("http://www.vicodebramo.it/","www.vicodebramo.it")</f>
        <v>www.vicodebramo.it</v>
      </c>
      <c r="J2895" s="12">
        <v>1294.348</v>
      </c>
      <c r="K2895" s="12">
        <v>1294.348</v>
      </c>
      <c r="L2895" s="13">
        <v>1127.329</v>
      </c>
      <c r="M2895" s="12">
        <v>32.624000000000002</v>
      </c>
      <c r="N2895" s="12">
        <v>32.624000000000002</v>
      </c>
      <c r="O2895" s="12">
        <v>23.021000000000001</v>
      </c>
      <c r="P2895" s="14" t="s">
        <v>15435</v>
      </c>
      <c r="Q2895" s="14" t="s">
        <v>15435</v>
      </c>
      <c r="R2895" s="12">
        <v>8</v>
      </c>
    </row>
    <row r="2896" spans="1:18" ht="17" customHeight="1" x14ac:dyDescent="0.15">
      <c r="A2896" s="8" t="s">
        <v>15520</v>
      </c>
      <c r="B2896" s="9" t="s">
        <v>15521</v>
      </c>
      <c r="C2896" s="8" t="s">
        <v>15522</v>
      </c>
      <c r="D2896" s="8" t="s">
        <v>15522</v>
      </c>
      <c r="E2896" s="8" t="s">
        <v>15523</v>
      </c>
      <c r="F2896" s="8" t="s">
        <v>15518</v>
      </c>
      <c r="G2896" s="8" t="s">
        <v>15519</v>
      </c>
      <c r="H2896" s="8" t="s">
        <v>15501</v>
      </c>
      <c r="I2896" s="8" t="str">
        <f>HYPERLINK("http://www.cavallidoro.it/","www.cavallidoro.it")</f>
        <v>www.cavallidoro.it</v>
      </c>
      <c r="J2896" s="10">
        <v>1065.7639999999999</v>
      </c>
      <c r="K2896" s="10">
        <v>1065.7639999999999</v>
      </c>
      <c r="L2896" s="10">
        <v>1126.886</v>
      </c>
      <c r="M2896" s="10">
        <v>13.163</v>
      </c>
      <c r="N2896" s="10">
        <v>13.163</v>
      </c>
      <c r="O2896" s="10">
        <v>-84.269000000000005</v>
      </c>
      <c r="P2896" s="10">
        <v>7</v>
      </c>
      <c r="Q2896" s="10">
        <v>7</v>
      </c>
      <c r="R2896" s="10">
        <v>8</v>
      </c>
    </row>
    <row r="2897" spans="1:18" ht="17" customHeight="1" x14ac:dyDescent="0.15">
      <c r="A2897" s="11" t="s">
        <v>15524</v>
      </c>
      <c r="B2897" s="1" t="s">
        <v>15525</v>
      </c>
      <c r="C2897" s="11" t="s">
        <v>15526</v>
      </c>
      <c r="D2897" s="11" t="s">
        <v>15526</v>
      </c>
      <c r="E2897" s="11" t="s">
        <v>15527</v>
      </c>
      <c r="F2897" s="11" t="s">
        <v>15447</v>
      </c>
      <c r="G2897" s="11" t="s">
        <v>15528</v>
      </c>
      <c r="H2897" s="11" t="s">
        <v>15529</v>
      </c>
      <c r="I2897" s="11" t="str">
        <f>HYPERLINK("http://www.tessilnet.it/","www.tessilnet.it")</f>
        <v>www.tessilnet.it</v>
      </c>
      <c r="J2897" s="12">
        <v>1107.596</v>
      </c>
      <c r="K2897" s="12">
        <v>1107.596</v>
      </c>
      <c r="L2897" s="13">
        <v>1126.528</v>
      </c>
      <c r="M2897" s="12">
        <v>-69.730999999999995</v>
      </c>
      <c r="N2897" s="12">
        <v>-69.730999999999995</v>
      </c>
      <c r="O2897" s="12">
        <v>-28.902999999999999</v>
      </c>
      <c r="P2897" s="12">
        <v>5</v>
      </c>
      <c r="Q2897" s="12">
        <v>5</v>
      </c>
      <c r="R2897" s="12">
        <v>5</v>
      </c>
    </row>
    <row r="2898" spans="1:18" ht="29.5" customHeight="1" x14ac:dyDescent="0.15">
      <c r="A2898" s="8" t="s">
        <v>15530</v>
      </c>
      <c r="B2898" s="9" t="s">
        <v>15531</v>
      </c>
      <c r="C2898" s="8" t="s">
        <v>15532</v>
      </c>
      <c r="D2898" s="8" t="s">
        <v>15532</v>
      </c>
      <c r="E2898" s="8" t="s">
        <v>15533</v>
      </c>
      <c r="F2898" s="8" t="s">
        <v>15490</v>
      </c>
      <c r="G2898" s="8" t="s">
        <v>15534</v>
      </c>
      <c r="H2898" s="8" t="s">
        <v>15480</v>
      </c>
      <c r="I2898" s="8" t="str">
        <f>HYPERLINK("http://www.toplinesrl.it/","www.toplinesrl.it")</f>
        <v>www.toplinesrl.it</v>
      </c>
      <c r="J2898" s="10">
        <v>1006.079</v>
      </c>
      <c r="K2898" s="10">
        <v>1006.079</v>
      </c>
      <c r="L2898" s="10">
        <v>1126.133</v>
      </c>
      <c r="M2898" s="10">
        <v>2.3420000000000001</v>
      </c>
      <c r="N2898" s="10">
        <v>2.3420000000000001</v>
      </c>
      <c r="O2898" s="10">
        <v>-28.071999999999999</v>
      </c>
      <c r="P2898" s="10">
        <v>16</v>
      </c>
      <c r="Q2898" s="10">
        <v>16</v>
      </c>
      <c r="R2898" s="10">
        <v>13</v>
      </c>
    </row>
    <row r="2899" spans="1:18" ht="17" customHeight="1" x14ac:dyDescent="0.15">
      <c r="A2899" s="11" t="s">
        <v>15535</v>
      </c>
      <c r="B2899" s="1" t="s">
        <v>15536</v>
      </c>
      <c r="C2899" s="11" t="s">
        <v>15537</v>
      </c>
      <c r="D2899" s="11" t="s">
        <v>15537</v>
      </c>
      <c r="E2899" s="11" t="s">
        <v>15538</v>
      </c>
      <c r="F2899" s="11" t="s">
        <v>15478</v>
      </c>
      <c r="G2899" s="11" t="s">
        <v>15539</v>
      </c>
      <c r="H2899" s="11" t="s">
        <v>15442</v>
      </c>
      <c r="I2899" s="11" t="str">
        <f>HYPERLINK("http://www.toropelletterie.it/","www.toropelletterie.it")</f>
        <v>www.toropelletterie.it</v>
      </c>
      <c r="J2899" s="12">
        <v>887.28099999999995</v>
      </c>
      <c r="K2899" s="12">
        <v>887.28099999999995</v>
      </c>
      <c r="L2899" s="13">
        <v>1126.0530000000001</v>
      </c>
      <c r="M2899" s="12">
        <v>0.38700000000000001</v>
      </c>
      <c r="N2899" s="12">
        <v>0.38700000000000001</v>
      </c>
      <c r="O2899" s="12">
        <v>54.38</v>
      </c>
      <c r="P2899" s="14" t="s">
        <v>15435</v>
      </c>
      <c r="Q2899" s="14" t="s">
        <v>15435</v>
      </c>
      <c r="R2899" s="12">
        <v>25</v>
      </c>
    </row>
    <row r="2900" spans="1:18" ht="17" customHeight="1" x14ac:dyDescent="0.15">
      <c r="A2900" s="8" t="s">
        <v>15540</v>
      </c>
      <c r="B2900" s="9" t="s">
        <v>15541</v>
      </c>
      <c r="C2900" s="8" t="s">
        <v>15542</v>
      </c>
      <c r="D2900" s="8" t="s">
        <v>15542</v>
      </c>
      <c r="E2900" s="8" t="s">
        <v>15543</v>
      </c>
      <c r="F2900" s="8" t="s">
        <v>15544</v>
      </c>
      <c r="G2900" s="8" t="s">
        <v>15534</v>
      </c>
      <c r="H2900" s="8" t="s">
        <v>15480</v>
      </c>
      <c r="I2900" s="8" t="str">
        <f>HYPERLINK("http://www.tomasrl.it/","www.tomasrl.it")</f>
        <v>www.tomasrl.it</v>
      </c>
      <c r="J2900" s="10">
        <v>1195.019</v>
      </c>
      <c r="K2900" s="10">
        <v>1195.019</v>
      </c>
      <c r="L2900" s="10">
        <v>1123.5630000000001</v>
      </c>
      <c r="M2900" s="10">
        <v>17.012</v>
      </c>
      <c r="N2900" s="10">
        <v>17.012</v>
      </c>
      <c r="O2900" s="10">
        <v>19.276</v>
      </c>
      <c r="P2900" s="10">
        <v>9</v>
      </c>
      <c r="Q2900" s="10">
        <v>9</v>
      </c>
      <c r="R2900" s="10">
        <v>9</v>
      </c>
    </row>
    <row r="2901" spans="1:18" ht="17" customHeight="1" x14ac:dyDescent="0.15">
      <c r="A2901" s="11" t="s">
        <v>15545</v>
      </c>
      <c r="B2901" s="1" t="s">
        <v>15546</v>
      </c>
      <c r="C2901" s="11" t="s">
        <v>15547</v>
      </c>
      <c r="D2901" s="11" t="s">
        <v>15547</v>
      </c>
      <c r="E2901" s="11" t="s">
        <v>15548</v>
      </c>
      <c r="F2901" s="11" t="s">
        <v>15447</v>
      </c>
      <c r="G2901" s="11" t="s">
        <v>15512</v>
      </c>
      <c r="H2901" s="11" t="s">
        <v>15513</v>
      </c>
      <c r="I2901" s="11" t="str">
        <f>HYPERLINK("http://m.maglificiocamelia.it/","m.maglificiocamelia.it")</f>
        <v>m.maglificiocamelia.it</v>
      </c>
      <c r="J2901" s="12">
        <v>1101.3240000000001</v>
      </c>
      <c r="K2901" s="12">
        <v>1101.3240000000001</v>
      </c>
      <c r="L2901" s="13">
        <v>1121.059</v>
      </c>
      <c r="M2901" s="12">
        <v>8.1430000000000007</v>
      </c>
      <c r="N2901" s="12">
        <v>8.1430000000000007</v>
      </c>
      <c r="O2901" s="12">
        <v>11.739000000000001</v>
      </c>
      <c r="P2901" s="12">
        <v>12</v>
      </c>
      <c r="Q2901" s="12">
        <v>12</v>
      </c>
      <c r="R2901" s="12">
        <v>10</v>
      </c>
    </row>
    <row r="2902" spans="1:18" ht="17" customHeight="1" x14ac:dyDescent="0.15">
      <c r="A2902" s="8" t="s">
        <v>15549</v>
      </c>
      <c r="B2902" s="9" t="s">
        <v>15550</v>
      </c>
      <c r="C2902" s="8" t="s">
        <v>15551</v>
      </c>
      <c r="D2902" s="8" t="s">
        <v>15551</v>
      </c>
      <c r="E2902" s="8" t="s">
        <v>15552</v>
      </c>
      <c r="F2902" s="8" t="s">
        <v>15454</v>
      </c>
      <c r="G2902" s="8" t="s">
        <v>15448</v>
      </c>
      <c r="H2902" s="8" t="s">
        <v>15449</v>
      </c>
      <c r="I2902" s="8" t="str">
        <f>HYPERLINK("http://www.ellebi-abbigliamento.com/","www.ellebi-abbigliamento.com")</f>
        <v>www.ellebi-abbigliamento.com</v>
      </c>
      <c r="J2902" s="10">
        <v>1214.8430000000001</v>
      </c>
      <c r="K2902" s="10">
        <v>1214.8430000000001</v>
      </c>
      <c r="L2902" s="10">
        <v>1119.107</v>
      </c>
      <c r="M2902" s="10">
        <v>13.237</v>
      </c>
      <c r="N2902" s="10">
        <v>13.237</v>
      </c>
      <c r="O2902" s="10">
        <v>6.0229999999999997</v>
      </c>
      <c r="P2902" s="10">
        <v>13</v>
      </c>
      <c r="Q2902" s="10">
        <v>13</v>
      </c>
      <c r="R2902" s="10">
        <v>13</v>
      </c>
    </row>
    <row r="2903" spans="1:18" ht="29.5" customHeight="1" x14ac:dyDescent="0.15">
      <c r="A2903" s="11" t="s">
        <v>15553</v>
      </c>
      <c r="B2903" s="1" t="s">
        <v>15554</v>
      </c>
      <c r="C2903" s="11" t="s">
        <v>15555</v>
      </c>
      <c r="D2903" s="11" t="s">
        <v>15555</v>
      </c>
      <c r="E2903" s="11" t="s">
        <v>15556</v>
      </c>
      <c r="F2903" s="11" t="s">
        <v>15518</v>
      </c>
      <c r="G2903" s="11" t="s">
        <v>15557</v>
      </c>
      <c r="H2903" s="11" t="s">
        <v>15558</v>
      </c>
      <c r="I2903" s="11" t="str">
        <f>HYPERLINK("http://www.paolafiorenza.com/","www.paolafiorenza.com")</f>
        <v>www.paolafiorenza.com</v>
      </c>
      <c r="J2903" s="12">
        <v>1376.085</v>
      </c>
      <c r="K2903" s="12">
        <v>1376.085</v>
      </c>
      <c r="L2903" s="13">
        <v>1117.6610000000001</v>
      </c>
      <c r="M2903" s="12">
        <v>53.401000000000003</v>
      </c>
      <c r="N2903" s="12">
        <v>53.401000000000003</v>
      </c>
      <c r="O2903" s="12">
        <v>39.993000000000002</v>
      </c>
      <c r="P2903" s="14" t="s">
        <v>15435</v>
      </c>
      <c r="Q2903" s="14" t="s">
        <v>15435</v>
      </c>
      <c r="R2903" s="12">
        <v>7</v>
      </c>
    </row>
    <row r="2904" spans="1:18" ht="29.5" customHeight="1" x14ac:dyDescent="0.15">
      <c r="A2904" s="8" t="s">
        <v>15559</v>
      </c>
      <c r="B2904" s="9" t="s">
        <v>15560</v>
      </c>
      <c r="C2904" s="8" t="s">
        <v>15561</v>
      </c>
      <c r="D2904" s="8" t="s">
        <v>15562</v>
      </c>
      <c r="E2904" s="8" t="s">
        <v>15563</v>
      </c>
      <c r="F2904" s="8" t="s">
        <v>15447</v>
      </c>
      <c r="G2904" s="8" t="s">
        <v>15564</v>
      </c>
      <c r="H2904" s="8" t="s">
        <v>15513</v>
      </c>
      <c r="I2904" s="8" t="str">
        <f>HYPERLINK("http://www.gruppotessileabbigliamentomoda.it/","www.gruppotessileabbigliamentomoda.it")</f>
        <v>www.gruppotessileabbigliamentomoda.it</v>
      </c>
      <c r="J2904" s="10">
        <v>1154.6880000000001</v>
      </c>
      <c r="K2904" s="10">
        <v>1154.6880000000001</v>
      </c>
      <c r="L2904" s="10">
        <v>1116.5840000000001</v>
      </c>
      <c r="M2904" s="10">
        <v>-22.734000000000002</v>
      </c>
      <c r="N2904" s="10">
        <v>-22.734000000000002</v>
      </c>
      <c r="O2904" s="10">
        <v>60.478000000000002</v>
      </c>
      <c r="P2904" s="10">
        <v>7</v>
      </c>
      <c r="Q2904" s="10">
        <v>7</v>
      </c>
      <c r="R2904" s="10">
        <v>7</v>
      </c>
    </row>
    <row r="2905" spans="1:18" ht="29.5" customHeight="1" x14ac:dyDescent="0.15">
      <c r="A2905" s="11" t="s">
        <v>15565</v>
      </c>
      <c r="B2905" s="1" t="s">
        <v>15566</v>
      </c>
      <c r="C2905" s="11" t="s">
        <v>15567</v>
      </c>
      <c r="D2905" s="11" t="s">
        <v>15567</v>
      </c>
      <c r="E2905" s="11" t="s">
        <v>15568</v>
      </c>
      <c r="F2905" s="11" t="s">
        <v>15518</v>
      </c>
      <c r="G2905" s="11" t="s">
        <v>15569</v>
      </c>
      <c r="H2905" s="11" t="s">
        <v>15442</v>
      </c>
      <c r="I2905" s="11" t="str">
        <f>HYPERLINK("http://donna-toscana.it/","donna-toscana.it")</f>
        <v>donna-toscana.it</v>
      </c>
      <c r="J2905" s="12">
        <v>1326.4690000000001</v>
      </c>
      <c r="K2905" s="12">
        <v>1326.4690000000001</v>
      </c>
      <c r="L2905" s="13">
        <v>1116.28</v>
      </c>
      <c r="M2905" s="12">
        <v>46.052999999999997</v>
      </c>
      <c r="N2905" s="12">
        <v>46.052999999999997</v>
      </c>
      <c r="O2905" s="12">
        <v>34.247999999999998</v>
      </c>
      <c r="P2905" s="14" t="s">
        <v>15435</v>
      </c>
      <c r="Q2905" s="14" t="s">
        <v>15435</v>
      </c>
      <c r="R2905" s="12">
        <v>14</v>
      </c>
    </row>
    <row r="2906" spans="1:18" ht="17" customHeight="1" x14ac:dyDescent="0.15">
      <c r="A2906" s="8" t="s">
        <v>15570</v>
      </c>
      <c r="B2906" s="9" t="s">
        <v>15571</v>
      </c>
      <c r="C2906" s="8" t="s">
        <v>15572</v>
      </c>
      <c r="D2906" s="8" t="s">
        <v>15572</v>
      </c>
      <c r="E2906" s="8" t="s">
        <v>15573</v>
      </c>
      <c r="F2906" s="8" t="s">
        <v>15574</v>
      </c>
      <c r="G2906" s="8" t="s">
        <v>15575</v>
      </c>
      <c r="H2906" s="8" t="s">
        <v>15468</v>
      </c>
      <c r="I2906" s="8" t="str">
        <f>HYPERLINK("http://www.christia.com/","http://www.christia.com")</f>
        <v>http://www.christia.com</v>
      </c>
      <c r="J2906" s="10">
        <v>1129.4659999999999</v>
      </c>
      <c r="K2906" s="10">
        <v>1129.4659999999999</v>
      </c>
      <c r="L2906" s="10">
        <v>1114.825</v>
      </c>
      <c r="M2906" s="10">
        <v>-41.106000000000002</v>
      </c>
      <c r="N2906" s="10">
        <v>-41.106000000000002</v>
      </c>
      <c r="O2906" s="10">
        <v>1.3140000000000001</v>
      </c>
      <c r="P2906" s="10">
        <v>3</v>
      </c>
      <c r="Q2906" s="10">
        <v>3</v>
      </c>
      <c r="R2906" s="10">
        <v>3</v>
      </c>
    </row>
    <row r="2907" spans="1:18" ht="17" customHeight="1" x14ac:dyDescent="0.15">
      <c r="A2907" s="11" t="s">
        <v>15576</v>
      </c>
      <c r="B2907" s="1" t="s">
        <v>15577</v>
      </c>
      <c r="C2907" s="11" t="s">
        <v>15578</v>
      </c>
      <c r="D2907" s="11" t="s">
        <v>15578</v>
      </c>
      <c r="E2907" s="11" t="s">
        <v>15579</v>
      </c>
      <c r="F2907" s="11" t="s">
        <v>15580</v>
      </c>
      <c r="G2907" s="11" t="s">
        <v>15581</v>
      </c>
      <c r="H2907" s="11" t="s">
        <v>15449</v>
      </c>
      <c r="I2907" s="11" t="str">
        <f>HYPERLINK("http://www.evasrl.it/","www.evasrl.it")</f>
        <v>www.evasrl.it</v>
      </c>
      <c r="J2907" s="12">
        <v>1115.8900000000001</v>
      </c>
      <c r="K2907" s="12">
        <v>1115.8900000000001</v>
      </c>
      <c r="L2907" s="13">
        <v>1114.1320000000001</v>
      </c>
      <c r="M2907" s="12">
        <v>4.91</v>
      </c>
      <c r="N2907" s="12">
        <v>4.91</v>
      </c>
      <c r="O2907" s="12">
        <v>6.2119999999999997</v>
      </c>
      <c r="P2907" s="12">
        <v>4</v>
      </c>
      <c r="Q2907" s="12">
        <v>4</v>
      </c>
      <c r="R2907" s="12">
        <v>4</v>
      </c>
    </row>
    <row r="2908" spans="1:18" ht="17" customHeight="1" x14ac:dyDescent="0.15">
      <c r="A2908" s="8" t="s">
        <v>15582</v>
      </c>
      <c r="B2908" s="9" t="s">
        <v>15583</v>
      </c>
      <c r="C2908" s="8" t="s">
        <v>15584</v>
      </c>
      <c r="D2908" s="8" t="s">
        <v>15584</v>
      </c>
      <c r="E2908" s="8" t="s">
        <v>15585</v>
      </c>
      <c r="F2908" s="8" t="s">
        <v>15586</v>
      </c>
      <c r="G2908" s="8" t="s">
        <v>15441</v>
      </c>
      <c r="H2908" s="8" t="s">
        <v>15442</v>
      </c>
      <c r="I2908" s="8" t="str">
        <f>HYPERLINK("http://www.alexingh.com/","www.alexingh.com")</f>
        <v>www.alexingh.com</v>
      </c>
      <c r="J2908" s="10">
        <v>1450.3389999999999</v>
      </c>
      <c r="K2908" s="10">
        <v>1450.3389999999999</v>
      </c>
      <c r="L2908" s="10">
        <v>1113.4190000000001</v>
      </c>
      <c r="M2908" s="10">
        <v>19.184999999999999</v>
      </c>
      <c r="N2908" s="10">
        <v>19.184999999999999</v>
      </c>
      <c r="O2908" s="10">
        <v>-147.52699999999999</v>
      </c>
      <c r="P2908" s="10">
        <v>7</v>
      </c>
      <c r="Q2908" s="10">
        <v>7</v>
      </c>
      <c r="R2908" s="10">
        <v>5</v>
      </c>
    </row>
    <row r="2909" spans="1:18" ht="29.5" customHeight="1" x14ac:dyDescent="0.15">
      <c r="A2909" s="11" t="s">
        <v>15587</v>
      </c>
      <c r="B2909" s="1" t="s">
        <v>15588</v>
      </c>
      <c r="C2909" s="11" t="s">
        <v>15589</v>
      </c>
      <c r="D2909" s="11" t="s">
        <v>15589</v>
      </c>
      <c r="E2909" s="11" t="s">
        <v>15590</v>
      </c>
      <c r="F2909" s="11" t="s">
        <v>15518</v>
      </c>
      <c r="G2909" s="11" t="s">
        <v>15534</v>
      </c>
      <c r="H2909" s="11" t="s">
        <v>15480</v>
      </c>
      <c r="I2909" s="11" t="str">
        <f>HYPERLINK("http://www.openclosedshoes.com/","www.openclosedshoes.com")</f>
        <v>www.openclosedshoes.com</v>
      </c>
      <c r="J2909" s="12">
        <v>1076.3040000000001</v>
      </c>
      <c r="K2909" s="12">
        <v>1076.3040000000001</v>
      </c>
      <c r="L2909" s="13">
        <v>1111.9829999999999</v>
      </c>
      <c r="M2909" s="12">
        <v>1.1639999999999999</v>
      </c>
      <c r="N2909" s="12">
        <v>1.1639999999999999</v>
      </c>
      <c r="O2909" s="12">
        <v>17.146000000000001</v>
      </c>
      <c r="P2909" s="12">
        <v>13</v>
      </c>
      <c r="Q2909" s="12">
        <v>13</v>
      </c>
      <c r="R2909" s="12">
        <v>12</v>
      </c>
    </row>
    <row r="2910" spans="1:18" ht="17" customHeight="1" x14ac:dyDescent="0.15">
      <c r="A2910" s="8" t="s">
        <v>15591</v>
      </c>
      <c r="B2910" s="9" t="s">
        <v>15592</v>
      </c>
      <c r="C2910" s="8" t="s">
        <v>15593</v>
      </c>
      <c r="D2910" s="8" t="s">
        <v>15593</v>
      </c>
      <c r="E2910" s="8" t="s">
        <v>15594</v>
      </c>
      <c r="F2910" s="8" t="s">
        <v>15490</v>
      </c>
      <c r="G2910" s="8" t="s">
        <v>15479</v>
      </c>
      <c r="H2910" s="8" t="s">
        <v>15480</v>
      </c>
      <c r="I2910" s="8" t="str">
        <f>HYPERLINK("http://www.dettaglisrl.it/","www.dettaglisrl.it")</f>
        <v>www.dettaglisrl.it</v>
      </c>
      <c r="J2910" s="10">
        <v>902.24300000000005</v>
      </c>
      <c r="K2910" s="10">
        <v>902.24300000000005</v>
      </c>
      <c r="L2910" s="10">
        <v>1111.702</v>
      </c>
      <c r="M2910" s="10">
        <v>-95.537000000000006</v>
      </c>
      <c r="N2910" s="10">
        <v>-95.537000000000006</v>
      </c>
      <c r="O2910" s="10">
        <v>5.1100000000000003</v>
      </c>
      <c r="P2910" s="15" t="s">
        <v>15435</v>
      </c>
      <c r="Q2910" s="15" t="s">
        <v>15435</v>
      </c>
      <c r="R2910" s="10">
        <v>11</v>
      </c>
    </row>
    <row r="2911" spans="1:18" ht="17" customHeight="1" x14ac:dyDescent="0.15">
      <c r="A2911" s="11" t="s">
        <v>15595</v>
      </c>
      <c r="B2911" s="1" t="s">
        <v>15596</v>
      </c>
      <c r="C2911" s="11" t="s">
        <v>15597</v>
      </c>
      <c r="D2911" s="11" t="s">
        <v>15597</v>
      </c>
      <c r="E2911" s="11" t="s">
        <v>15598</v>
      </c>
      <c r="F2911" s="11" t="s">
        <v>15478</v>
      </c>
      <c r="G2911" s="11" t="s">
        <v>15599</v>
      </c>
      <c r="H2911" s="11" t="s">
        <v>15501</v>
      </c>
      <c r="I2911" s="11" t="str">
        <f>HYPERLINK("http://davidsrl.com/","davidsrl.com")</f>
        <v>davidsrl.com</v>
      </c>
      <c r="J2911" s="12">
        <v>1367.825</v>
      </c>
      <c r="K2911" s="12">
        <v>1367.825</v>
      </c>
      <c r="L2911" s="13">
        <v>1111.6400000000001</v>
      </c>
      <c r="M2911" s="12">
        <v>36.664999999999999</v>
      </c>
      <c r="N2911" s="12">
        <v>36.664999999999999</v>
      </c>
      <c r="O2911" s="12">
        <v>70.506</v>
      </c>
      <c r="P2911" s="14" t="s">
        <v>15435</v>
      </c>
      <c r="Q2911" s="14" t="s">
        <v>15435</v>
      </c>
      <c r="R2911" s="12">
        <v>5</v>
      </c>
    </row>
    <row r="2912" spans="1:18" ht="17" customHeight="1" x14ac:dyDescent="0.15">
      <c r="A2912" s="8" t="s">
        <v>15600</v>
      </c>
      <c r="B2912" s="9" t="s">
        <v>15601</v>
      </c>
      <c r="C2912" s="8" t="s">
        <v>15602</v>
      </c>
      <c r="D2912" s="8" t="s">
        <v>15602</v>
      </c>
      <c r="E2912" s="8" t="s">
        <v>15603</v>
      </c>
      <c r="F2912" s="8" t="s">
        <v>15478</v>
      </c>
      <c r="G2912" s="8" t="s">
        <v>15604</v>
      </c>
      <c r="H2912" s="8" t="s">
        <v>15558</v>
      </c>
      <c r="I2912" s="8" t="str">
        <f>HYPERLINK("http://www.namenu.it/","www.namenu.it")</f>
        <v>www.namenu.it</v>
      </c>
      <c r="J2912" s="10">
        <v>1469.874</v>
      </c>
      <c r="K2912" s="10">
        <v>1469.874</v>
      </c>
      <c r="L2912" s="10">
        <v>1107.396</v>
      </c>
      <c r="M2912" s="10">
        <v>16.71</v>
      </c>
      <c r="N2912" s="10">
        <v>16.71</v>
      </c>
      <c r="O2912" s="10">
        <v>8.0530000000000008</v>
      </c>
      <c r="P2912" s="10">
        <v>21</v>
      </c>
      <c r="Q2912" s="10">
        <v>21</v>
      </c>
      <c r="R2912" s="10">
        <v>19</v>
      </c>
    </row>
    <row r="2913" spans="1:18" ht="17" customHeight="1" x14ac:dyDescent="0.15">
      <c r="A2913" s="11" t="s">
        <v>15605</v>
      </c>
      <c r="B2913" s="1" t="s">
        <v>15606</v>
      </c>
      <c r="C2913" s="11" t="s">
        <v>15607</v>
      </c>
      <c r="D2913" s="11" t="s">
        <v>15607</v>
      </c>
      <c r="E2913" s="11" t="s">
        <v>15608</v>
      </c>
      <c r="F2913" s="11" t="s">
        <v>15609</v>
      </c>
      <c r="G2913" s="11" t="s">
        <v>15610</v>
      </c>
      <c r="H2913" s="11" t="s">
        <v>15611</v>
      </c>
      <c r="I2913" s="11" t="str">
        <f>HYPERLINK("http://www.maxcom-leather.net/","www.maxcom-leather.net")</f>
        <v>www.maxcom-leather.net</v>
      </c>
      <c r="J2913" s="12">
        <v>1713.62</v>
      </c>
      <c r="K2913" s="12">
        <v>1713.62</v>
      </c>
      <c r="L2913" s="13">
        <v>1106.577</v>
      </c>
      <c r="M2913" s="12">
        <v>54.701000000000001</v>
      </c>
      <c r="N2913" s="12">
        <v>54.701000000000001</v>
      </c>
      <c r="O2913" s="12">
        <v>1.022</v>
      </c>
      <c r="P2913" s="12">
        <v>2</v>
      </c>
      <c r="Q2913" s="12">
        <v>2</v>
      </c>
      <c r="R2913" s="12">
        <v>2</v>
      </c>
    </row>
    <row r="2914" spans="1:18" ht="17" customHeight="1" x14ac:dyDescent="0.15">
      <c r="A2914" s="8" t="s">
        <v>15612</v>
      </c>
      <c r="B2914" s="9" t="s">
        <v>15613</v>
      </c>
      <c r="C2914" s="8" t="s">
        <v>15614</v>
      </c>
      <c r="D2914" s="8" t="s">
        <v>15614</v>
      </c>
      <c r="E2914" s="8" t="s">
        <v>15615</v>
      </c>
      <c r="F2914" s="8" t="s">
        <v>15616</v>
      </c>
      <c r="G2914" s="8" t="s">
        <v>15617</v>
      </c>
      <c r="H2914" s="8" t="s">
        <v>15618</v>
      </c>
      <c r="I2914" s="8" t="str">
        <f>HYPERLINK("http://www.simaniindustrie.it/","www.simaniindustrie.it")</f>
        <v>www.simaniindustrie.it</v>
      </c>
      <c r="J2914" s="10">
        <v>1006.489</v>
      </c>
      <c r="K2914" s="10">
        <v>1006.489</v>
      </c>
      <c r="L2914" s="10">
        <v>1104.354</v>
      </c>
      <c r="M2914" s="10">
        <v>68.33</v>
      </c>
      <c r="N2914" s="10">
        <v>68.33</v>
      </c>
      <c r="O2914" s="10">
        <v>85.995999999999995</v>
      </c>
      <c r="P2914" s="10">
        <v>13</v>
      </c>
      <c r="Q2914" s="10">
        <v>13</v>
      </c>
      <c r="R2914" s="10">
        <v>14</v>
      </c>
    </row>
    <row r="2915" spans="1:18" ht="29.5" customHeight="1" x14ac:dyDescent="0.15">
      <c r="A2915" s="11" t="s">
        <v>15619</v>
      </c>
      <c r="B2915" s="1" t="s">
        <v>15620</v>
      </c>
      <c r="C2915" s="11" t="s">
        <v>15621</v>
      </c>
      <c r="D2915" s="11" t="s">
        <v>15621</v>
      </c>
      <c r="E2915" s="11" t="s">
        <v>15622</v>
      </c>
      <c r="F2915" s="11" t="s">
        <v>15623</v>
      </c>
      <c r="G2915" s="11" t="s">
        <v>15624</v>
      </c>
      <c r="H2915" s="11" t="s">
        <v>15611</v>
      </c>
      <c r="I2915" s="11" t="str">
        <f>HYPERLINK("http://geoffreybsmall.net/","geoffreybsmall.net")</f>
        <v>geoffreybsmall.net</v>
      </c>
      <c r="J2915" s="12">
        <v>1317.7360000000001</v>
      </c>
      <c r="K2915" s="12">
        <v>1317.7360000000001</v>
      </c>
      <c r="L2915" s="13">
        <v>1103.9639999999999</v>
      </c>
      <c r="M2915" s="12">
        <v>13.179</v>
      </c>
      <c r="N2915" s="12">
        <v>13.179</v>
      </c>
      <c r="O2915" s="12">
        <v>20.03</v>
      </c>
      <c r="P2915" s="12">
        <v>21</v>
      </c>
      <c r="Q2915" s="12">
        <v>21</v>
      </c>
      <c r="R2915" s="12">
        <v>21</v>
      </c>
    </row>
    <row r="2916" spans="1:18" ht="17" customHeight="1" x14ac:dyDescent="0.15">
      <c r="A2916" s="8" t="s">
        <v>15625</v>
      </c>
      <c r="B2916" s="9" t="s">
        <v>15626</v>
      </c>
      <c r="C2916" s="8" t="s">
        <v>15627</v>
      </c>
      <c r="D2916" s="8" t="s">
        <v>15627</v>
      </c>
      <c r="E2916" s="8" t="s">
        <v>15628</v>
      </c>
      <c r="F2916" s="8" t="s">
        <v>15629</v>
      </c>
      <c r="G2916" s="8" t="s">
        <v>15630</v>
      </c>
      <c r="H2916" s="8" t="s">
        <v>15631</v>
      </c>
      <c r="I2916" s="8" t="str">
        <f>HYPERLINK("http://nicolinisilvana.com/","nicolinisilvana.com")</f>
        <v>nicolinisilvana.com</v>
      </c>
      <c r="J2916" s="10">
        <v>866.90599999999995</v>
      </c>
      <c r="K2916" s="10">
        <v>866.90599999999995</v>
      </c>
      <c r="L2916" s="10">
        <v>1103.9079999999999</v>
      </c>
      <c r="M2916" s="10">
        <v>-390.43</v>
      </c>
      <c r="N2916" s="10">
        <v>-390.43</v>
      </c>
      <c r="O2916" s="10">
        <v>-255.87200000000001</v>
      </c>
      <c r="P2916" s="10">
        <v>13</v>
      </c>
      <c r="Q2916" s="10">
        <v>13</v>
      </c>
      <c r="R2916" s="10">
        <v>16</v>
      </c>
    </row>
    <row r="2917" spans="1:18" ht="17" customHeight="1" x14ac:dyDescent="0.15">
      <c r="A2917" s="11" t="s">
        <v>15632</v>
      </c>
      <c r="B2917" s="1" t="s">
        <v>15633</v>
      </c>
      <c r="C2917" s="11" t="s">
        <v>15634</v>
      </c>
      <c r="D2917" s="11" t="s">
        <v>15634</v>
      </c>
      <c r="E2917" s="11" t="s">
        <v>15635</v>
      </c>
      <c r="F2917" s="11" t="s">
        <v>15636</v>
      </c>
      <c r="G2917" s="11" t="s">
        <v>15637</v>
      </c>
      <c r="H2917" s="11" t="s">
        <v>15638</v>
      </c>
      <c r="I2917" s="11" t="str">
        <f>HYPERLINK("http://www.victoriac.it/","www.victoriac.it")</f>
        <v>www.victoriac.it</v>
      </c>
      <c r="J2917" s="12">
        <v>816.79100000000005</v>
      </c>
      <c r="K2917" s="12">
        <v>816.79100000000005</v>
      </c>
      <c r="L2917" s="13">
        <v>1101.3820000000001</v>
      </c>
      <c r="M2917" s="12">
        <v>1.29</v>
      </c>
      <c r="N2917" s="12">
        <v>1.29</v>
      </c>
      <c r="O2917" s="12">
        <v>1.712</v>
      </c>
      <c r="P2917" s="12">
        <v>1</v>
      </c>
      <c r="Q2917" s="12">
        <v>1</v>
      </c>
      <c r="R2917" s="12">
        <v>3</v>
      </c>
    </row>
    <row r="2918" spans="1:18" ht="17" customHeight="1" x14ac:dyDescent="0.15">
      <c r="A2918" s="8" t="s">
        <v>15639</v>
      </c>
      <c r="B2918" s="9" t="s">
        <v>15640</v>
      </c>
      <c r="C2918" s="8" t="s">
        <v>15641</v>
      </c>
      <c r="D2918" s="8" t="s">
        <v>15641</v>
      </c>
      <c r="E2918" s="8" t="s">
        <v>15642</v>
      </c>
      <c r="F2918" s="8" t="s">
        <v>15629</v>
      </c>
      <c r="G2918" s="8" t="s">
        <v>15643</v>
      </c>
      <c r="H2918" s="8" t="s">
        <v>15644</v>
      </c>
      <c r="I2918" s="8" t="str">
        <f>HYPERLINK("http://www.wirehandmade.it/","www.wirehandmade.it")</f>
        <v>www.wirehandmade.it</v>
      </c>
      <c r="J2918" s="10">
        <v>1388.0640000000001</v>
      </c>
      <c r="K2918" s="10">
        <v>1388.0640000000001</v>
      </c>
      <c r="L2918" s="10">
        <v>1099.4110000000001</v>
      </c>
      <c r="M2918" s="10">
        <v>3.2759999999999998</v>
      </c>
      <c r="N2918" s="10">
        <v>3.2759999999999998</v>
      </c>
      <c r="O2918" s="10">
        <v>0.46600000000000003</v>
      </c>
      <c r="P2918" s="10">
        <v>16</v>
      </c>
      <c r="Q2918" s="10">
        <v>16</v>
      </c>
      <c r="R2918" s="10">
        <v>15</v>
      </c>
    </row>
    <row r="2919" spans="1:18" ht="17" customHeight="1" x14ac:dyDescent="0.15">
      <c r="A2919" s="11" t="s">
        <v>15645</v>
      </c>
      <c r="B2919" s="1" t="s">
        <v>15646</v>
      </c>
      <c r="C2919" s="11" t="s">
        <v>15647</v>
      </c>
      <c r="D2919" s="11" t="s">
        <v>15647</v>
      </c>
      <c r="E2919" s="11" t="s">
        <v>15648</v>
      </c>
      <c r="F2919" s="11" t="s">
        <v>15649</v>
      </c>
      <c r="G2919" s="11" t="s">
        <v>15650</v>
      </c>
      <c r="H2919" s="11" t="s">
        <v>15618</v>
      </c>
      <c r="I2919" s="11" t="str">
        <f>HYPERLINK("http://westernbull.com/","westernbull.com")</f>
        <v>westernbull.com</v>
      </c>
      <c r="J2919" s="12">
        <v>1209.6949999999999</v>
      </c>
      <c r="K2919" s="12">
        <v>1209.6949999999999</v>
      </c>
      <c r="L2919" s="13">
        <v>1099.085</v>
      </c>
      <c r="M2919" s="12">
        <v>88.558000000000007</v>
      </c>
      <c r="N2919" s="12">
        <v>88.558000000000007</v>
      </c>
      <c r="O2919" s="12">
        <v>117.051</v>
      </c>
      <c r="P2919" s="14" t="s">
        <v>15651</v>
      </c>
      <c r="Q2919" s="14" t="s">
        <v>15651</v>
      </c>
      <c r="R2919" s="12">
        <v>9</v>
      </c>
    </row>
    <row r="2920" spans="1:18" ht="17" customHeight="1" x14ac:dyDescent="0.15">
      <c r="A2920" s="8" t="s">
        <v>15652</v>
      </c>
      <c r="B2920" s="9" t="s">
        <v>15653</v>
      </c>
      <c r="C2920" s="8" t="s">
        <v>15654</v>
      </c>
      <c r="D2920" s="8" t="s">
        <v>15654</v>
      </c>
      <c r="E2920" s="8" t="s">
        <v>15655</v>
      </c>
      <c r="F2920" s="8" t="s">
        <v>15636</v>
      </c>
      <c r="G2920" s="8" t="s">
        <v>15656</v>
      </c>
      <c r="H2920" s="8" t="s">
        <v>15657</v>
      </c>
      <c r="I2920" s="8" t="str">
        <f>HYPERLINK("http://www.jollymanifatture.it/","www.jollymanifatture.it")</f>
        <v>www.jollymanifatture.it</v>
      </c>
      <c r="J2920" s="10">
        <v>1138.4179999999999</v>
      </c>
      <c r="K2920" s="10">
        <v>1138.4179999999999</v>
      </c>
      <c r="L2920" s="10">
        <v>1098.1110000000001</v>
      </c>
      <c r="M2920" s="10">
        <v>257.01100000000002</v>
      </c>
      <c r="N2920" s="10">
        <v>257.01100000000002</v>
      </c>
      <c r="O2920" s="10">
        <v>278.846</v>
      </c>
      <c r="P2920" s="10">
        <v>16</v>
      </c>
      <c r="Q2920" s="10">
        <v>16</v>
      </c>
      <c r="R2920" s="10">
        <v>17</v>
      </c>
    </row>
    <row r="2921" spans="1:18" ht="29.5" customHeight="1" x14ac:dyDescent="0.15">
      <c r="A2921" s="11" t="s">
        <v>15658</v>
      </c>
      <c r="B2921" s="1" t="s">
        <v>15659</v>
      </c>
      <c r="C2921" s="11" t="s">
        <v>15660</v>
      </c>
      <c r="D2921" s="11" t="s">
        <v>15660</v>
      </c>
      <c r="E2921" s="11" t="s">
        <v>15661</v>
      </c>
      <c r="F2921" s="11" t="s">
        <v>15662</v>
      </c>
      <c r="G2921" s="11" t="s">
        <v>15663</v>
      </c>
      <c r="H2921" s="11" t="s">
        <v>15644</v>
      </c>
      <c r="I2921" s="11" t="str">
        <f>HYPERLINK("http://www.maliziosa.net/","www.maliziosa.net")</f>
        <v>www.maliziosa.net</v>
      </c>
      <c r="J2921" s="12">
        <v>1270.4490000000001</v>
      </c>
      <c r="K2921" s="12">
        <v>1270.4490000000001</v>
      </c>
      <c r="L2921" s="13">
        <v>1097.4860000000001</v>
      </c>
      <c r="M2921" s="12">
        <v>35.146999999999998</v>
      </c>
      <c r="N2921" s="12">
        <v>35.146999999999998</v>
      </c>
      <c r="O2921" s="12">
        <v>-1.8680000000000001</v>
      </c>
      <c r="P2921" s="12">
        <v>16</v>
      </c>
      <c r="Q2921" s="12">
        <v>16</v>
      </c>
      <c r="R2921" s="12">
        <v>19</v>
      </c>
    </row>
    <row r="2922" spans="1:18" ht="17" customHeight="1" x14ac:dyDescent="0.15">
      <c r="A2922" s="8" t="s">
        <v>15664</v>
      </c>
      <c r="B2922" s="9" t="s">
        <v>15665</v>
      </c>
      <c r="C2922" s="8" t="s">
        <v>15666</v>
      </c>
      <c r="D2922" s="8" t="s">
        <v>15666</v>
      </c>
      <c r="E2922" s="8" t="s">
        <v>15667</v>
      </c>
      <c r="F2922" s="8" t="s">
        <v>15668</v>
      </c>
      <c r="G2922" s="8" t="s">
        <v>15637</v>
      </c>
      <c r="H2922" s="8" t="s">
        <v>15638</v>
      </c>
      <c r="I2922" s="8" t="str">
        <f>HYPERLINK("http://beltramipelletteria.it/","beltramipelletteria.it")</f>
        <v>beltramipelletteria.it</v>
      </c>
      <c r="J2922" s="10">
        <v>736.95500000000004</v>
      </c>
      <c r="K2922" s="10">
        <v>736.95500000000004</v>
      </c>
      <c r="L2922" s="10">
        <v>1097.5260000000001</v>
      </c>
      <c r="M2922" s="10">
        <v>-271.60599999999999</v>
      </c>
      <c r="N2922" s="10">
        <v>-271.60599999999999</v>
      </c>
      <c r="O2922" s="10">
        <v>10.369</v>
      </c>
      <c r="P2922" s="15" t="s">
        <v>15651</v>
      </c>
      <c r="Q2922" s="15" t="s">
        <v>15651</v>
      </c>
      <c r="R2922" s="10">
        <v>17</v>
      </c>
    </row>
    <row r="2923" spans="1:18" ht="17" customHeight="1" x14ac:dyDescent="0.15">
      <c r="A2923" s="11" t="s">
        <v>15669</v>
      </c>
      <c r="B2923" s="1" t="s">
        <v>15670</v>
      </c>
      <c r="C2923" s="11" t="s">
        <v>15671</v>
      </c>
      <c r="D2923" s="11" t="s">
        <v>15671</v>
      </c>
      <c r="E2923" s="11" t="s">
        <v>15672</v>
      </c>
      <c r="F2923" s="11" t="s">
        <v>15649</v>
      </c>
      <c r="G2923" s="11" t="s">
        <v>15673</v>
      </c>
      <c r="H2923" s="11" t="s">
        <v>15618</v>
      </c>
      <c r="I2923" s="11" t="str">
        <f>HYPERLINK("http://www.corium-creazioni.it/","www.corium-creazioni.it")</f>
        <v>www.corium-creazioni.it</v>
      </c>
      <c r="J2923" s="12">
        <v>1059.6120000000001</v>
      </c>
      <c r="K2923" s="12">
        <v>1059.6120000000001</v>
      </c>
      <c r="L2923" s="13">
        <v>1097.087</v>
      </c>
      <c r="M2923" s="12">
        <v>20.850999999999999</v>
      </c>
      <c r="N2923" s="12">
        <v>20.850999999999999</v>
      </c>
      <c r="O2923" s="12">
        <v>23.128</v>
      </c>
      <c r="P2923" s="14" t="s">
        <v>15651</v>
      </c>
      <c r="Q2923" s="14" t="s">
        <v>15651</v>
      </c>
      <c r="R2923" s="12">
        <v>9</v>
      </c>
    </row>
    <row r="2924" spans="1:18" ht="17" customHeight="1" x14ac:dyDescent="0.15">
      <c r="A2924" s="8" t="s">
        <v>15674</v>
      </c>
      <c r="B2924" s="9" t="s">
        <v>15675</v>
      </c>
      <c r="C2924" s="8" t="s">
        <v>15676</v>
      </c>
      <c r="D2924" s="8" t="s">
        <v>15676</v>
      </c>
      <c r="E2924" s="8" t="s">
        <v>15677</v>
      </c>
      <c r="F2924" s="8" t="s">
        <v>15678</v>
      </c>
      <c r="G2924" s="8" t="s">
        <v>15679</v>
      </c>
      <c r="H2924" s="8" t="s">
        <v>15680</v>
      </c>
      <c r="I2924" s="8" t="str">
        <f>HYPERLINK("http://www.magiconf.com/","www.magiconf.com")</f>
        <v>www.magiconf.com</v>
      </c>
      <c r="J2924" s="10">
        <v>1214.075</v>
      </c>
      <c r="K2924" s="10">
        <v>1214.075</v>
      </c>
      <c r="L2924" s="10">
        <v>1096.4770000000001</v>
      </c>
      <c r="M2924" s="10">
        <v>16.689</v>
      </c>
      <c r="N2924" s="10">
        <v>16.689</v>
      </c>
      <c r="O2924" s="10">
        <v>11.885999999999999</v>
      </c>
      <c r="P2924" s="10">
        <v>0</v>
      </c>
      <c r="Q2924" s="10">
        <v>0</v>
      </c>
      <c r="R2924" s="10">
        <v>0</v>
      </c>
    </row>
    <row r="2925" spans="1:18" ht="17" customHeight="1" x14ac:dyDescent="0.15">
      <c r="A2925" s="11" t="s">
        <v>15681</v>
      </c>
      <c r="B2925" s="1" t="s">
        <v>15682</v>
      </c>
      <c r="C2925" s="11" t="s">
        <v>15683</v>
      </c>
      <c r="D2925" s="11" t="s">
        <v>15683</v>
      </c>
      <c r="E2925" s="11" t="s">
        <v>15684</v>
      </c>
      <c r="F2925" s="11" t="s">
        <v>15678</v>
      </c>
      <c r="G2925" s="11" t="s">
        <v>15685</v>
      </c>
      <c r="H2925" s="11" t="s">
        <v>15631</v>
      </c>
      <c r="I2925" s="11" t="str">
        <f>HYPERLINK("http://en.plena.it/","en.plena.it")</f>
        <v>en.plena.it</v>
      </c>
      <c r="J2925" s="12">
        <v>1223.0250000000001</v>
      </c>
      <c r="K2925" s="12">
        <v>1223.0250000000001</v>
      </c>
      <c r="L2925" s="13">
        <v>1095.9690000000001</v>
      </c>
      <c r="M2925" s="12">
        <v>-60.585000000000001</v>
      </c>
      <c r="N2925" s="12">
        <v>-60.585000000000001</v>
      </c>
      <c r="O2925" s="12">
        <v>38.716999999999999</v>
      </c>
      <c r="P2925" s="12">
        <v>12</v>
      </c>
      <c r="Q2925" s="12">
        <v>12</v>
      </c>
      <c r="R2925" s="12">
        <v>11</v>
      </c>
    </row>
    <row r="2926" spans="1:18" ht="17" customHeight="1" x14ac:dyDescent="0.15">
      <c r="A2926" s="8" t="s">
        <v>15686</v>
      </c>
      <c r="B2926" s="9" t="s">
        <v>15687</v>
      </c>
      <c r="C2926" s="8" t="s">
        <v>15688</v>
      </c>
      <c r="D2926" s="8" t="s">
        <v>15688</v>
      </c>
      <c r="E2926" s="8" t="s">
        <v>15689</v>
      </c>
      <c r="F2926" s="8" t="s">
        <v>15690</v>
      </c>
      <c r="G2926" s="8" t="s">
        <v>15685</v>
      </c>
      <c r="H2926" s="8" t="s">
        <v>15631</v>
      </c>
      <c r="I2926" s="8" t="str">
        <f>HYPERLINK("http://www.malvi.net/","www.malvi.net")</f>
        <v>www.malvi.net</v>
      </c>
      <c r="J2926" s="10">
        <v>1037.367</v>
      </c>
      <c r="K2926" s="10">
        <v>1037.367</v>
      </c>
      <c r="L2926" s="10">
        <v>1095.5640000000001</v>
      </c>
      <c r="M2926" s="10">
        <v>7.8470000000000004</v>
      </c>
      <c r="N2926" s="10">
        <v>7.8470000000000004</v>
      </c>
      <c r="O2926" s="10">
        <v>5.2089999999999996</v>
      </c>
      <c r="P2926" s="10">
        <v>4</v>
      </c>
      <c r="Q2926" s="10">
        <v>4</v>
      </c>
      <c r="R2926" s="10">
        <v>6</v>
      </c>
    </row>
    <row r="2927" spans="1:18" ht="29.5" customHeight="1" x14ac:dyDescent="0.15">
      <c r="A2927" s="11" t="s">
        <v>15691</v>
      </c>
      <c r="B2927" s="1" t="s">
        <v>15692</v>
      </c>
      <c r="C2927" s="11" t="s">
        <v>15693</v>
      </c>
      <c r="D2927" s="11" t="s">
        <v>15693</v>
      </c>
      <c r="E2927" s="11" t="s">
        <v>15694</v>
      </c>
      <c r="F2927" s="11" t="s">
        <v>15662</v>
      </c>
      <c r="G2927" s="11" t="s">
        <v>15624</v>
      </c>
      <c r="H2927" s="11" t="s">
        <v>15611</v>
      </c>
      <c r="I2927" s="11" t="str">
        <f>HYPERLINK("http://eternigroup.it/","eternigroup.it")</f>
        <v>eternigroup.it</v>
      </c>
      <c r="J2927" s="12">
        <v>1856.1489999999999</v>
      </c>
      <c r="K2927" s="12">
        <v>1856.1489999999999</v>
      </c>
      <c r="L2927" s="13">
        <v>1094.366</v>
      </c>
      <c r="M2927" s="12">
        <v>74.004000000000005</v>
      </c>
      <c r="N2927" s="12">
        <v>74.004000000000005</v>
      </c>
      <c r="O2927" s="12">
        <v>34.244999999999997</v>
      </c>
      <c r="P2927" s="14" t="s">
        <v>15651</v>
      </c>
      <c r="Q2927" s="14" t="s">
        <v>15651</v>
      </c>
      <c r="R2927" s="12">
        <v>15</v>
      </c>
    </row>
    <row r="2928" spans="1:18" ht="17" customHeight="1" x14ac:dyDescent="0.15">
      <c r="A2928" s="8" t="s">
        <v>15695</v>
      </c>
      <c r="B2928" s="9" t="s">
        <v>15696</v>
      </c>
      <c r="C2928" s="8" t="s">
        <v>15697</v>
      </c>
      <c r="D2928" s="8" t="s">
        <v>15697</v>
      </c>
      <c r="E2928" s="8" t="s">
        <v>15698</v>
      </c>
      <c r="F2928" s="8" t="s">
        <v>15678</v>
      </c>
      <c r="G2928" s="8" t="s">
        <v>15699</v>
      </c>
      <c r="H2928" s="8" t="s">
        <v>15700</v>
      </c>
      <c r="I2928" s="8" t="str">
        <f>HYPERLINK("http://www.marilumoda.com/","www.marilumoda.com")</f>
        <v>www.marilumoda.com</v>
      </c>
      <c r="J2928" s="10">
        <v>1380.4380000000001</v>
      </c>
      <c r="K2928" s="10">
        <v>1380.4380000000001</v>
      </c>
      <c r="L2928" s="10">
        <v>1093.423</v>
      </c>
      <c r="M2928" s="10">
        <v>109.417</v>
      </c>
      <c r="N2928" s="10">
        <v>109.417</v>
      </c>
      <c r="O2928" s="10">
        <v>62.131999999999998</v>
      </c>
      <c r="P2928" s="10">
        <v>12</v>
      </c>
      <c r="Q2928" s="10">
        <v>12</v>
      </c>
      <c r="R2928" s="10">
        <v>18</v>
      </c>
    </row>
    <row r="2929" spans="1:18" ht="43" customHeight="1" x14ac:dyDescent="0.15">
      <c r="A2929" s="11" t="s">
        <v>15701</v>
      </c>
      <c r="B2929" s="1" t="s">
        <v>15702</v>
      </c>
      <c r="C2929" s="11" t="s">
        <v>15703</v>
      </c>
      <c r="D2929" s="11" t="s">
        <v>15704</v>
      </c>
      <c r="E2929" s="11" t="s">
        <v>15705</v>
      </c>
      <c r="F2929" s="11" t="s">
        <v>15629</v>
      </c>
      <c r="G2929" s="11" t="s">
        <v>15706</v>
      </c>
      <c r="H2929" s="11" t="s">
        <v>15707</v>
      </c>
      <c r="I2929" s="11" t="str">
        <f>HYPERLINK("http://www.laboratoriopieroni.it/","www.laboratoriopieroni.it")</f>
        <v>www.laboratoriopieroni.it</v>
      </c>
      <c r="J2929" s="12">
        <v>962.09799999999996</v>
      </c>
      <c r="K2929" s="12">
        <v>962.09799999999996</v>
      </c>
      <c r="L2929" s="13">
        <v>1091.9860000000001</v>
      </c>
      <c r="M2929" s="12">
        <v>60.914999999999999</v>
      </c>
      <c r="N2929" s="12">
        <v>60.914999999999999</v>
      </c>
      <c r="O2929" s="12">
        <v>170.89</v>
      </c>
      <c r="P2929" s="12">
        <v>21</v>
      </c>
      <c r="Q2929" s="12">
        <v>21</v>
      </c>
      <c r="R2929" s="12">
        <v>10</v>
      </c>
    </row>
    <row r="2930" spans="1:18" ht="17" customHeight="1" x14ac:dyDescent="0.15">
      <c r="A2930" s="8" t="s">
        <v>15708</v>
      </c>
      <c r="B2930" s="9" t="s">
        <v>15709</v>
      </c>
      <c r="C2930" s="8" t="s">
        <v>15710</v>
      </c>
      <c r="D2930" s="8" t="s">
        <v>15710</v>
      </c>
      <c r="E2930" s="8" t="s">
        <v>15711</v>
      </c>
      <c r="F2930" s="8" t="s">
        <v>15712</v>
      </c>
      <c r="G2930" s="8" t="s">
        <v>15637</v>
      </c>
      <c r="H2930" s="8" t="s">
        <v>15638</v>
      </c>
      <c r="I2930" s="8" t="str">
        <f>HYPERLINK("http://www.dennyrose.it/","www.dennyrose.it")</f>
        <v>www.dennyrose.it</v>
      </c>
      <c r="J2930" s="10">
        <v>761.73599999999999</v>
      </c>
      <c r="K2930" s="10">
        <v>761.73599999999999</v>
      </c>
      <c r="L2930" s="10">
        <v>1091.999</v>
      </c>
      <c r="M2930" s="10">
        <v>-202.60900000000001</v>
      </c>
      <c r="N2930" s="10">
        <v>-202.60900000000001</v>
      </c>
      <c r="O2930" s="10">
        <v>-608.48099999999999</v>
      </c>
      <c r="P2930" s="10">
        <v>8</v>
      </c>
      <c r="Q2930" s="10">
        <v>8</v>
      </c>
      <c r="R2930" s="10">
        <v>7</v>
      </c>
    </row>
    <row r="2931" spans="1:18" ht="17" customHeight="1" x14ac:dyDescent="0.15">
      <c r="A2931" s="11" t="s">
        <v>15713</v>
      </c>
      <c r="B2931" s="1" t="s">
        <v>15714</v>
      </c>
      <c r="C2931" s="11" t="s">
        <v>15715</v>
      </c>
      <c r="D2931" s="11" t="s">
        <v>15715</v>
      </c>
      <c r="E2931" s="11" t="s">
        <v>15716</v>
      </c>
      <c r="F2931" s="11" t="s">
        <v>15636</v>
      </c>
      <c r="G2931" s="11" t="s">
        <v>15624</v>
      </c>
      <c r="H2931" s="11" t="s">
        <v>15611</v>
      </c>
      <c r="I2931" s="11" t="str">
        <f>HYPERLINK("http://www.sculturemodadonna.it/","www.sculturemodadonna.it")</f>
        <v>www.sculturemodadonna.it</v>
      </c>
      <c r="J2931" s="12">
        <v>1285.184</v>
      </c>
      <c r="K2931" s="12">
        <v>1285.184</v>
      </c>
      <c r="L2931" s="13">
        <v>1091.857</v>
      </c>
      <c r="M2931" s="12">
        <v>20.234999999999999</v>
      </c>
      <c r="N2931" s="12">
        <v>20.234999999999999</v>
      </c>
      <c r="O2931" s="12">
        <v>6.0609999999999999</v>
      </c>
      <c r="P2931" s="14" t="s">
        <v>15651</v>
      </c>
      <c r="Q2931" s="14" t="s">
        <v>15651</v>
      </c>
      <c r="R2931" s="12">
        <v>1</v>
      </c>
    </row>
    <row r="2932" spans="1:18" ht="17" customHeight="1" x14ac:dyDescent="0.15">
      <c r="A2932" s="8" t="s">
        <v>15717</v>
      </c>
      <c r="B2932" s="9" t="s">
        <v>15718</v>
      </c>
      <c r="C2932" s="8" t="s">
        <v>15719</v>
      </c>
      <c r="D2932" s="8" t="s">
        <v>15719</v>
      </c>
      <c r="E2932" s="8" t="s">
        <v>15720</v>
      </c>
      <c r="F2932" s="8" t="s">
        <v>15662</v>
      </c>
      <c r="G2932" s="8" t="s">
        <v>15721</v>
      </c>
      <c r="H2932" s="8" t="s">
        <v>15700</v>
      </c>
      <c r="I2932" s="8" t="str">
        <f>HYPERLINK("http://www.ebegroup.it/","www.ebegroup.it")</f>
        <v>www.ebegroup.it</v>
      </c>
      <c r="J2932" s="10">
        <v>433.84399999999999</v>
      </c>
      <c r="K2932" s="10">
        <v>433.84399999999999</v>
      </c>
      <c r="L2932" s="10">
        <v>1090.9290000000001</v>
      </c>
      <c r="M2932" s="10">
        <v>7.7009999999999996</v>
      </c>
      <c r="N2932" s="10">
        <v>7.7009999999999996</v>
      </c>
      <c r="O2932" s="10">
        <v>-2.972</v>
      </c>
      <c r="P2932" s="15" t="s">
        <v>15651</v>
      </c>
      <c r="Q2932" s="15" t="s">
        <v>15651</v>
      </c>
      <c r="R2932" s="10">
        <v>3</v>
      </c>
    </row>
    <row r="2933" spans="1:18" ht="17" customHeight="1" x14ac:dyDescent="0.15">
      <c r="A2933" s="11" t="s">
        <v>15722</v>
      </c>
      <c r="B2933" s="1" t="s">
        <v>15723</v>
      </c>
      <c r="C2933" s="11" t="s">
        <v>15724</v>
      </c>
      <c r="D2933" s="11" t="s">
        <v>15724</v>
      </c>
      <c r="E2933" s="11" t="s">
        <v>15725</v>
      </c>
      <c r="F2933" s="11" t="s">
        <v>15678</v>
      </c>
      <c r="G2933" s="11" t="s">
        <v>15726</v>
      </c>
      <c r="H2933" s="11" t="s">
        <v>15727</v>
      </c>
      <c r="I2933" s="11" t="str">
        <f>HYPERLINK("http://www.scmfashion.com/","www.scmfashion.com")</f>
        <v>www.scmfashion.com</v>
      </c>
      <c r="J2933" s="12">
        <v>2346.6309999999999</v>
      </c>
      <c r="K2933" s="12">
        <v>2346.6309999999999</v>
      </c>
      <c r="L2933" s="13">
        <v>1090.0609999999999</v>
      </c>
      <c r="M2933" s="12">
        <v>210.60599999999999</v>
      </c>
      <c r="N2933" s="12">
        <v>210.60599999999999</v>
      </c>
      <c r="O2933" s="12">
        <v>292.01600000000002</v>
      </c>
      <c r="P2933" s="14" t="s">
        <v>15651</v>
      </c>
      <c r="Q2933" s="14" t="s">
        <v>15651</v>
      </c>
      <c r="R2933" s="12">
        <v>53</v>
      </c>
    </row>
    <row r="2934" spans="1:18" ht="29.5" customHeight="1" x14ac:dyDescent="0.15">
      <c r="A2934" s="8" t="s">
        <v>15728</v>
      </c>
      <c r="B2934" s="9" t="s">
        <v>15729</v>
      </c>
      <c r="C2934" s="8" t="s">
        <v>15730</v>
      </c>
      <c r="D2934" s="8" t="s">
        <v>15730</v>
      </c>
      <c r="E2934" s="8" t="s">
        <v>15731</v>
      </c>
      <c r="F2934" s="8" t="s">
        <v>15662</v>
      </c>
      <c r="G2934" s="8" t="s">
        <v>15650</v>
      </c>
      <c r="H2934" s="8" t="s">
        <v>15618</v>
      </c>
      <c r="I2934" s="8" t="str">
        <f>HYPERLINK("http://calzaturificiopegaso.it/","calzaturificiopegaso.it")</f>
        <v>calzaturificiopegaso.it</v>
      </c>
      <c r="J2934" s="10">
        <v>1378.1849999999999</v>
      </c>
      <c r="K2934" s="10">
        <v>1378.1849999999999</v>
      </c>
      <c r="L2934" s="10">
        <v>1090</v>
      </c>
      <c r="M2934" s="10">
        <v>6.508</v>
      </c>
      <c r="N2934" s="10">
        <v>6.508</v>
      </c>
      <c r="O2934" s="10">
        <v>6.2709999999999999</v>
      </c>
      <c r="P2934" s="10">
        <v>23</v>
      </c>
      <c r="Q2934" s="10">
        <v>23</v>
      </c>
      <c r="R2934" s="10">
        <v>24</v>
      </c>
    </row>
    <row r="2935" spans="1:18" ht="17" customHeight="1" x14ac:dyDescent="0.15">
      <c r="A2935" s="11" t="s">
        <v>15732</v>
      </c>
      <c r="B2935" s="1" t="s">
        <v>15733</v>
      </c>
      <c r="C2935" s="11" t="s">
        <v>15734</v>
      </c>
      <c r="D2935" s="11" t="s">
        <v>15734</v>
      </c>
      <c r="E2935" s="11" t="s">
        <v>15735</v>
      </c>
      <c r="F2935" s="11" t="s">
        <v>15736</v>
      </c>
      <c r="G2935" s="11" t="s">
        <v>15737</v>
      </c>
      <c r="H2935" s="11" t="s">
        <v>15644</v>
      </c>
      <c r="I2935" s="11" t="str">
        <f>HYPERLINK("http://www.arpecitalia.com/","www.arpecitalia.com")</f>
        <v>www.arpecitalia.com</v>
      </c>
      <c r="J2935" s="12">
        <v>1286.729</v>
      </c>
      <c r="K2935" s="12">
        <v>1286.729</v>
      </c>
      <c r="L2935" s="13">
        <v>1089.45</v>
      </c>
      <c r="M2935" s="12">
        <v>209.005</v>
      </c>
      <c r="N2935" s="12">
        <v>209.005</v>
      </c>
      <c r="O2935" s="12">
        <v>173.077</v>
      </c>
      <c r="P2935" s="14" t="s">
        <v>15651</v>
      </c>
      <c r="Q2935" s="14" t="s">
        <v>15651</v>
      </c>
      <c r="R2935" s="12">
        <v>3</v>
      </c>
    </row>
    <row r="2936" spans="1:18" ht="17" customHeight="1" x14ac:dyDescent="0.15">
      <c r="A2936" s="8" t="s">
        <v>15738</v>
      </c>
      <c r="B2936" s="9" t="s">
        <v>15739</v>
      </c>
      <c r="C2936" s="8" t="s">
        <v>15740</v>
      </c>
      <c r="D2936" s="8" t="s">
        <v>15740</v>
      </c>
      <c r="E2936" s="8" t="s">
        <v>15741</v>
      </c>
      <c r="F2936" s="8" t="s">
        <v>15690</v>
      </c>
      <c r="G2936" s="8" t="s">
        <v>15742</v>
      </c>
      <c r="H2936" s="8" t="s">
        <v>15631</v>
      </c>
      <c r="I2936" s="8" t="str">
        <f>HYPERLINK("http://www.mellos.it/","www.mellos.it")</f>
        <v>www.mellos.it</v>
      </c>
      <c r="J2936" s="10">
        <v>782.904</v>
      </c>
      <c r="K2936" s="10">
        <v>782.904</v>
      </c>
      <c r="L2936" s="10">
        <v>1089.319</v>
      </c>
      <c r="M2936" s="10">
        <v>-13.542</v>
      </c>
      <c r="N2936" s="10">
        <v>-13.542</v>
      </c>
      <c r="O2936" s="10">
        <v>-1.958</v>
      </c>
      <c r="P2936" s="10">
        <v>5</v>
      </c>
      <c r="Q2936" s="10">
        <v>5</v>
      </c>
      <c r="R2936" s="10">
        <v>6</v>
      </c>
    </row>
    <row r="2937" spans="1:18" ht="17" customHeight="1" x14ac:dyDescent="0.15">
      <c r="A2937" s="11" t="s">
        <v>15743</v>
      </c>
      <c r="B2937" s="1" t="s">
        <v>15744</v>
      </c>
      <c r="C2937" s="11" t="s">
        <v>15745</v>
      </c>
      <c r="D2937" s="11" t="s">
        <v>15745</v>
      </c>
      <c r="E2937" s="11" t="s">
        <v>15746</v>
      </c>
      <c r="F2937" s="11" t="s">
        <v>15678</v>
      </c>
      <c r="G2937" s="11" t="s">
        <v>15747</v>
      </c>
      <c r="H2937" s="11" t="s">
        <v>15631</v>
      </c>
      <c r="I2937" s="11" t="str">
        <f>HYPERLINK("http://www.ricamificioa3.it/","www.ricamificioa3.it")</f>
        <v>www.ricamificioa3.it</v>
      </c>
      <c r="J2937" s="12">
        <v>1167.0129999999999</v>
      </c>
      <c r="K2937" s="12">
        <v>1167.0129999999999</v>
      </c>
      <c r="L2937" s="13">
        <v>1088.28</v>
      </c>
      <c r="M2937" s="12">
        <v>291.79899999999998</v>
      </c>
      <c r="N2937" s="12">
        <v>291.79899999999998</v>
      </c>
      <c r="O2937" s="12">
        <v>190.99199999999999</v>
      </c>
      <c r="P2937" s="12">
        <v>10</v>
      </c>
      <c r="Q2937" s="12">
        <v>10</v>
      </c>
      <c r="R2937" s="12">
        <v>10</v>
      </c>
    </row>
    <row r="2938" spans="1:18" ht="17" customHeight="1" x14ac:dyDescent="0.15">
      <c r="A2938" s="8" t="s">
        <v>15748</v>
      </c>
      <c r="B2938" s="9" t="s">
        <v>15749</v>
      </c>
      <c r="C2938" s="8" t="s">
        <v>15750</v>
      </c>
      <c r="D2938" s="8" t="s">
        <v>15750</v>
      </c>
      <c r="E2938" s="8" t="s">
        <v>15751</v>
      </c>
      <c r="F2938" s="8" t="s">
        <v>15752</v>
      </c>
      <c r="G2938" s="8" t="s">
        <v>15753</v>
      </c>
      <c r="H2938" s="8" t="s">
        <v>15727</v>
      </c>
      <c r="I2938" s="8" t="str">
        <f>HYPERLINK("http://www.emanuelecurci.it/","www.emanuelecurci.it")</f>
        <v>www.emanuelecurci.it</v>
      </c>
      <c r="J2938" s="10">
        <v>853.50699999999995</v>
      </c>
      <c r="K2938" s="10">
        <v>853.50699999999995</v>
      </c>
      <c r="L2938" s="10">
        <v>1087.6379999999999</v>
      </c>
      <c r="M2938" s="10">
        <v>156.785</v>
      </c>
      <c r="N2938" s="10">
        <v>156.785</v>
      </c>
      <c r="O2938" s="10">
        <v>218.072</v>
      </c>
      <c r="P2938" s="15" t="s">
        <v>15651</v>
      </c>
      <c r="Q2938" s="15" t="s">
        <v>15651</v>
      </c>
      <c r="R2938" s="10">
        <v>3</v>
      </c>
    </row>
    <row r="2939" spans="1:18" ht="17" customHeight="1" x14ac:dyDescent="0.15">
      <c r="A2939" s="11" t="s">
        <v>15754</v>
      </c>
      <c r="B2939" s="1" t="s">
        <v>15755</v>
      </c>
      <c r="C2939" s="11" t="s">
        <v>15756</v>
      </c>
      <c r="D2939" s="11" t="s">
        <v>15757</v>
      </c>
      <c r="E2939" s="11" t="s">
        <v>15758</v>
      </c>
      <c r="F2939" s="11" t="s">
        <v>15759</v>
      </c>
      <c r="G2939" s="11" t="s">
        <v>15685</v>
      </c>
      <c r="H2939" s="11" t="s">
        <v>15631</v>
      </c>
      <c r="I2939" s="11" t="str">
        <f>HYPERLINK("http://sozzimilano.com/","sozzimilano.com")</f>
        <v>sozzimilano.com</v>
      </c>
      <c r="J2939" s="12">
        <v>1872.279</v>
      </c>
      <c r="K2939" s="12">
        <v>1872.279</v>
      </c>
      <c r="L2939" s="13">
        <v>1087.481</v>
      </c>
      <c r="M2939" s="12">
        <v>78.843999999999994</v>
      </c>
      <c r="N2939" s="12">
        <v>78.843999999999994</v>
      </c>
      <c r="O2939" s="12">
        <v>6.1849999999999996</v>
      </c>
      <c r="P2939" s="12">
        <v>7</v>
      </c>
      <c r="Q2939" s="12">
        <v>7</v>
      </c>
      <c r="R2939" s="12">
        <v>7</v>
      </c>
    </row>
    <row r="2940" spans="1:18" ht="17" customHeight="1" x14ac:dyDescent="0.15">
      <c r="A2940" s="8" t="s">
        <v>15760</v>
      </c>
      <c r="B2940" s="9" t="s">
        <v>15761</v>
      </c>
      <c r="C2940" s="8" t="s">
        <v>15762</v>
      </c>
      <c r="D2940" s="8" t="s">
        <v>15762</v>
      </c>
      <c r="E2940" s="8" t="s">
        <v>15763</v>
      </c>
      <c r="F2940" s="8" t="s">
        <v>15764</v>
      </c>
      <c r="G2940" s="8" t="s">
        <v>15610</v>
      </c>
      <c r="H2940" s="8" t="s">
        <v>15611</v>
      </c>
      <c r="I2940" s="8" t="str">
        <f>HYPERLINK("http://www.zanebet.com/","www.zanebet.com")</f>
        <v>www.zanebet.com</v>
      </c>
      <c r="J2940" s="10">
        <v>1534.7460000000001</v>
      </c>
      <c r="K2940" s="10">
        <v>1534.7460000000001</v>
      </c>
      <c r="L2940" s="10">
        <v>1087.4169999999999</v>
      </c>
      <c r="M2940" s="10">
        <v>40.503</v>
      </c>
      <c r="N2940" s="10">
        <v>40.503</v>
      </c>
      <c r="O2940" s="10">
        <v>7.7220000000000004</v>
      </c>
      <c r="P2940" s="10">
        <v>18</v>
      </c>
      <c r="Q2940" s="10">
        <v>18</v>
      </c>
      <c r="R2940" s="10">
        <v>18</v>
      </c>
    </row>
    <row r="2941" spans="1:18" ht="17" customHeight="1" x14ac:dyDescent="0.15">
      <c r="A2941" s="11" t="s">
        <v>15765</v>
      </c>
      <c r="B2941" s="1" t="s">
        <v>15766</v>
      </c>
      <c r="C2941" s="11" t="s">
        <v>15767</v>
      </c>
      <c r="D2941" s="11" t="s">
        <v>15767</v>
      </c>
      <c r="E2941" s="11" t="s">
        <v>15768</v>
      </c>
      <c r="F2941" s="11" t="s">
        <v>15662</v>
      </c>
      <c r="G2941" s="11" t="s">
        <v>15699</v>
      </c>
      <c r="H2941" s="11" t="s">
        <v>15700</v>
      </c>
      <c r="I2941" s="11" t="str">
        <f>HYPERLINK("http://www.liadiva.com/","www.liadiva.com")</f>
        <v>www.liadiva.com</v>
      </c>
      <c r="J2941" s="12">
        <v>964.29200000000003</v>
      </c>
      <c r="K2941" s="12">
        <v>964.29200000000003</v>
      </c>
      <c r="L2941" s="13">
        <v>1087.029</v>
      </c>
      <c r="M2941" s="12">
        <v>-9.1820000000000004</v>
      </c>
      <c r="N2941" s="12">
        <v>-9.1820000000000004</v>
      </c>
      <c r="O2941" s="12">
        <v>23.574000000000002</v>
      </c>
      <c r="P2941" s="12">
        <v>7</v>
      </c>
      <c r="Q2941" s="12">
        <v>7</v>
      </c>
      <c r="R2941" s="12">
        <v>8</v>
      </c>
    </row>
    <row r="2942" spans="1:18" ht="17" customHeight="1" x14ac:dyDescent="0.15">
      <c r="A2942" s="8" t="s">
        <v>15769</v>
      </c>
      <c r="B2942" s="9" t="s">
        <v>15770</v>
      </c>
      <c r="C2942" s="8" t="s">
        <v>15771</v>
      </c>
      <c r="D2942" s="8" t="s">
        <v>15771</v>
      </c>
      <c r="E2942" s="8" t="s">
        <v>15772</v>
      </c>
      <c r="F2942" s="8" t="s">
        <v>15678</v>
      </c>
      <c r="G2942" s="8" t="s">
        <v>15706</v>
      </c>
      <c r="H2942" s="8" t="s">
        <v>15707</v>
      </c>
      <c r="I2942" s="8" t="str">
        <f>HYPERLINK("http://dgl-srl.it/","dgl-srl.it")</f>
        <v>dgl-srl.it</v>
      </c>
      <c r="J2942" s="10">
        <v>1254.2139999999999</v>
      </c>
      <c r="K2942" s="10">
        <v>1254.2139999999999</v>
      </c>
      <c r="L2942" s="10">
        <v>1085.6669999999999</v>
      </c>
      <c r="M2942" s="10">
        <v>15.475</v>
      </c>
      <c r="N2942" s="10">
        <v>15.475</v>
      </c>
      <c r="O2942" s="10">
        <v>30.228999999999999</v>
      </c>
      <c r="P2942" s="15" t="s">
        <v>15651</v>
      </c>
      <c r="Q2942" s="15" t="s">
        <v>15651</v>
      </c>
      <c r="R2942" s="10">
        <v>37</v>
      </c>
    </row>
    <row r="2943" spans="1:18" ht="17" customHeight="1" x14ac:dyDescent="0.15">
      <c r="A2943" s="11" t="s">
        <v>15773</v>
      </c>
      <c r="B2943" s="1" t="s">
        <v>15774</v>
      </c>
      <c r="C2943" s="11" t="s">
        <v>15775</v>
      </c>
      <c r="D2943" s="11" t="s">
        <v>15775</v>
      </c>
      <c r="E2943" s="11" t="s">
        <v>15776</v>
      </c>
      <c r="F2943" s="11" t="s">
        <v>15629</v>
      </c>
      <c r="G2943" s="11" t="s">
        <v>15777</v>
      </c>
      <c r="H2943" s="11" t="s">
        <v>15631</v>
      </c>
      <c r="I2943" s="11" t="str">
        <f>HYPERLINK("http://mazzolenigloves.com/","mazzolenigloves.com")</f>
        <v>mazzolenigloves.com</v>
      </c>
      <c r="J2943" s="12">
        <v>1065.144</v>
      </c>
      <c r="K2943" s="12">
        <v>1065.144</v>
      </c>
      <c r="L2943" s="13">
        <v>1084.713</v>
      </c>
      <c r="M2943" s="12">
        <v>24.204999999999998</v>
      </c>
      <c r="N2943" s="12">
        <v>24.204999999999998</v>
      </c>
      <c r="O2943" s="12">
        <v>1.718</v>
      </c>
      <c r="P2943" s="12">
        <v>15</v>
      </c>
      <c r="Q2943" s="12">
        <v>15</v>
      </c>
      <c r="R2943" s="12">
        <v>15</v>
      </c>
    </row>
    <row r="2944" spans="1:18" ht="17" customHeight="1" x14ac:dyDescent="0.15">
      <c r="A2944" s="8" t="s">
        <v>15778</v>
      </c>
      <c r="B2944" s="9" t="s">
        <v>15779</v>
      </c>
      <c r="C2944" s="8" t="s">
        <v>15780</v>
      </c>
      <c r="D2944" s="8" t="s">
        <v>15780</v>
      </c>
      <c r="E2944" s="8" t="s">
        <v>15781</v>
      </c>
      <c r="F2944" s="8" t="s">
        <v>15649</v>
      </c>
      <c r="G2944" s="8" t="s">
        <v>15782</v>
      </c>
      <c r="H2944" s="8" t="s">
        <v>15783</v>
      </c>
      <c r="I2944" s="8" t="str">
        <f>HYPERLINK("http://slimitalia.com/","slimitalia.com")</f>
        <v>slimitalia.com</v>
      </c>
      <c r="J2944" s="10">
        <v>1006.254</v>
      </c>
      <c r="K2944" s="10">
        <v>1006.254</v>
      </c>
      <c r="L2944" s="10">
        <v>1083.7529999999999</v>
      </c>
      <c r="M2944" s="10">
        <v>30.596</v>
      </c>
      <c r="N2944" s="10">
        <v>30.596</v>
      </c>
      <c r="O2944" s="10">
        <v>81.328999999999994</v>
      </c>
      <c r="P2944" s="10">
        <v>5</v>
      </c>
      <c r="Q2944" s="10">
        <v>5</v>
      </c>
      <c r="R2944" s="10">
        <v>4</v>
      </c>
    </row>
    <row r="2945" spans="1:18" ht="17" customHeight="1" x14ac:dyDescent="0.15">
      <c r="A2945" s="11" t="s">
        <v>15784</v>
      </c>
      <c r="B2945" s="1" t="s">
        <v>15785</v>
      </c>
      <c r="C2945" s="11" t="s">
        <v>15786</v>
      </c>
      <c r="D2945" s="11" t="s">
        <v>15786</v>
      </c>
      <c r="E2945" s="11" t="s">
        <v>15787</v>
      </c>
      <c r="F2945" s="11" t="s">
        <v>15788</v>
      </c>
      <c r="G2945" s="11" t="s">
        <v>15789</v>
      </c>
      <c r="H2945" s="11" t="s">
        <v>15790</v>
      </c>
      <c r="I2945" s="11" t="str">
        <f>HYPERLINK("http://www.dinstinctiva.com/","www.dinstinctiva.com")</f>
        <v>www.dinstinctiva.com</v>
      </c>
      <c r="J2945" s="12">
        <v>1305.3309999999999</v>
      </c>
      <c r="K2945" s="12">
        <v>1305.3309999999999</v>
      </c>
      <c r="L2945" s="13">
        <v>1080.8979999999999</v>
      </c>
      <c r="M2945" s="12">
        <v>151.50700000000001</v>
      </c>
      <c r="N2945" s="12">
        <v>151.50700000000001</v>
      </c>
      <c r="O2945" s="12">
        <v>218.62100000000001</v>
      </c>
      <c r="P2945" s="14" t="s">
        <v>15791</v>
      </c>
      <c r="Q2945" s="14" t="s">
        <v>15791</v>
      </c>
      <c r="R2945" s="12">
        <v>10</v>
      </c>
    </row>
    <row r="2946" spans="1:18" ht="29.5" customHeight="1" x14ac:dyDescent="0.15">
      <c r="A2946" s="8" t="s">
        <v>15792</v>
      </c>
      <c r="B2946" s="9" t="s">
        <v>15793</v>
      </c>
      <c r="C2946" s="8" t="s">
        <v>15794</v>
      </c>
      <c r="D2946" s="8" t="s">
        <v>15794</v>
      </c>
      <c r="E2946" s="8" t="s">
        <v>15795</v>
      </c>
      <c r="F2946" s="8" t="s">
        <v>15796</v>
      </c>
      <c r="G2946" s="8" t="s">
        <v>15797</v>
      </c>
      <c r="H2946" s="8" t="s">
        <v>15798</v>
      </c>
      <c r="I2946" s="8" t="str">
        <f>HYPERLINK("http://www.laneapolissotterrata.it/","www.laneapolissotterrata.it")</f>
        <v>www.laneapolissotterrata.it</v>
      </c>
      <c r="J2946" s="10">
        <v>1177.05</v>
      </c>
      <c r="K2946" s="10">
        <v>1177.05</v>
      </c>
      <c r="L2946" s="10">
        <v>1080.751</v>
      </c>
      <c r="M2946" s="10">
        <v>102.254</v>
      </c>
      <c r="N2946" s="10">
        <v>102.254</v>
      </c>
      <c r="O2946" s="10">
        <v>51.91</v>
      </c>
      <c r="P2946" s="15" t="s">
        <v>15791</v>
      </c>
      <c r="Q2946" s="15" t="s">
        <v>15791</v>
      </c>
      <c r="R2946" s="10">
        <v>2</v>
      </c>
    </row>
    <row r="2947" spans="1:18" ht="17" customHeight="1" x14ac:dyDescent="0.15">
      <c r="A2947" s="11" t="s">
        <v>15799</v>
      </c>
      <c r="B2947" s="1" t="s">
        <v>15800</v>
      </c>
      <c r="C2947" s="11" t="s">
        <v>15801</v>
      </c>
      <c r="D2947" s="11" t="s">
        <v>15801</v>
      </c>
      <c r="E2947" s="11" t="s">
        <v>15802</v>
      </c>
      <c r="F2947" s="11" t="s">
        <v>15803</v>
      </c>
      <c r="G2947" s="11" t="s">
        <v>15804</v>
      </c>
      <c r="H2947" s="11" t="s">
        <v>15790</v>
      </c>
      <c r="I2947" s="11" t="str">
        <f>HYPERLINK("http://www.mila-aint.com/","www.mila-aint.com")</f>
        <v>www.mila-aint.com</v>
      </c>
      <c r="J2947" s="12">
        <v>1187.7529999999999</v>
      </c>
      <c r="K2947" s="12">
        <v>1187.7529999999999</v>
      </c>
      <c r="L2947" s="13">
        <v>1079.5419999999999</v>
      </c>
      <c r="M2947" s="12">
        <v>11.25</v>
      </c>
      <c r="N2947" s="12">
        <v>11.25</v>
      </c>
      <c r="O2947" s="12">
        <v>0.67800000000000005</v>
      </c>
      <c r="P2947" s="14" t="s">
        <v>15791</v>
      </c>
      <c r="Q2947" s="14" t="s">
        <v>15791</v>
      </c>
      <c r="R2947" s="12">
        <v>16</v>
      </c>
    </row>
    <row r="2948" spans="1:18" ht="17" customHeight="1" x14ac:dyDescent="0.15">
      <c r="A2948" s="8" t="s">
        <v>15805</v>
      </c>
      <c r="B2948" s="9" t="s">
        <v>15806</v>
      </c>
      <c r="C2948" s="8" t="s">
        <v>15807</v>
      </c>
      <c r="D2948" s="8" t="s">
        <v>15807</v>
      </c>
      <c r="E2948" s="8" t="s">
        <v>15808</v>
      </c>
      <c r="F2948" s="8" t="s">
        <v>15809</v>
      </c>
      <c r="G2948" s="8" t="s">
        <v>15810</v>
      </c>
      <c r="H2948" s="8" t="s">
        <v>15811</v>
      </c>
      <c r="I2948" s="8" t="str">
        <f>HYPERLINK("http://www.ballodasola.com/","www.ballodasola.com")</f>
        <v>www.ballodasola.com</v>
      </c>
      <c r="J2948" s="10">
        <v>864.77700000000004</v>
      </c>
      <c r="K2948" s="10">
        <v>864.77700000000004</v>
      </c>
      <c r="L2948" s="10">
        <v>1078.4449999999999</v>
      </c>
      <c r="M2948" s="10">
        <v>22.896999999999998</v>
      </c>
      <c r="N2948" s="10">
        <v>22.896999999999998</v>
      </c>
      <c r="O2948" s="10">
        <v>35.71</v>
      </c>
      <c r="P2948" s="10">
        <v>5</v>
      </c>
      <c r="Q2948" s="10">
        <v>5</v>
      </c>
      <c r="R2948" s="10">
        <v>5</v>
      </c>
    </row>
    <row r="2949" spans="1:18" ht="17" customHeight="1" x14ac:dyDescent="0.15">
      <c r="A2949" s="11" t="s">
        <v>15812</v>
      </c>
      <c r="B2949" s="1" t="s">
        <v>15813</v>
      </c>
      <c r="C2949" s="11" t="s">
        <v>15814</v>
      </c>
      <c r="D2949" s="11" t="s">
        <v>15814</v>
      </c>
      <c r="E2949" s="11" t="s">
        <v>15815</v>
      </c>
      <c r="F2949" s="11" t="s">
        <v>15816</v>
      </c>
      <c r="G2949" s="11" t="s">
        <v>15817</v>
      </c>
      <c r="H2949" s="11" t="s">
        <v>15818</v>
      </c>
      <c r="I2949" s="11" t="str">
        <f>HYPERLINK("http://www.pieropan-bauce.it/","www.pieropan-bauce.it")</f>
        <v>www.pieropan-bauce.it</v>
      </c>
      <c r="J2949" s="12">
        <v>1043.3150000000001</v>
      </c>
      <c r="K2949" s="12">
        <v>1043.3150000000001</v>
      </c>
      <c r="L2949" s="13">
        <v>1077.69</v>
      </c>
      <c r="M2949" s="12">
        <v>6.125</v>
      </c>
      <c r="N2949" s="12">
        <v>6.125</v>
      </c>
      <c r="O2949" s="12">
        <v>2.476</v>
      </c>
      <c r="P2949" s="12">
        <v>9</v>
      </c>
      <c r="Q2949" s="12">
        <v>9</v>
      </c>
      <c r="R2949" s="12">
        <v>10</v>
      </c>
    </row>
    <row r="2950" spans="1:18" ht="17" customHeight="1" x14ac:dyDescent="0.15">
      <c r="A2950" s="8" t="s">
        <v>15819</v>
      </c>
      <c r="B2950" s="9" t="s">
        <v>15820</v>
      </c>
      <c r="C2950" s="8" t="s">
        <v>15821</v>
      </c>
      <c r="D2950" s="8" t="s">
        <v>15821</v>
      </c>
      <c r="E2950" s="8" t="s">
        <v>15822</v>
      </c>
      <c r="F2950" s="8" t="s">
        <v>15823</v>
      </c>
      <c r="G2950" s="8" t="s">
        <v>15817</v>
      </c>
      <c r="H2950" s="8" t="s">
        <v>15818</v>
      </c>
      <c r="I2950" s="8" t="str">
        <f>HYPERLINK("http://www.pelliccerianovella.it/","www.pelliccerianovella.it")</f>
        <v>www.pelliccerianovella.it</v>
      </c>
      <c r="J2950" s="10">
        <v>715.80200000000002</v>
      </c>
      <c r="K2950" s="10">
        <v>715.80200000000002</v>
      </c>
      <c r="L2950" s="10">
        <v>1076.5809999999999</v>
      </c>
      <c r="M2950" s="10">
        <v>-61.081000000000003</v>
      </c>
      <c r="N2950" s="10">
        <v>-61.081000000000003</v>
      </c>
      <c r="O2950" s="10">
        <v>-13.362</v>
      </c>
      <c r="P2950" s="10">
        <v>5</v>
      </c>
      <c r="Q2950" s="10">
        <v>5</v>
      </c>
      <c r="R2950" s="10">
        <v>6</v>
      </c>
    </row>
    <row r="2951" spans="1:18" ht="17" customHeight="1" x14ac:dyDescent="0.15">
      <c r="A2951" s="11" t="s">
        <v>15824</v>
      </c>
      <c r="B2951" s="1" t="s">
        <v>15825</v>
      </c>
      <c r="C2951" s="11" t="s">
        <v>15826</v>
      </c>
      <c r="D2951" s="11" t="s">
        <v>15826</v>
      </c>
      <c r="E2951" s="11" t="s">
        <v>15827</v>
      </c>
      <c r="F2951" s="11" t="s">
        <v>15796</v>
      </c>
      <c r="G2951" s="11" t="s">
        <v>15828</v>
      </c>
      <c r="H2951" s="11" t="s">
        <v>15818</v>
      </c>
      <c r="I2951" s="11" t="str">
        <f>HYPERLINK("http://www.pat-anatomici.com/","www.pat-anatomici.com")</f>
        <v>www.pat-anatomici.com</v>
      </c>
      <c r="J2951" s="12">
        <v>1171.644</v>
      </c>
      <c r="K2951" s="12">
        <v>1171.644</v>
      </c>
      <c r="L2951" s="13">
        <v>1075.248</v>
      </c>
      <c r="M2951" s="12">
        <v>114.41800000000001</v>
      </c>
      <c r="N2951" s="12">
        <v>114.41800000000001</v>
      </c>
      <c r="O2951" s="12">
        <v>129.56700000000001</v>
      </c>
      <c r="P2951" s="14" t="s">
        <v>15791</v>
      </c>
      <c r="Q2951" s="14" t="s">
        <v>15791</v>
      </c>
      <c r="R2951" s="12">
        <v>9</v>
      </c>
    </row>
    <row r="2952" spans="1:18" ht="17" customHeight="1" x14ac:dyDescent="0.15">
      <c r="A2952" s="8" t="s">
        <v>15829</v>
      </c>
      <c r="B2952" s="9" t="s">
        <v>15830</v>
      </c>
      <c r="C2952" s="8" t="s">
        <v>15831</v>
      </c>
      <c r="D2952" s="8" t="s">
        <v>15831</v>
      </c>
      <c r="E2952" s="8" t="s">
        <v>15832</v>
      </c>
      <c r="F2952" s="8" t="s">
        <v>15833</v>
      </c>
      <c r="G2952" s="8" t="s">
        <v>15817</v>
      </c>
      <c r="H2952" s="8" t="s">
        <v>15818</v>
      </c>
      <c r="I2952" s="8" t="str">
        <f>HYPERLINK("http://www.bonettocinturini.com/","www.bonettocinturini.com")</f>
        <v>www.bonettocinturini.com</v>
      </c>
      <c r="J2952" s="10">
        <v>603.13</v>
      </c>
      <c r="K2952" s="10">
        <v>603.13</v>
      </c>
      <c r="L2952" s="10">
        <v>1072.68</v>
      </c>
      <c r="M2952" s="10">
        <v>-106.684</v>
      </c>
      <c r="N2952" s="10">
        <v>-106.684</v>
      </c>
      <c r="O2952" s="10">
        <v>21.914000000000001</v>
      </c>
      <c r="P2952" s="15" t="s">
        <v>15791</v>
      </c>
      <c r="Q2952" s="15" t="s">
        <v>15791</v>
      </c>
      <c r="R2952" s="10">
        <v>10</v>
      </c>
    </row>
    <row r="2953" spans="1:18" ht="17" customHeight="1" x14ac:dyDescent="0.15">
      <c r="A2953" s="11" t="s">
        <v>15834</v>
      </c>
      <c r="B2953" s="1" t="s">
        <v>15835</v>
      </c>
      <c r="C2953" s="11" t="s">
        <v>15836</v>
      </c>
      <c r="D2953" s="11" t="s">
        <v>15836</v>
      </c>
      <c r="E2953" s="11" t="s">
        <v>15837</v>
      </c>
      <c r="F2953" s="11" t="s">
        <v>15838</v>
      </c>
      <c r="G2953" s="11" t="s">
        <v>15839</v>
      </c>
      <c r="H2953" s="11" t="s">
        <v>15840</v>
      </c>
      <c r="I2953" s="11" t="str">
        <f>HYPERLINK("http://www.n8milano.it/","www.n8milano.it")</f>
        <v>www.n8milano.it</v>
      </c>
      <c r="J2953" s="12">
        <v>1951.258</v>
      </c>
      <c r="K2953" s="12">
        <v>1375.7729999999999</v>
      </c>
      <c r="L2953" s="13">
        <v>1072.373</v>
      </c>
      <c r="M2953" s="12">
        <v>31.654</v>
      </c>
      <c r="N2953" s="12">
        <v>23.042999999999999</v>
      </c>
      <c r="O2953" s="12">
        <v>6.556</v>
      </c>
      <c r="P2953" s="12">
        <v>4</v>
      </c>
      <c r="Q2953" s="12">
        <v>5</v>
      </c>
      <c r="R2953" s="12">
        <v>4</v>
      </c>
    </row>
    <row r="2954" spans="1:18" ht="17" customHeight="1" x14ac:dyDescent="0.15">
      <c r="A2954" s="8" t="s">
        <v>15841</v>
      </c>
      <c r="B2954" s="9" t="s">
        <v>15842</v>
      </c>
      <c r="C2954" s="8" t="s">
        <v>15843</v>
      </c>
      <c r="D2954" s="8" t="s">
        <v>15843</v>
      </c>
      <c r="E2954" s="8" t="s">
        <v>15844</v>
      </c>
      <c r="F2954" s="8" t="s">
        <v>15788</v>
      </c>
      <c r="G2954" s="8" t="s">
        <v>15804</v>
      </c>
      <c r="H2954" s="8" t="s">
        <v>15790</v>
      </c>
      <c r="I2954" s="8" t="str">
        <f>HYPERLINK("http://www.barcellino.it/","www.barcellino.it")</f>
        <v>www.barcellino.it</v>
      </c>
      <c r="J2954" s="10">
        <v>1144.769</v>
      </c>
      <c r="K2954" s="10">
        <v>1144.769</v>
      </c>
      <c r="L2954" s="10">
        <v>1072.096</v>
      </c>
      <c r="M2954" s="10">
        <v>5.2649999999999997</v>
      </c>
      <c r="N2954" s="10">
        <v>5.2649999999999997</v>
      </c>
      <c r="O2954" s="10">
        <v>9.2680000000000007</v>
      </c>
      <c r="P2954" s="15" t="s">
        <v>15791</v>
      </c>
      <c r="Q2954" s="15" t="s">
        <v>15791</v>
      </c>
      <c r="R2954" s="10">
        <v>18</v>
      </c>
    </row>
    <row r="2955" spans="1:18" ht="17" customHeight="1" x14ac:dyDescent="0.15">
      <c r="A2955" s="11" t="s">
        <v>15845</v>
      </c>
      <c r="B2955" s="1" t="s">
        <v>15846</v>
      </c>
      <c r="C2955" s="11" t="s">
        <v>15847</v>
      </c>
      <c r="D2955" s="11" t="s">
        <v>15847</v>
      </c>
      <c r="E2955" s="11" t="s">
        <v>15848</v>
      </c>
      <c r="F2955" s="11" t="s">
        <v>15788</v>
      </c>
      <c r="G2955" s="11" t="s">
        <v>15849</v>
      </c>
      <c r="H2955" s="11" t="s">
        <v>15840</v>
      </c>
      <c r="I2955" s="11" t="str">
        <f>HYPERLINK("http://www.cristinabonfanti.it/","www.cristinabonfanti.it")</f>
        <v>www.cristinabonfanti.it</v>
      </c>
      <c r="J2955" s="12">
        <v>1123.0360000000001</v>
      </c>
      <c r="K2955" s="12">
        <v>1123.0360000000001</v>
      </c>
      <c r="L2955" s="13">
        <v>1071.83</v>
      </c>
      <c r="M2955" s="12">
        <v>24.408999999999999</v>
      </c>
      <c r="N2955" s="12">
        <v>24.408999999999999</v>
      </c>
      <c r="O2955" s="12">
        <v>7.4390000000000001</v>
      </c>
      <c r="P2955" s="14" t="s">
        <v>15791</v>
      </c>
      <c r="Q2955" s="14" t="s">
        <v>15791</v>
      </c>
      <c r="R2955" s="12">
        <v>12</v>
      </c>
    </row>
    <row r="2956" spans="1:18" ht="17" customHeight="1" x14ac:dyDescent="0.15">
      <c r="A2956" s="8" t="s">
        <v>15850</v>
      </c>
      <c r="B2956" s="9" t="s">
        <v>15851</v>
      </c>
      <c r="C2956" s="8" t="s">
        <v>15852</v>
      </c>
      <c r="D2956" s="8" t="s">
        <v>15852</v>
      </c>
      <c r="E2956" s="8" t="s">
        <v>15853</v>
      </c>
      <c r="F2956" s="8" t="s">
        <v>15838</v>
      </c>
      <c r="G2956" s="8" t="s">
        <v>15839</v>
      </c>
      <c r="H2956" s="8" t="s">
        <v>15840</v>
      </c>
      <c r="I2956" s="8" t="str">
        <f>HYPERLINK("http://www.piu39manifatture.it/","www.piu39manifatture.it")</f>
        <v>www.piu39manifatture.it</v>
      </c>
      <c r="J2956" s="10">
        <v>963.68700000000001</v>
      </c>
      <c r="K2956" s="10">
        <v>963.68700000000001</v>
      </c>
      <c r="L2956" s="10">
        <v>1071.7729999999999</v>
      </c>
      <c r="M2956" s="10">
        <v>32.128</v>
      </c>
      <c r="N2956" s="10">
        <v>32.128</v>
      </c>
      <c r="O2956" s="10">
        <v>7.6980000000000004</v>
      </c>
      <c r="P2956" s="10">
        <v>9</v>
      </c>
      <c r="Q2956" s="10">
        <v>9</v>
      </c>
      <c r="R2956" s="10">
        <v>16</v>
      </c>
    </row>
    <row r="2957" spans="1:18" ht="17" customHeight="1" x14ac:dyDescent="0.15">
      <c r="A2957" s="11" t="s">
        <v>15854</v>
      </c>
      <c r="B2957" s="1" t="s">
        <v>15855</v>
      </c>
      <c r="C2957" s="11" t="s">
        <v>15856</v>
      </c>
      <c r="D2957" s="11" t="s">
        <v>15856</v>
      </c>
      <c r="E2957" s="11" t="s">
        <v>15857</v>
      </c>
      <c r="F2957" s="11" t="s">
        <v>15788</v>
      </c>
      <c r="G2957" s="11" t="s">
        <v>15858</v>
      </c>
      <c r="H2957" s="11" t="s">
        <v>15818</v>
      </c>
      <c r="I2957" s="11" t="str">
        <f>HYPERLINK("http://scaccosrl.com/","scaccosrl.com")</f>
        <v>scaccosrl.com</v>
      </c>
      <c r="J2957" s="12">
        <v>1308.346</v>
      </c>
      <c r="K2957" s="12">
        <v>1308.346</v>
      </c>
      <c r="L2957" s="13">
        <v>1071.3030000000001</v>
      </c>
      <c r="M2957" s="12">
        <v>17.635999999999999</v>
      </c>
      <c r="N2957" s="12">
        <v>17.635999999999999</v>
      </c>
      <c r="O2957" s="12">
        <v>15.167</v>
      </c>
      <c r="P2957" s="12">
        <v>33</v>
      </c>
      <c r="Q2957" s="12">
        <v>33</v>
      </c>
      <c r="R2957" s="12">
        <v>21</v>
      </c>
    </row>
    <row r="2958" spans="1:18" ht="17" customHeight="1" x14ac:dyDescent="0.15">
      <c r="A2958" s="8" t="s">
        <v>15859</v>
      </c>
      <c r="B2958" s="9" t="s">
        <v>15860</v>
      </c>
      <c r="C2958" s="8" t="s">
        <v>15861</v>
      </c>
      <c r="D2958" s="8" t="s">
        <v>15861</v>
      </c>
      <c r="E2958" s="8" t="s">
        <v>15862</v>
      </c>
      <c r="F2958" s="8" t="s">
        <v>15816</v>
      </c>
      <c r="G2958" s="8" t="s">
        <v>15817</v>
      </c>
      <c r="H2958" s="8" t="s">
        <v>15818</v>
      </c>
      <c r="I2958" s="8" t="str">
        <f>HYPERLINK("http://www.melapell.it/","www.melapell.it")</f>
        <v>www.melapell.it</v>
      </c>
      <c r="J2958" s="10">
        <v>1177.239</v>
      </c>
      <c r="K2958" s="10">
        <v>1177.239</v>
      </c>
      <c r="L2958" s="10">
        <v>1070.835</v>
      </c>
      <c r="M2958" s="10">
        <v>6.9610000000000003</v>
      </c>
      <c r="N2958" s="10">
        <v>6.9610000000000003</v>
      </c>
      <c r="O2958" s="10">
        <v>1.6639999999999999</v>
      </c>
      <c r="P2958" s="10">
        <v>2</v>
      </c>
      <c r="Q2958" s="10">
        <v>2</v>
      </c>
      <c r="R2958" s="10">
        <v>2</v>
      </c>
    </row>
    <row r="2959" spans="1:18" ht="29.5" customHeight="1" x14ac:dyDescent="0.15">
      <c r="A2959" s="11" t="s">
        <v>15863</v>
      </c>
      <c r="B2959" s="1" t="s">
        <v>15864</v>
      </c>
      <c r="C2959" s="11" t="s">
        <v>15865</v>
      </c>
      <c r="D2959" s="11" t="s">
        <v>15865</v>
      </c>
      <c r="E2959" s="11" t="s">
        <v>15866</v>
      </c>
      <c r="F2959" s="11" t="s">
        <v>15796</v>
      </c>
      <c r="G2959" s="11" t="s">
        <v>15867</v>
      </c>
      <c r="H2959" s="11" t="s">
        <v>15868</v>
      </c>
      <c r="I2959" s="11" t="str">
        <f>HYPERLINK("http://365.lineapelle-fair.it/","365.lineapelle-fair.it")</f>
        <v>365.lineapelle-fair.it</v>
      </c>
      <c r="J2959" s="12">
        <v>1038.0129999999999</v>
      </c>
      <c r="K2959" s="12">
        <v>1038.0129999999999</v>
      </c>
      <c r="L2959" s="13">
        <v>1067.9169999999999</v>
      </c>
      <c r="M2959" s="12">
        <v>82.081000000000003</v>
      </c>
      <c r="N2959" s="12">
        <v>82.081000000000003</v>
      </c>
      <c r="O2959" s="12">
        <v>160.06</v>
      </c>
      <c r="P2959" s="14" t="s">
        <v>15791</v>
      </c>
      <c r="Q2959" s="14" t="s">
        <v>15791</v>
      </c>
      <c r="R2959" s="12">
        <v>2</v>
      </c>
    </row>
    <row r="2960" spans="1:18" ht="17" customHeight="1" x14ac:dyDescent="0.15">
      <c r="A2960" s="8" t="s">
        <v>15869</v>
      </c>
      <c r="B2960" s="9" t="s">
        <v>15870</v>
      </c>
      <c r="C2960" s="8" t="s">
        <v>15871</v>
      </c>
      <c r="D2960" s="8" t="s">
        <v>15871</v>
      </c>
      <c r="E2960" s="8" t="s">
        <v>15872</v>
      </c>
      <c r="F2960" s="8" t="s">
        <v>15873</v>
      </c>
      <c r="G2960" s="8" t="s">
        <v>15789</v>
      </c>
      <c r="H2960" s="8" t="s">
        <v>15790</v>
      </c>
      <c r="I2960" s="8" t="str">
        <f>HYPERLINK("http://www.ferruccicomfort.net/","www.ferruccicomfort.net")</f>
        <v>www.ferruccicomfort.net</v>
      </c>
      <c r="J2960" s="10">
        <v>1822.4280000000001</v>
      </c>
      <c r="K2960" s="10">
        <v>1822.4280000000001</v>
      </c>
      <c r="L2960" s="10">
        <v>1067.4839999999999</v>
      </c>
      <c r="M2960" s="10">
        <v>26.498999999999999</v>
      </c>
      <c r="N2960" s="10">
        <v>26.498999999999999</v>
      </c>
      <c r="O2960" s="10">
        <v>-0.33800000000000002</v>
      </c>
      <c r="P2960" s="10">
        <v>7</v>
      </c>
      <c r="Q2960" s="10">
        <v>7</v>
      </c>
      <c r="R2960" s="10">
        <v>5</v>
      </c>
    </row>
    <row r="2961" spans="1:18" ht="17" customHeight="1" x14ac:dyDescent="0.15">
      <c r="A2961" s="11" t="s">
        <v>15874</v>
      </c>
      <c r="B2961" s="1" t="s">
        <v>15875</v>
      </c>
      <c r="C2961" s="11" t="s">
        <v>15876</v>
      </c>
      <c r="D2961" s="11" t="s">
        <v>15876</v>
      </c>
      <c r="E2961" s="11" t="s">
        <v>15877</v>
      </c>
      <c r="F2961" s="11" t="s">
        <v>15878</v>
      </c>
      <c r="G2961" s="11" t="s">
        <v>15879</v>
      </c>
      <c r="H2961" s="11" t="s">
        <v>15818</v>
      </c>
      <c r="I2961" s="11" t="str">
        <f>HYPERLINK("http://www.lafonte-pad.com/","www.lafonte-pad.com")</f>
        <v>www.lafonte-pad.com</v>
      </c>
      <c r="J2961" s="12">
        <v>833.54100000000005</v>
      </c>
      <c r="K2961" s="12">
        <v>833.54100000000005</v>
      </c>
      <c r="L2961" s="13">
        <v>1066.923</v>
      </c>
      <c r="M2961" s="12">
        <v>-100.182</v>
      </c>
      <c r="N2961" s="12">
        <v>-100.182</v>
      </c>
      <c r="O2961" s="12">
        <v>-74.192999999999998</v>
      </c>
      <c r="P2961" s="12">
        <v>10</v>
      </c>
      <c r="Q2961" s="12">
        <v>10</v>
      </c>
      <c r="R2961" s="12">
        <v>12</v>
      </c>
    </row>
    <row r="2962" spans="1:18" ht="43" customHeight="1" x14ac:dyDescent="0.15">
      <c r="A2962" s="8" t="s">
        <v>15880</v>
      </c>
      <c r="B2962" s="9" t="s">
        <v>15881</v>
      </c>
      <c r="C2962" s="8" t="s">
        <v>15882</v>
      </c>
      <c r="D2962" s="8" t="s">
        <v>15882</v>
      </c>
      <c r="E2962" s="8" t="s">
        <v>15883</v>
      </c>
      <c r="F2962" s="8" t="s">
        <v>15788</v>
      </c>
      <c r="G2962" s="8" t="s">
        <v>15797</v>
      </c>
      <c r="H2962" s="8" t="s">
        <v>15798</v>
      </c>
      <c r="I2962" s="8" t="str">
        <f>HYPERLINK("http://sorgentecouture.com/","sorgentecouture.com")</f>
        <v>sorgentecouture.com</v>
      </c>
      <c r="J2962" s="10">
        <v>835.37900000000002</v>
      </c>
      <c r="K2962" s="10">
        <v>835.37900000000002</v>
      </c>
      <c r="L2962" s="10">
        <v>1066.749</v>
      </c>
      <c r="M2962" s="10">
        <v>85.825000000000003</v>
      </c>
      <c r="N2962" s="10">
        <v>85.825000000000003</v>
      </c>
      <c r="O2962" s="10">
        <v>118.5</v>
      </c>
      <c r="P2962" s="10">
        <v>4</v>
      </c>
      <c r="Q2962" s="10">
        <v>4</v>
      </c>
      <c r="R2962" s="10">
        <v>2</v>
      </c>
    </row>
    <row r="2963" spans="1:18" ht="17" customHeight="1" x14ac:dyDescent="0.15">
      <c r="A2963" s="11" t="s">
        <v>15884</v>
      </c>
      <c r="B2963" s="1" t="s">
        <v>15885</v>
      </c>
      <c r="C2963" s="11" t="s">
        <v>15886</v>
      </c>
      <c r="D2963" s="11" t="s">
        <v>15886</v>
      </c>
      <c r="E2963" s="11" t="s">
        <v>15887</v>
      </c>
      <c r="F2963" s="11" t="s">
        <v>15888</v>
      </c>
      <c r="G2963" s="11" t="s">
        <v>15889</v>
      </c>
      <c r="H2963" s="11" t="s">
        <v>15840</v>
      </c>
      <c r="I2963" s="11" t="str">
        <f>HYPERLINK("http://www.sartoriadeplano.it/","www.sartoriadeplano.it")</f>
        <v>www.sartoriadeplano.it</v>
      </c>
      <c r="J2963" s="12">
        <v>1242.5630000000001</v>
      </c>
      <c r="K2963" s="12">
        <v>1242.5630000000001</v>
      </c>
      <c r="L2963" s="13">
        <v>1065.3630000000001</v>
      </c>
      <c r="M2963" s="12">
        <v>20.469000000000001</v>
      </c>
      <c r="N2963" s="12">
        <v>20.469000000000001</v>
      </c>
      <c r="O2963" s="12">
        <v>-4.3600000000000003</v>
      </c>
      <c r="P2963" s="12">
        <v>17</v>
      </c>
      <c r="Q2963" s="12">
        <v>17</v>
      </c>
      <c r="R2963" s="12">
        <v>22</v>
      </c>
    </row>
    <row r="2964" spans="1:18" ht="17" customHeight="1" x14ac:dyDescent="0.15">
      <c r="A2964" s="8" t="s">
        <v>15890</v>
      </c>
      <c r="B2964" s="9" t="s">
        <v>15891</v>
      </c>
      <c r="C2964" s="8" t="s">
        <v>15892</v>
      </c>
      <c r="D2964" s="8" t="s">
        <v>15892</v>
      </c>
      <c r="E2964" s="8" t="s">
        <v>15893</v>
      </c>
      <c r="F2964" s="8" t="s">
        <v>15894</v>
      </c>
      <c r="G2964" s="8" t="s">
        <v>15839</v>
      </c>
      <c r="H2964" s="8" t="s">
        <v>15840</v>
      </c>
      <c r="I2964" s="8" t="str">
        <f>HYPERLINK("http://www.vittoria-shoes.com/","www.vittoria-shoes.com")</f>
        <v>www.vittoria-shoes.com</v>
      </c>
      <c r="J2964" s="10">
        <v>836.24400000000003</v>
      </c>
      <c r="K2964" s="10">
        <v>836.24400000000003</v>
      </c>
      <c r="L2964" s="10">
        <v>1064.971</v>
      </c>
      <c r="M2964" s="10">
        <v>1.881</v>
      </c>
      <c r="N2964" s="10">
        <v>1.881</v>
      </c>
      <c r="O2964" s="10">
        <v>4.165</v>
      </c>
      <c r="P2964" s="10">
        <v>6</v>
      </c>
      <c r="Q2964" s="10">
        <v>6</v>
      </c>
      <c r="R2964" s="10">
        <v>9</v>
      </c>
    </row>
    <row r="2965" spans="1:18" ht="17" customHeight="1" x14ac:dyDescent="0.15">
      <c r="A2965" s="11" t="s">
        <v>15895</v>
      </c>
      <c r="B2965" s="1" t="s">
        <v>15896</v>
      </c>
      <c r="C2965" s="11" t="s">
        <v>15897</v>
      </c>
      <c r="D2965" s="11" t="s">
        <v>15897</v>
      </c>
      <c r="E2965" s="11" t="s">
        <v>15898</v>
      </c>
      <c r="F2965" s="11" t="s">
        <v>15878</v>
      </c>
      <c r="G2965" s="11" t="s">
        <v>15839</v>
      </c>
      <c r="H2965" s="11" t="s">
        <v>15840</v>
      </c>
      <c r="I2965" s="11" t="str">
        <f>HYPERLINK("http://www.cigieffe.com/","www.cigieffe.com")</f>
        <v>www.cigieffe.com</v>
      </c>
      <c r="J2965" s="12">
        <v>893.31600000000003</v>
      </c>
      <c r="K2965" s="12">
        <v>1069.7</v>
      </c>
      <c r="L2965" s="13">
        <v>1064.5309999999999</v>
      </c>
      <c r="M2965" s="12">
        <v>-45.259</v>
      </c>
      <c r="N2965" s="12">
        <v>7.4710000000000001</v>
      </c>
      <c r="O2965" s="12">
        <v>26.584</v>
      </c>
      <c r="P2965" s="12">
        <v>14</v>
      </c>
      <c r="Q2965" s="12">
        <v>14</v>
      </c>
      <c r="R2965" s="12">
        <v>12</v>
      </c>
    </row>
    <row r="2966" spans="1:18" ht="17" customHeight="1" x14ac:dyDescent="0.15">
      <c r="A2966" s="8" t="s">
        <v>15899</v>
      </c>
      <c r="B2966" s="9" t="s">
        <v>15900</v>
      </c>
      <c r="C2966" s="8" t="s">
        <v>15901</v>
      </c>
      <c r="D2966" s="8" t="s">
        <v>15901</v>
      </c>
      <c r="E2966" s="8" t="s">
        <v>15902</v>
      </c>
      <c r="F2966" s="8" t="s">
        <v>15903</v>
      </c>
      <c r="G2966" s="8" t="s">
        <v>15797</v>
      </c>
      <c r="H2966" s="8" t="s">
        <v>15798</v>
      </c>
      <c r="I2966" s="8" t="str">
        <f>HYPERLINK("http://erricoformicola.com/","erricoformicola.com")</f>
        <v>erricoformicola.com</v>
      </c>
      <c r="J2966" s="10">
        <v>1811.8779999999999</v>
      </c>
      <c r="K2966" s="10">
        <v>1811.8779999999999</v>
      </c>
      <c r="L2966" s="10">
        <v>1064.125</v>
      </c>
      <c r="M2966" s="10">
        <v>1.4059999999999999</v>
      </c>
      <c r="N2966" s="10">
        <v>1.4059999999999999</v>
      </c>
      <c r="O2966" s="10">
        <v>21.73</v>
      </c>
      <c r="P2966" s="15" t="s">
        <v>15791</v>
      </c>
      <c r="Q2966" s="15" t="s">
        <v>15791</v>
      </c>
      <c r="R2966" s="10">
        <v>5</v>
      </c>
    </row>
    <row r="2967" spans="1:18" ht="17" customHeight="1" x14ac:dyDescent="0.15">
      <c r="A2967" s="11" t="s">
        <v>15904</v>
      </c>
      <c r="B2967" s="1" t="s">
        <v>15905</v>
      </c>
      <c r="C2967" s="11" t="s">
        <v>15906</v>
      </c>
      <c r="D2967" s="11" t="s">
        <v>15906</v>
      </c>
      <c r="E2967" s="11" t="s">
        <v>15907</v>
      </c>
      <c r="F2967" s="11" t="s">
        <v>15873</v>
      </c>
      <c r="G2967" s="11" t="s">
        <v>15789</v>
      </c>
      <c r="H2967" s="11" t="s">
        <v>15790</v>
      </c>
      <c r="I2967" s="11" t="str">
        <f>HYPERLINK("http://www.giannettoportofino.it/","www.giannettoportofino.it")</f>
        <v>www.giannettoportofino.it</v>
      </c>
      <c r="J2967" s="12">
        <v>1340.2929999999999</v>
      </c>
      <c r="K2967" s="12">
        <v>1340.2929999999999</v>
      </c>
      <c r="L2967" s="13">
        <v>1061.1780000000001</v>
      </c>
      <c r="M2967" s="12">
        <v>98.725999999999999</v>
      </c>
      <c r="N2967" s="12">
        <v>98.725999999999999</v>
      </c>
      <c r="O2967" s="12">
        <v>9.141</v>
      </c>
      <c r="P2967" s="14" t="s">
        <v>15791</v>
      </c>
      <c r="Q2967" s="14" t="s">
        <v>15791</v>
      </c>
      <c r="R2967" s="12">
        <v>12</v>
      </c>
    </row>
    <row r="2968" spans="1:18" ht="17" customHeight="1" x14ac:dyDescent="0.15">
      <c r="A2968" s="8" t="s">
        <v>15908</v>
      </c>
      <c r="B2968" s="9" t="s">
        <v>15909</v>
      </c>
      <c r="C2968" s="8" t="s">
        <v>15910</v>
      </c>
      <c r="D2968" s="8" t="s">
        <v>15910</v>
      </c>
      <c r="E2968" s="8" t="s">
        <v>15911</v>
      </c>
      <c r="F2968" s="8" t="s">
        <v>15912</v>
      </c>
      <c r="G2968" s="8" t="s">
        <v>15913</v>
      </c>
      <c r="H2968" s="8" t="s">
        <v>15914</v>
      </c>
      <c r="I2968" s="8" t="str">
        <f>HYPERLINK("http://www.dialtessile.com/","www.dialtessile.com")</f>
        <v>www.dialtessile.com</v>
      </c>
      <c r="J2968" s="10">
        <v>1079.4970000000001</v>
      </c>
      <c r="K2968" s="10">
        <v>1079.4970000000001</v>
      </c>
      <c r="L2968" s="10">
        <v>1060.883</v>
      </c>
      <c r="M2968" s="10">
        <v>4.4580000000000002</v>
      </c>
      <c r="N2968" s="10">
        <v>4.4580000000000002</v>
      </c>
      <c r="O2968" s="10">
        <v>16.300999999999998</v>
      </c>
      <c r="P2968" s="15" t="s">
        <v>15791</v>
      </c>
      <c r="Q2968" s="15" t="s">
        <v>15791</v>
      </c>
      <c r="R2968" s="10">
        <v>3</v>
      </c>
    </row>
    <row r="2969" spans="1:18" ht="17" customHeight="1" x14ac:dyDescent="0.15">
      <c r="A2969" s="11" t="s">
        <v>15915</v>
      </c>
      <c r="B2969" s="1" t="s">
        <v>15916</v>
      </c>
      <c r="C2969" s="11" t="s">
        <v>15917</v>
      </c>
      <c r="D2969" s="11" t="s">
        <v>15917</v>
      </c>
      <c r="E2969" s="11" t="s">
        <v>15918</v>
      </c>
      <c r="F2969" s="11" t="s">
        <v>15838</v>
      </c>
      <c r="G2969" s="11" t="s">
        <v>15919</v>
      </c>
      <c r="H2969" s="11" t="s">
        <v>15790</v>
      </c>
      <c r="I2969" s="11" t="str">
        <f>HYPERLINK("http://www.melantoconfezioni.it/","www.melantoconfezioni.it")</f>
        <v>www.melantoconfezioni.it</v>
      </c>
      <c r="J2969" s="12">
        <v>1276.066</v>
      </c>
      <c r="K2969" s="12">
        <v>1276.066</v>
      </c>
      <c r="L2969" s="13">
        <v>1060.4090000000001</v>
      </c>
      <c r="M2969" s="12">
        <v>12.847</v>
      </c>
      <c r="N2969" s="12">
        <v>12.847</v>
      </c>
      <c r="O2969" s="12">
        <v>54.189</v>
      </c>
      <c r="P2969" s="14" t="s">
        <v>15791</v>
      </c>
      <c r="Q2969" s="14" t="s">
        <v>15791</v>
      </c>
      <c r="R2969" s="12">
        <v>36</v>
      </c>
    </row>
    <row r="2970" spans="1:18" ht="17" customHeight="1" x14ac:dyDescent="0.15">
      <c r="A2970" s="8" t="s">
        <v>15920</v>
      </c>
      <c r="B2970" s="9" t="s">
        <v>15921</v>
      </c>
      <c r="C2970" s="8" t="s">
        <v>15922</v>
      </c>
      <c r="D2970" s="8" t="s">
        <v>15922</v>
      </c>
      <c r="E2970" s="8" t="s">
        <v>15923</v>
      </c>
      <c r="F2970" s="8" t="s">
        <v>15788</v>
      </c>
      <c r="G2970" s="8" t="s">
        <v>15924</v>
      </c>
      <c r="H2970" s="8" t="s">
        <v>15868</v>
      </c>
      <c r="I2970" s="8" t="str">
        <f>HYPERLINK("http://yokigroup.it/","yokigroup.it")</f>
        <v>yokigroup.it</v>
      </c>
      <c r="J2970" s="10">
        <v>825.14</v>
      </c>
      <c r="K2970" s="10">
        <v>825.14</v>
      </c>
      <c r="L2970" s="10">
        <v>1060.4280000000001</v>
      </c>
      <c r="M2970" s="10">
        <v>42.156999999999996</v>
      </c>
      <c r="N2970" s="10">
        <v>42.156999999999996</v>
      </c>
      <c r="O2970" s="10">
        <v>19.108000000000001</v>
      </c>
      <c r="P2970" s="15" t="s">
        <v>15791</v>
      </c>
      <c r="Q2970" s="15" t="s">
        <v>15791</v>
      </c>
      <c r="R2970" s="10">
        <v>4</v>
      </c>
    </row>
    <row r="2971" spans="1:18" ht="17" customHeight="1" x14ac:dyDescent="0.15">
      <c r="A2971" s="11" t="s">
        <v>15925</v>
      </c>
      <c r="B2971" s="1" t="s">
        <v>15926</v>
      </c>
      <c r="C2971" s="11" t="s">
        <v>15927</v>
      </c>
      <c r="D2971" s="11" t="s">
        <v>15927</v>
      </c>
      <c r="E2971" s="11" t="s">
        <v>15928</v>
      </c>
      <c r="F2971" s="11" t="s">
        <v>15888</v>
      </c>
      <c r="G2971" s="11" t="s">
        <v>15929</v>
      </c>
      <c r="H2971" s="11" t="s">
        <v>15914</v>
      </c>
      <c r="I2971" s="11" t="str">
        <f>HYPERLINK("http://www.serienumerica.it/","www.serienumerica.it")</f>
        <v>www.serienumerica.it</v>
      </c>
      <c r="J2971" s="12">
        <v>1306.4449999999999</v>
      </c>
      <c r="K2971" s="12">
        <v>1306.4449999999999</v>
      </c>
      <c r="L2971" s="13">
        <v>1059.6590000000001</v>
      </c>
      <c r="M2971" s="12">
        <v>48.683999999999997</v>
      </c>
      <c r="N2971" s="12">
        <v>48.683999999999997</v>
      </c>
      <c r="O2971" s="12">
        <v>129.34</v>
      </c>
      <c r="P2971" s="14" t="s">
        <v>15791</v>
      </c>
      <c r="Q2971" s="14" t="s">
        <v>15791</v>
      </c>
      <c r="R2971" s="12">
        <v>9</v>
      </c>
    </row>
    <row r="2972" spans="1:18" ht="17" customHeight="1" x14ac:dyDescent="0.15">
      <c r="A2972" s="8" t="s">
        <v>15930</v>
      </c>
      <c r="B2972" s="9" t="s">
        <v>15931</v>
      </c>
      <c r="C2972" s="8" t="s">
        <v>15932</v>
      </c>
      <c r="D2972" s="8" t="s">
        <v>15932</v>
      </c>
      <c r="E2972" s="8" t="s">
        <v>15933</v>
      </c>
      <c r="F2972" s="8" t="s">
        <v>15838</v>
      </c>
      <c r="G2972" s="8" t="s">
        <v>15934</v>
      </c>
      <c r="H2972" s="8" t="s">
        <v>15935</v>
      </c>
      <c r="I2972" s="8" t="str">
        <f>HYPERLINK("http://www.essericami.it/","www.essericami.it")</f>
        <v>www.essericami.it</v>
      </c>
      <c r="J2972" s="10">
        <v>1111.9000000000001</v>
      </c>
      <c r="K2972" s="10">
        <v>1111.9000000000001</v>
      </c>
      <c r="L2972" s="10">
        <v>1059.3389999999999</v>
      </c>
      <c r="M2972" s="10">
        <v>148.661</v>
      </c>
      <c r="N2972" s="10">
        <v>148.661</v>
      </c>
      <c r="O2972" s="10">
        <v>162.821</v>
      </c>
      <c r="P2972" s="10">
        <v>18</v>
      </c>
      <c r="Q2972" s="10">
        <v>18</v>
      </c>
      <c r="R2972" s="10">
        <v>14</v>
      </c>
    </row>
    <row r="2973" spans="1:18" ht="55.75" customHeight="1" x14ac:dyDescent="0.15">
      <c r="A2973" s="11" t="s">
        <v>15936</v>
      </c>
      <c r="B2973" s="1" t="s">
        <v>15937</v>
      </c>
      <c r="C2973" s="11" t="s">
        <v>15938</v>
      </c>
      <c r="D2973" s="11" t="s">
        <v>15938</v>
      </c>
      <c r="E2973" s="11" t="s">
        <v>15939</v>
      </c>
      <c r="F2973" s="11" t="s">
        <v>15873</v>
      </c>
      <c r="G2973" s="11" t="s">
        <v>15934</v>
      </c>
      <c r="H2973" s="11" t="s">
        <v>15935</v>
      </c>
      <c r="I2973" s="11" t="str">
        <f>HYPERLINK("http://www.gwhite.it/","www.gwhite.it")</f>
        <v>www.gwhite.it</v>
      </c>
      <c r="J2973" s="12">
        <v>1288.1690000000001</v>
      </c>
      <c r="K2973" s="12">
        <v>1051.8789999999999</v>
      </c>
      <c r="L2973" s="13">
        <v>1059.2090000000001</v>
      </c>
      <c r="M2973" s="12">
        <v>38.695999999999998</v>
      </c>
      <c r="N2973" s="12">
        <v>165.56200000000001</v>
      </c>
      <c r="O2973" s="12">
        <v>56.151000000000003</v>
      </c>
      <c r="P2973" s="12">
        <v>8</v>
      </c>
      <c r="Q2973" s="12">
        <v>8</v>
      </c>
      <c r="R2973" s="12">
        <v>8</v>
      </c>
    </row>
    <row r="2974" spans="1:18" ht="17" customHeight="1" x14ac:dyDescent="0.15">
      <c r="A2974" s="8" t="s">
        <v>15940</v>
      </c>
      <c r="B2974" s="9" t="s">
        <v>15941</v>
      </c>
      <c r="C2974" s="8" t="s">
        <v>15942</v>
      </c>
      <c r="D2974" s="8" t="s">
        <v>15942</v>
      </c>
      <c r="E2974" s="8" t="s">
        <v>15943</v>
      </c>
      <c r="F2974" s="8" t="s">
        <v>15944</v>
      </c>
      <c r="G2974" s="8" t="s">
        <v>15945</v>
      </c>
      <c r="H2974" s="8" t="s">
        <v>15840</v>
      </c>
      <c r="I2974" s="8" t="str">
        <f>HYPERLINK("http://muracollant.com/","muracollant.com")</f>
        <v>muracollant.com</v>
      </c>
      <c r="J2974" s="10">
        <v>1113.6990000000001</v>
      </c>
      <c r="K2974" s="10">
        <v>1113.6990000000001</v>
      </c>
      <c r="L2974" s="10">
        <v>1055.5609999999999</v>
      </c>
      <c r="M2974" s="10">
        <v>7.3849999999999998</v>
      </c>
      <c r="N2974" s="10">
        <v>7.3849999999999998</v>
      </c>
      <c r="O2974" s="10">
        <v>24.166</v>
      </c>
      <c r="P2974" s="10">
        <v>5</v>
      </c>
      <c r="Q2974" s="10">
        <v>5</v>
      </c>
      <c r="R2974" s="10">
        <v>5</v>
      </c>
    </row>
    <row r="2975" spans="1:18" ht="17" customHeight="1" x14ac:dyDescent="0.15">
      <c r="A2975" s="11" t="s">
        <v>15946</v>
      </c>
      <c r="B2975" s="1" t="s">
        <v>15947</v>
      </c>
      <c r="C2975" s="11" t="s">
        <v>15948</v>
      </c>
      <c r="D2975" s="11" t="s">
        <v>15948</v>
      </c>
      <c r="E2975" s="11" t="s">
        <v>15949</v>
      </c>
      <c r="F2975" s="11" t="s">
        <v>15950</v>
      </c>
      <c r="G2975" s="11" t="s">
        <v>15951</v>
      </c>
      <c r="H2975" s="11" t="s">
        <v>15952</v>
      </c>
      <c r="I2975" s="11" t="str">
        <f>HYPERLINK("http://imacashmere.it/","imacashmere.it")</f>
        <v>imacashmere.it</v>
      </c>
      <c r="J2975" s="12">
        <v>1441.2449999999999</v>
      </c>
      <c r="K2975" s="12">
        <v>1441.2449999999999</v>
      </c>
      <c r="L2975" s="13">
        <v>1054.9929999999999</v>
      </c>
      <c r="M2975" s="12">
        <v>21.466000000000001</v>
      </c>
      <c r="N2975" s="12">
        <v>21.466000000000001</v>
      </c>
      <c r="O2975" s="12">
        <v>2.157</v>
      </c>
      <c r="P2975" s="12">
        <v>10</v>
      </c>
      <c r="Q2975" s="12">
        <v>10</v>
      </c>
      <c r="R2975" s="12">
        <v>13</v>
      </c>
    </row>
    <row r="2976" spans="1:18" ht="17" customHeight="1" x14ac:dyDescent="0.15">
      <c r="A2976" s="8" t="s">
        <v>15953</v>
      </c>
      <c r="B2976" s="9" t="s">
        <v>15954</v>
      </c>
      <c r="C2976" s="8" t="s">
        <v>15955</v>
      </c>
      <c r="D2976" s="8" t="s">
        <v>15955</v>
      </c>
      <c r="E2976" s="8" t="s">
        <v>15956</v>
      </c>
      <c r="F2976" s="8" t="s">
        <v>15894</v>
      </c>
      <c r="G2976" s="8" t="s">
        <v>15957</v>
      </c>
      <c r="H2976" s="8" t="s">
        <v>15958</v>
      </c>
      <c r="I2976" s="8" t="str">
        <f>HYPERLINK("http://www.carim.it/","www.carim.it")</f>
        <v>www.carim.it</v>
      </c>
      <c r="J2976" s="10">
        <v>1199.0940000000001</v>
      </c>
      <c r="K2976" s="10">
        <v>1199.0940000000001</v>
      </c>
      <c r="L2976" s="10">
        <v>1050.8979999999999</v>
      </c>
      <c r="M2976" s="10">
        <v>29.126000000000001</v>
      </c>
      <c r="N2976" s="10">
        <v>29.126000000000001</v>
      </c>
      <c r="O2976" s="10">
        <v>19.21</v>
      </c>
      <c r="P2976" s="10">
        <v>7</v>
      </c>
      <c r="Q2976" s="10">
        <v>7</v>
      </c>
      <c r="R2976" s="10">
        <v>5</v>
      </c>
    </row>
    <row r="2977" spans="1:18" ht="17" customHeight="1" x14ac:dyDescent="0.15">
      <c r="A2977" s="11" t="s">
        <v>15959</v>
      </c>
      <c r="B2977" s="1" t="s">
        <v>15960</v>
      </c>
      <c r="C2977" s="11" t="s">
        <v>15961</v>
      </c>
      <c r="D2977" s="11" t="s">
        <v>15961</v>
      </c>
      <c r="E2977" s="11" t="s">
        <v>15962</v>
      </c>
      <c r="F2977" s="11" t="s">
        <v>15963</v>
      </c>
      <c r="G2977" s="11" t="s">
        <v>15964</v>
      </c>
      <c r="H2977" s="11" t="s">
        <v>15965</v>
      </c>
      <c r="I2977" s="11" t="str">
        <f>HYPERLINK("http://arillodrink.it/","arillodrink.it")</f>
        <v>arillodrink.it</v>
      </c>
      <c r="J2977" s="12">
        <v>1467.107</v>
      </c>
      <c r="K2977" s="12">
        <v>1467.107</v>
      </c>
      <c r="L2977" s="13">
        <v>1050.732</v>
      </c>
      <c r="M2977" s="12">
        <v>69.251999999999995</v>
      </c>
      <c r="N2977" s="12">
        <v>69.251999999999995</v>
      </c>
      <c r="O2977" s="12">
        <v>34.130000000000003</v>
      </c>
      <c r="P2977" s="12">
        <v>15</v>
      </c>
      <c r="Q2977" s="12">
        <v>15</v>
      </c>
      <c r="R2977" s="12">
        <v>16</v>
      </c>
    </row>
    <row r="2978" spans="1:18" ht="17" customHeight="1" x14ac:dyDescent="0.15">
      <c r="A2978" s="8" t="s">
        <v>15966</v>
      </c>
      <c r="B2978" s="9" t="s">
        <v>15967</v>
      </c>
      <c r="C2978" s="8" t="s">
        <v>15968</v>
      </c>
      <c r="D2978" s="8" t="s">
        <v>15968</v>
      </c>
      <c r="E2978" s="8" t="s">
        <v>15969</v>
      </c>
      <c r="F2978" s="8" t="s">
        <v>15970</v>
      </c>
      <c r="G2978" s="8" t="s">
        <v>15971</v>
      </c>
      <c r="H2978" s="8" t="s">
        <v>15972</v>
      </c>
      <c r="I2978" s="8" t="str">
        <f>HYPERLINK("http://www.annasirico.it/","www.annasirico.it")</f>
        <v>www.annasirico.it</v>
      </c>
      <c r="J2978" s="10">
        <v>884.73500000000001</v>
      </c>
      <c r="K2978" s="10">
        <v>884.73500000000001</v>
      </c>
      <c r="L2978" s="10">
        <v>1050.316</v>
      </c>
      <c r="M2978" s="10">
        <v>26.998999999999999</v>
      </c>
      <c r="N2978" s="10">
        <v>26.998999999999999</v>
      </c>
      <c r="O2978" s="10">
        <v>21.943000000000001</v>
      </c>
      <c r="P2978" s="10">
        <v>5</v>
      </c>
      <c r="Q2978" s="10">
        <v>5</v>
      </c>
      <c r="R2978" s="10">
        <v>4</v>
      </c>
    </row>
    <row r="2979" spans="1:18" ht="43" customHeight="1" x14ac:dyDescent="0.15">
      <c r="A2979" s="11" t="s">
        <v>15973</v>
      </c>
      <c r="B2979" s="1" t="s">
        <v>15974</v>
      </c>
      <c r="C2979" s="11" t="s">
        <v>15975</v>
      </c>
      <c r="D2979" s="11" t="s">
        <v>15975</v>
      </c>
      <c r="E2979" s="11" t="s">
        <v>15976</v>
      </c>
      <c r="F2979" s="11" t="s">
        <v>15977</v>
      </c>
      <c r="G2979" s="11" t="s">
        <v>15978</v>
      </c>
      <c r="H2979" s="11" t="s">
        <v>15979</v>
      </c>
      <c r="I2979" s="11" t="str">
        <f>HYPERLINK("http://lucanaintimo.com/","lucanaintimo.com")</f>
        <v>lucanaintimo.com</v>
      </c>
      <c r="J2979" s="12">
        <v>1036.9269999999999</v>
      </c>
      <c r="K2979" s="12">
        <v>1036.9269999999999</v>
      </c>
      <c r="L2979" s="13">
        <v>1049.99</v>
      </c>
      <c r="M2979" s="12">
        <v>21.751999999999999</v>
      </c>
      <c r="N2979" s="12">
        <v>21.751999999999999</v>
      </c>
      <c r="O2979" s="12">
        <v>11.808999999999999</v>
      </c>
      <c r="P2979" s="12">
        <v>0</v>
      </c>
      <c r="Q2979" s="12">
        <v>0</v>
      </c>
      <c r="R2979" s="12">
        <v>0</v>
      </c>
    </row>
    <row r="2980" spans="1:18" ht="17" customHeight="1" x14ac:dyDescent="0.15">
      <c r="A2980" s="8" t="s">
        <v>15980</v>
      </c>
      <c r="B2980" s="9" t="s">
        <v>15981</v>
      </c>
      <c r="C2980" s="8" t="s">
        <v>15982</v>
      </c>
      <c r="D2980" s="8" t="s">
        <v>15982</v>
      </c>
      <c r="E2980" s="8" t="s">
        <v>15983</v>
      </c>
      <c r="F2980" s="8" t="s">
        <v>15984</v>
      </c>
      <c r="G2980" s="8" t="s">
        <v>15985</v>
      </c>
      <c r="H2980" s="8" t="s">
        <v>15986</v>
      </c>
      <c r="I2980" s="8" t="str">
        <f>HYPERLINK("http://camerucci.com/","camerucci.com")</f>
        <v>camerucci.com</v>
      </c>
      <c r="J2980" s="10">
        <v>1143.615</v>
      </c>
      <c r="K2980" s="10">
        <v>1143.615</v>
      </c>
      <c r="L2980" s="10">
        <v>1049.643</v>
      </c>
      <c r="M2980" s="10">
        <v>16.541</v>
      </c>
      <c r="N2980" s="10">
        <v>16.541</v>
      </c>
      <c r="O2980" s="10">
        <v>39.76</v>
      </c>
      <c r="P2980" s="10">
        <v>2</v>
      </c>
      <c r="Q2980" s="10">
        <v>2</v>
      </c>
      <c r="R2980" s="10">
        <v>2</v>
      </c>
    </row>
    <row r="2981" spans="1:18" ht="17" customHeight="1" x14ac:dyDescent="0.15">
      <c r="A2981" s="11" t="s">
        <v>15987</v>
      </c>
      <c r="B2981" s="1" t="s">
        <v>15988</v>
      </c>
      <c r="C2981" s="11" t="s">
        <v>15989</v>
      </c>
      <c r="D2981" s="11" t="s">
        <v>15989</v>
      </c>
      <c r="E2981" s="11" t="s">
        <v>15990</v>
      </c>
      <c r="F2981" s="11" t="s">
        <v>15991</v>
      </c>
      <c r="G2981" s="11" t="s">
        <v>15992</v>
      </c>
      <c r="H2981" s="11" t="s">
        <v>15993</v>
      </c>
      <c r="I2981" s="11" t="str">
        <f>HYPERLINK("http://calzificiolualdi.it/","calzificiolualdi.it")</f>
        <v>calzificiolualdi.it</v>
      </c>
      <c r="J2981" s="12">
        <v>844.69</v>
      </c>
      <c r="K2981" s="12">
        <v>844.69</v>
      </c>
      <c r="L2981" s="13">
        <v>1049.623</v>
      </c>
      <c r="M2981" s="12">
        <v>17.423999999999999</v>
      </c>
      <c r="N2981" s="12">
        <v>17.423999999999999</v>
      </c>
      <c r="O2981" s="12">
        <v>17.163</v>
      </c>
      <c r="P2981" s="12">
        <v>6</v>
      </c>
      <c r="Q2981" s="12">
        <v>6</v>
      </c>
      <c r="R2981" s="12">
        <v>8</v>
      </c>
    </row>
    <row r="2982" spans="1:18" ht="17" customHeight="1" x14ac:dyDescent="0.15">
      <c r="A2982" s="8" t="s">
        <v>15994</v>
      </c>
      <c r="B2982" s="9" t="s">
        <v>15995</v>
      </c>
      <c r="C2982" s="8" t="s">
        <v>15996</v>
      </c>
      <c r="D2982" s="8" t="s">
        <v>15996</v>
      </c>
      <c r="E2982" s="8" t="s">
        <v>15997</v>
      </c>
      <c r="F2982" s="8" t="s">
        <v>15963</v>
      </c>
      <c r="G2982" s="8" t="s">
        <v>15998</v>
      </c>
      <c r="H2982" s="8" t="s">
        <v>15999</v>
      </c>
      <c r="I2982" s="8" t="str">
        <f>HYPERLINK("http://www.mugellopromotional.it/","www.mugellopromotional.it")</f>
        <v>www.mugellopromotional.it</v>
      </c>
      <c r="J2982" s="10">
        <v>1024.1600000000001</v>
      </c>
      <c r="K2982" s="10">
        <v>1024.1600000000001</v>
      </c>
      <c r="L2982" s="10">
        <v>1049.32</v>
      </c>
      <c r="M2982" s="10">
        <v>80.730999999999995</v>
      </c>
      <c r="N2982" s="10">
        <v>80.730999999999995</v>
      </c>
      <c r="O2982" s="10">
        <v>144.96199999999999</v>
      </c>
      <c r="P2982" s="10">
        <v>7</v>
      </c>
      <c r="Q2982" s="10">
        <v>7</v>
      </c>
      <c r="R2982" s="10">
        <v>9</v>
      </c>
    </row>
    <row r="2983" spans="1:18" ht="17" customHeight="1" x14ac:dyDescent="0.15">
      <c r="A2983" s="11" t="s">
        <v>16000</v>
      </c>
      <c r="B2983" s="1" t="s">
        <v>16001</v>
      </c>
      <c r="C2983" s="11" t="s">
        <v>16002</v>
      </c>
      <c r="D2983" s="11" t="s">
        <v>16002</v>
      </c>
      <c r="E2983" s="11" t="s">
        <v>16003</v>
      </c>
      <c r="F2983" s="11" t="s">
        <v>16004</v>
      </c>
      <c r="G2983" s="11" t="s">
        <v>16005</v>
      </c>
      <c r="H2983" s="11" t="s">
        <v>15993</v>
      </c>
      <c r="I2983" s="11" t="str">
        <f>HYPERLINK("http://www.due-effe.it/","www.due-effe.it")</f>
        <v>www.due-effe.it</v>
      </c>
      <c r="J2983" s="12">
        <v>1015.662</v>
      </c>
      <c r="K2983" s="12">
        <v>1015.662</v>
      </c>
      <c r="L2983" s="13">
        <v>1048.202</v>
      </c>
      <c r="M2983" s="12">
        <v>16.548999999999999</v>
      </c>
      <c r="N2983" s="12">
        <v>16.548999999999999</v>
      </c>
      <c r="O2983" s="12">
        <v>35.972000000000001</v>
      </c>
      <c r="P2983" s="14" t="s">
        <v>16006</v>
      </c>
      <c r="Q2983" s="14" t="s">
        <v>16006</v>
      </c>
      <c r="R2983" s="12">
        <v>9</v>
      </c>
    </row>
    <row r="2984" spans="1:18" ht="17" customHeight="1" x14ac:dyDescent="0.15">
      <c r="A2984" s="8" t="s">
        <v>16007</v>
      </c>
      <c r="B2984" s="9" t="s">
        <v>16008</v>
      </c>
      <c r="C2984" s="8" t="s">
        <v>16009</v>
      </c>
      <c r="D2984" s="8" t="s">
        <v>16009</v>
      </c>
      <c r="E2984" s="8" t="s">
        <v>16010</v>
      </c>
      <c r="F2984" s="8" t="s">
        <v>16011</v>
      </c>
      <c r="G2984" s="8" t="s">
        <v>16012</v>
      </c>
      <c r="H2984" s="8" t="s">
        <v>15999</v>
      </c>
      <c r="I2984" s="8" t="str">
        <f>HYPERLINK("http://www.nuovaflex.it/","www.nuovaflex.it")</f>
        <v>www.nuovaflex.it</v>
      </c>
      <c r="J2984" s="10">
        <v>953.61</v>
      </c>
      <c r="K2984" s="10">
        <v>953.61</v>
      </c>
      <c r="L2984" s="10">
        <v>1047.778</v>
      </c>
      <c r="M2984" s="10">
        <v>-243.46799999999999</v>
      </c>
      <c r="N2984" s="10">
        <v>-243.46799999999999</v>
      </c>
      <c r="O2984" s="10">
        <v>-189.30699999999999</v>
      </c>
      <c r="P2984" s="10">
        <v>9</v>
      </c>
      <c r="Q2984" s="10">
        <v>9</v>
      </c>
      <c r="R2984" s="10">
        <v>9</v>
      </c>
    </row>
    <row r="2985" spans="1:18" ht="17" customHeight="1" x14ac:dyDescent="0.15">
      <c r="A2985" s="11" t="s">
        <v>16013</v>
      </c>
      <c r="B2985" s="1" t="s">
        <v>16014</v>
      </c>
      <c r="C2985" s="11" t="s">
        <v>16015</v>
      </c>
      <c r="D2985" s="11" t="s">
        <v>16015</v>
      </c>
      <c r="E2985" s="11" t="s">
        <v>16016</v>
      </c>
      <c r="F2985" s="11" t="s">
        <v>16017</v>
      </c>
      <c r="G2985" s="11" t="s">
        <v>16018</v>
      </c>
      <c r="H2985" s="11" t="s">
        <v>16019</v>
      </c>
      <c r="I2985" s="11" t="str">
        <f>HYPERLINK("http://www.zanchetti.eu/","www.zanchetti.eu")</f>
        <v>www.zanchetti.eu</v>
      </c>
      <c r="J2985" s="12">
        <v>913.97199999999998</v>
      </c>
      <c r="K2985" s="12">
        <v>913.97199999999998</v>
      </c>
      <c r="L2985" s="13">
        <v>1046.9570000000001</v>
      </c>
      <c r="M2985" s="12">
        <v>88.781000000000006</v>
      </c>
      <c r="N2985" s="12">
        <v>88.781000000000006</v>
      </c>
      <c r="O2985" s="12">
        <v>88.32</v>
      </c>
      <c r="P2985" s="12">
        <v>2</v>
      </c>
      <c r="Q2985" s="12">
        <v>2</v>
      </c>
      <c r="R2985" s="12">
        <v>2</v>
      </c>
    </row>
    <row r="2986" spans="1:18" ht="17" customHeight="1" x14ac:dyDescent="0.15">
      <c r="A2986" s="8" t="s">
        <v>16020</v>
      </c>
      <c r="B2986" s="9" t="s">
        <v>16021</v>
      </c>
      <c r="C2986" s="8" t="s">
        <v>16022</v>
      </c>
      <c r="D2986" s="8" t="s">
        <v>16022</v>
      </c>
      <c r="E2986" s="8" t="s">
        <v>16023</v>
      </c>
      <c r="F2986" s="8" t="s">
        <v>16024</v>
      </c>
      <c r="G2986" s="8" t="s">
        <v>16025</v>
      </c>
      <c r="H2986" s="8" t="s">
        <v>16019</v>
      </c>
      <c r="I2986" s="8" t="str">
        <f>HYPERLINK("http://www.recordbags.it/","www.recordbags.it")</f>
        <v>www.recordbags.it</v>
      </c>
      <c r="J2986" s="10">
        <v>1348.8209999999999</v>
      </c>
      <c r="K2986" s="10">
        <v>1348.8209999999999</v>
      </c>
      <c r="L2986" s="10">
        <v>1045.875</v>
      </c>
      <c r="M2986" s="10">
        <v>83.251999999999995</v>
      </c>
      <c r="N2986" s="10">
        <v>83.251999999999995</v>
      </c>
      <c r="O2986" s="10">
        <v>59.29</v>
      </c>
      <c r="P2986" s="10">
        <v>9</v>
      </c>
      <c r="Q2986" s="10">
        <v>9</v>
      </c>
      <c r="R2986" s="10">
        <v>7</v>
      </c>
    </row>
    <row r="2987" spans="1:18" ht="17" customHeight="1" x14ac:dyDescent="0.15">
      <c r="A2987" s="11" t="s">
        <v>16026</v>
      </c>
      <c r="B2987" s="1" t="s">
        <v>16027</v>
      </c>
      <c r="C2987" s="11" t="s">
        <v>16028</v>
      </c>
      <c r="D2987" s="11" t="s">
        <v>16028</v>
      </c>
      <c r="E2987" s="11" t="s">
        <v>16029</v>
      </c>
      <c r="F2987" s="11" t="s">
        <v>16017</v>
      </c>
      <c r="G2987" s="11" t="s">
        <v>16030</v>
      </c>
      <c r="H2987" s="11" t="s">
        <v>16019</v>
      </c>
      <c r="I2987" s="11" t="str">
        <f>HYPERLINK("http://www.stefyline.com/","www.stefyline.com")</f>
        <v>www.stefyline.com</v>
      </c>
      <c r="J2987" s="12">
        <v>1112.306</v>
      </c>
      <c r="K2987" s="12">
        <v>1112.306</v>
      </c>
      <c r="L2987" s="13">
        <v>1044.1130000000001</v>
      </c>
      <c r="M2987" s="12">
        <v>2.831</v>
      </c>
      <c r="N2987" s="12">
        <v>2.831</v>
      </c>
      <c r="O2987" s="12">
        <v>1.236</v>
      </c>
      <c r="P2987" s="12">
        <v>6</v>
      </c>
      <c r="Q2987" s="12">
        <v>6</v>
      </c>
      <c r="R2987" s="12">
        <v>5</v>
      </c>
    </row>
    <row r="2988" spans="1:18" ht="17" customHeight="1" x14ac:dyDescent="0.15">
      <c r="A2988" s="8" t="s">
        <v>16031</v>
      </c>
      <c r="B2988" s="9" t="s">
        <v>16032</v>
      </c>
      <c r="C2988" s="8" t="s">
        <v>16033</v>
      </c>
      <c r="D2988" s="8" t="s">
        <v>16033</v>
      </c>
      <c r="E2988" s="8" t="s">
        <v>16034</v>
      </c>
      <c r="F2988" s="8" t="s">
        <v>16017</v>
      </c>
      <c r="G2988" s="8" t="s">
        <v>15992</v>
      </c>
      <c r="H2988" s="8" t="s">
        <v>15993</v>
      </c>
      <c r="I2988" s="8" t="str">
        <f>HYPERLINK("http://clericiebrambati.it/","clericiebrambati.it")</f>
        <v>clericiebrambati.it</v>
      </c>
      <c r="J2988" s="10">
        <v>1005.787</v>
      </c>
      <c r="K2988" s="10">
        <v>1005.787</v>
      </c>
      <c r="L2988" s="10">
        <v>1043.306</v>
      </c>
      <c r="M2988" s="10">
        <v>162.17500000000001</v>
      </c>
      <c r="N2988" s="10">
        <v>162.17500000000001</v>
      </c>
      <c r="O2988" s="10">
        <v>207.96700000000001</v>
      </c>
      <c r="P2988" s="10">
        <v>11</v>
      </c>
      <c r="Q2988" s="10">
        <v>11</v>
      </c>
      <c r="R2988" s="10">
        <v>9</v>
      </c>
    </row>
    <row r="2989" spans="1:18" ht="17" customHeight="1" x14ac:dyDescent="0.15">
      <c r="A2989" s="11" t="s">
        <v>16035</v>
      </c>
      <c r="B2989" s="1" t="s">
        <v>16036</v>
      </c>
      <c r="C2989" s="11" t="s">
        <v>16037</v>
      </c>
      <c r="D2989" s="11" t="s">
        <v>16038</v>
      </c>
      <c r="E2989" s="11" t="s">
        <v>16039</v>
      </c>
      <c r="F2989" s="11" t="s">
        <v>15963</v>
      </c>
      <c r="G2989" s="11" t="s">
        <v>16040</v>
      </c>
      <c r="H2989" s="11" t="s">
        <v>16041</v>
      </c>
      <c r="I2989" s="11" t="str">
        <f>HYPERLINK("http://www.tiemmeexport.com/","www.tiemmeexport.com")</f>
        <v>www.tiemmeexport.com</v>
      </c>
      <c r="J2989" s="12">
        <v>960.71699999999998</v>
      </c>
      <c r="K2989" s="12">
        <v>960.71699999999998</v>
      </c>
      <c r="L2989" s="13">
        <v>1042.405</v>
      </c>
      <c r="M2989" s="12">
        <v>-34.790999999999997</v>
      </c>
      <c r="N2989" s="12">
        <v>-34.790999999999997</v>
      </c>
      <c r="O2989" s="12">
        <v>6.0419999999999998</v>
      </c>
      <c r="P2989" s="12">
        <v>3</v>
      </c>
      <c r="Q2989" s="12">
        <v>3</v>
      </c>
      <c r="R2989" s="12">
        <v>3</v>
      </c>
    </row>
    <row r="2990" spans="1:18" ht="17" customHeight="1" x14ac:dyDescent="0.15">
      <c r="A2990" s="8" t="s">
        <v>16042</v>
      </c>
      <c r="B2990" s="9" t="s">
        <v>16043</v>
      </c>
      <c r="C2990" s="8" t="s">
        <v>16044</v>
      </c>
      <c r="D2990" s="8" t="s">
        <v>16044</v>
      </c>
      <c r="E2990" s="8" t="s">
        <v>16045</v>
      </c>
      <c r="F2990" s="8" t="s">
        <v>16046</v>
      </c>
      <c r="G2990" s="8" t="s">
        <v>16030</v>
      </c>
      <c r="H2990" s="8" t="s">
        <v>16019</v>
      </c>
      <c r="I2990" s="8" t="str">
        <f>HYPERLINK("http://ricamificioferrara.it/","ricamificioferrara.it")</f>
        <v>ricamificioferrara.it</v>
      </c>
      <c r="J2990" s="10">
        <v>965.649</v>
      </c>
      <c r="K2990" s="10">
        <v>965.649</v>
      </c>
      <c r="L2990" s="10">
        <v>1041.7750000000001</v>
      </c>
      <c r="M2990" s="10">
        <v>21.768000000000001</v>
      </c>
      <c r="N2990" s="10">
        <v>21.768000000000001</v>
      </c>
      <c r="O2990" s="10">
        <v>66.408000000000001</v>
      </c>
      <c r="P2990" s="10">
        <v>13</v>
      </c>
      <c r="Q2990" s="10">
        <v>13</v>
      </c>
      <c r="R2990" s="10">
        <v>12</v>
      </c>
    </row>
    <row r="2991" spans="1:18" ht="17" customHeight="1" x14ac:dyDescent="0.15">
      <c r="A2991" s="11" t="s">
        <v>16047</v>
      </c>
      <c r="B2991" s="1" t="s">
        <v>16048</v>
      </c>
      <c r="C2991" s="11" t="s">
        <v>16049</v>
      </c>
      <c r="D2991" s="11" t="s">
        <v>16049</v>
      </c>
      <c r="E2991" s="11" t="s">
        <v>16050</v>
      </c>
      <c r="F2991" s="11" t="s">
        <v>15984</v>
      </c>
      <c r="G2991" s="11" t="s">
        <v>16051</v>
      </c>
      <c r="H2991" s="11" t="s">
        <v>16019</v>
      </c>
      <c r="I2991" s="11" t="str">
        <f>HYPERLINK("http://www.imispa.com/","www.imispa.com")</f>
        <v>www.imispa.com</v>
      </c>
      <c r="J2991" s="12">
        <v>1041.146</v>
      </c>
      <c r="K2991" s="14" t="s">
        <v>16006</v>
      </c>
      <c r="L2991" s="13">
        <v>1041.146</v>
      </c>
      <c r="M2991" s="12">
        <v>84.305000000000007</v>
      </c>
      <c r="N2991" s="14" t="s">
        <v>16006</v>
      </c>
      <c r="O2991" s="12">
        <v>84.305000000000007</v>
      </c>
      <c r="P2991" s="12">
        <v>2</v>
      </c>
      <c r="Q2991" s="14" t="s">
        <v>16006</v>
      </c>
      <c r="R2991" s="12">
        <v>2</v>
      </c>
    </row>
    <row r="2992" spans="1:18" ht="17" customHeight="1" x14ac:dyDescent="0.15">
      <c r="A2992" s="8" t="s">
        <v>16052</v>
      </c>
      <c r="B2992" s="9" t="s">
        <v>16053</v>
      </c>
      <c r="C2992" s="8" t="s">
        <v>16054</v>
      </c>
      <c r="D2992" s="8" t="s">
        <v>16054</v>
      </c>
      <c r="E2992" s="8" t="s">
        <v>16055</v>
      </c>
      <c r="F2992" s="8" t="s">
        <v>16056</v>
      </c>
      <c r="G2992" s="8" t="s">
        <v>16057</v>
      </c>
      <c r="H2992" s="8" t="s">
        <v>15972</v>
      </c>
      <c r="I2992" s="8" t="str">
        <f>HYPERLINK("http://www.martoncalzature.it/","www.martoncalzature.it")</f>
        <v>www.martoncalzature.it</v>
      </c>
      <c r="J2992" s="10">
        <v>1670.1220000000001</v>
      </c>
      <c r="K2992" s="10">
        <v>1670.1220000000001</v>
      </c>
      <c r="L2992" s="10">
        <v>1040.8040000000001</v>
      </c>
      <c r="M2992" s="10">
        <v>34.795999999999999</v>
      </c>
      <c r="N2992" s="10">
        <v>34.795999999999999</v>
      </c>
      <c r="O2992" s="10">
        <v>20.753</v>
      </c>
      <c r="P2992" s="10">
        <v>14</v>
      </c>
      <c r="Q2992" s="10">
        <v>14</v>
      </c>
      <c r="R2992" s="10">
        <v>9</v>
      </c>
    </row>
    <row r="2993" spans="1:18" ht="43" customHeight="1" x14ac:dyDescent="0.15">
      <c r="A2993" s="11" t="s">
        <v>16058</v>
      </c>
      <c r="B2993" s="1" t="s">
        <v>16059</v>
      </c>
      <c r="C2993" s="11" t="s">
        <v>16060</v>
      </c>
      <c r="D2993" s="11" t="s">
        <v>16060</v>
      </c>
      <c r="E2993" s="11" t="s">
        <v>16061</v>
      </c>
      <c r="F2993" s="11" t="s">
        <v>16062</v>
      </c>
      <c r="G2993" s="11" t="s">
        <v>15971</v>
      </c>
      <c r="H2993" s="11" t="s">
        <v>15972</v>
      </c>
      <c r="I2993" s="11" t="str">
        <f>HYPERLINK("http://fratelliragusa.it/","fratelliragusa.it")</f>
        <v>fratelliragusa.it</v>
      </c>
      <c r="J2993" s="12">
        <v>809.221</v>
      </c>
      <c r="K2993" s="12">
        <v>809.221</v>
      </c>
      <c r="L2993" s="13">
        <v>1040.2439999999999</v>
      </c>
      <c r="M2993" s="12">
        <v>-2.7440000000000002</v>
      </c>
      <c r="N2993" s="12">
        <v>-2.7440000000000002</v>
      </c>
      <c r="O2993" s="12">
        <v>24.158000000000001</v>
      </c>
      <c r="P2993" s="14" t="s">
        <v>16006</v>
      </c>
      <c r="Q2993" s="14" t="s">
        <v>16006</v>
      </c>
      <c r="R2993" s="12">
        <v>4</v>
      </c>
    </row>
    <row r="2994" spans="1:18" ht="29.5" customHeight="1" x14ac:dyDescent="0.15">
      <c r="A2994" s="8" t="s">
        <v>16063</v>
      </c>
      <c r="B2994" s="9" t="s">
        <v>16064</v>
      </c>
      <c r="C2994" s="8" t="s">
        <v>16065</v>
      </c>
      <c r="D2994" s="8" t="s">
        <v>16065</v>
      </c>
      <c r="E2994" s="8" t="s">
        <v>16066</v>
      </c>
      <c r="F2994" s="8" t="s">
        <v>15970</v>
      </c>
      <c r="G2994" s="8" t="s">
        <v>16067</v>
      </c>
      <c r="H2994" s="8" t="s">
        <v>16041</v>
      </c>
      <c r="I2994" s="8" t="str">
        <f>HYPERLINK("http://www.pieghettaturapecorari.it/","www.pieghettaturapecorari.it")</f>
        <v>www.pieghettaturapecorari.it</v>
      </c>
      <c r="J2994" s="10">
        <v>1137.3820000000001</v>
      </c>
      <c r="K2994" s="10">
        <v>1137.3820000000001</v>
      </c>
      <c r="L2994" s="10">
        <v>1039.896</v>
      </c>
      <c r="M2994" s="10">
        <v>201.26900000000001</v>
      </c>
      <c r="N2994" s="10">
        <v>201.26900000000001</v>
      </c>
      <c r="O2994" s="10">
        <v>106.876</v>
      </c>
      <c r="P2994" s="15" t="s">
        <v>16006</v>
      </c>
      <c r="Q2994" s="15" t="s">
        <v>16006</v>
      </c>
      <c r="R2994" s="10">
        <v>9</v>
      </c>
    </row>
    <row r="2995" spans="1:18" ht="17" customHeight="1" x14ac:dyDescent="0.15">
      <c r="A2995" s="11" t="s">
        <v>16068</v>
      </c>
      <c r="B2995" s="1" t="s">
        <v>16069</v>
      </c>
      <c r="C2995" s="11" t="s">
        <v>16070</v>
      </c>
      <c r="D2995" s="11" t="s">
        <v>16070</v>
      </c>
      <c r="E2995" s="11" t="s">
        <v>16071</v>
      </c>
      <c r="F2995" s="11" t="s">
        <v>16017</v>
      </c>
      <c r="G2995" s="11" t="s">
        <v>15998</v>
      </c>
      <c r="H2995" s="11" t="s">
        <v>15999</v>
      </c>
      <c r="I2995" s="11" t="str">
        <f>HYPERLINK("http://www.fondo9.it/","www.fondo9.it")</f>
        <v>www.fondo9.it</v>
      </c>
      <c r="J2995" s="12">
        <v>903.70500000000004</v>
      </c>
      <c r="K2995" s="12">
        <v>903.70500000000004</v>
      </c>
      <c r="L2995" s="13">
        <v>1039.2919999999999</v>
      </c>
      <c r="M2995" s="12">
        <v>7.8849999999999998</v>
      </c>
      <c r="N2995" s="12">
        <v>7.8849999999999998</v>
      </c>
      <c r="O2995" s="12">
        <v>17.719000000000001</v>
      </c>
      <c r="P2995" s="12">
        <v>20</v>
      </c>
      <c r="Q2995" s="12">
        <v>20</v>
      </c>
      <c r="R2995" s="12">
        <v>16</v>
      </c>
    </row>
    <row r="2996" spans="1:18" ht="17" customHeight="1" x14ac:dyDescent="0.15">
      <c r="A2996" s="8" t="s">
        <v>16072</v>
      </c>
      <c r="B2996" s="9" t="s">
        <v>16073</v>
      </c>
      <c r="C2996" s="8" t="s">
        <v>16074</v>
      </c>
      <c r="D2996" s="8" t="s">
        <v>16074</v>
      </c>
      <c r="E2996" s="8" t="s">
        <v>16075</v>
      </c>
      <c r="F2996" s="8" t="s">
        <v>16076</v>
      </c>
      <c r="G2996" s="8" t="s">
        <v>16018</v>
      </c>
      <c r="H2996" s="8" t="s">
        <v>16019</v>
      </c>
      <c r="I2996" s="8" t="str">
        <f>HYPERLINK("http://www.annabdivise.it/","www.annabdivise.it")</f>
        <v>www.annabdivise.it</v>
      </c>
      <c r="J2996" s="10">
        <v>1524.654</v>
      </c>
      <c r="K2996" s="10">
        <v>1524.654</v>
      </c>
      <c r="L2996" s="10">
        <v>1037.6859999999999</v>
      </c>
      <c r="M2996" s="10">
        <v>48.713000000000001</v>
      </c>
      <c r="N2996" s="10">
        <v>48.713000000000001</v>
      </c>
      <c r="O2996" s="10">
        <v>39.616999999999997</v>
      </c>
      <c r="P2996" s="10">
        <v>4</v>
      </c>
      <c r="Q2996" s="10">
        <v>4</v>
      </c>
      <c r="R2996" s="10">
        <v>5</v>
      </c>
    </row>
    <row r="2997" spans="1:18" ht="17" customHeight="1" x14ac:dyDescent="0.15">
      <c r="A2997" s="11" t="s">
        <v>16077</v>
      </c>
      <c r="B2997" s="1" t="s">
        <v>16078</v>
      </c>
      <c r="C2997" s="11" t="s">
        <v>16079</v>
      </c>
      <c r="D2997" s="11" t="s">
        <v>16079</v>
      </c>
      <c r="E2997" s="11" t="s">
        <v>16080</v>
      </c>
      <c r="F2997" s="11" t="s">
        <v>16056</v>
      </c>
      <c r="G2997" s="11" t="s">
        <v>16081</v>
      </c>
      <c r="H2997" s="11" t="s">
        <v>15999</v>
      </c>
      <c r="I2997" s="11" t="str">
        <f>HYPERLINK("http://www.bozzasiti.space/","www.bozzasiti.space")</f>
        <v>www.bozzasiti.space</v>
      </c>
      <c r="J2997" s="12">
        <v>895.65700000000004</v>
      </c>
      <c r="K2997" s="12">
        <v>895.65700000000004</v>
      </c>
      <c r="L2997" s="13">
        <v>1036.5329999999999</v>
      </c>
      <c r="M2997" s="12">
        <v>8.44</v>
      </c>
      <c r="N2997" s="12">
        <v>8.44</v>
      </c>
      <c r="O2997" s="12">
        <v>17.831</v>
      </c>
      <c r="P2997" s="14" t="s">
        <v>16006</v>
      </c>
      <c r="Q2997" s="14" t="s">
        <v>16006</v>
      </c>
      <c r="R2997" s="12">
        <v>3</v>
      </c>
    </row>
    <row r="2998" spans="1:18" ht="17" customHeight="1" x14ac:dyDescent="0.15">
      <c r="A2998" s="8" t="s">
        <v>16082</v>
      </c>
      <c r="B2998" s="9" t="s">
        <v>16083</v>
      </c>
      <c r="C2998" s="8" t="s">
        <v>16084</v>
      </c>
      <c r="D2998" s="8" t="s">
        <v>16085</v>
      </c>
      <c r="E2998" s="8" t="s">
        <v>16086</v>
      </c>
      <c r="F2998" s="8" t="s">
        <v>15991</v>
      </c>
      <c r="G2998" s="8" t="s">
        <v>16087</v>
      </c>
      <c r="H2998" s="8" t="s">
        <v>15993</v>
      </c>
      <c r="I2998" s="8" t="str">
        <f>HYPERLINK("http://www.walkstreet.it/","www.walkstreet.it")</f>
        <v>www.walkstreet.it</v>
      </c>
      <c r="J2998" s="10">
        <v>1268.758</v>
      </c>
      <c r="K2998" s="10">
        <v>1268.758</v>
      </c>
      <c r="L2998" s="10">
        <v>1035.4570000000001</v>
      </c>
      <c r="M2998" s="10">
        <v>63.526000000000003</v>
      </c>
      <c r="N2998" s="10">
        <v>63.526000000000003</v>
      </c>
      <c r="O2998" s="10">
        <v>2.2090000000000001</v>
      </c>
      <c r="P2998" s="15" t="s">
        <v>16006</v>
      </c>
      <c r="Q2998" s="15" t="s">
        <v>16006</v>
      </c>
      <c r="R2998" s="10">
        <v>3</v>
      </c>
    </row>
    <row r="2999" spans="1:18" ht="29.5" customHeight="1" x14ac:dyDescent="0.15">
      <c r="A2999" s="11" t="s">
        <v>16088</v>
      </c>
      <c r="B2999" s="1" t="s">
        <v>16089</v>
      </c>
      <c r="C2999" s="11" t="s">
        <v>16090</v>
      </c>
      <c r="D2999" s="11" t="s">
        <v>16090</v>
      </c>
      <c r="E2999" s="11" t="s">
        <v>16091</v>
      </c>
      <c r="F2999" s="11" t="s">
        <v>15970</v>
      </c>
      <c r="G2999" s="11" t="s">
        <v>16092</v>
      </c>
      <c r="H2999" s="11" t="s">
        <v>16093</v>
      </c>
      <c r="I2999" s="11" t="str">
        <f>HYPERLINK("http://www.gruppotesmed.com/","www.gruppotesmed.com")</f>
        <v>www.gruppotesmed.com</v>
      </c>
      <c r="J2999" s="12">
        <v>605.88800000000003</v>
      </c>
      <c r="K2999" s="12">
        <v>605.88800000000003</v>
      </c>
      <c r="L2999" s="13">
        <v>1034.808</v>
      </c>
      <c r="M2999" s="12">
        <v>6.569</v>
      </c>
      <c r="N2999" s="12">
        <v>6.569</v>
      </c>
      <c r="O2999" s="12">
        <v>21.170999999999999</v>
      </c>
      <c r="P2999" s="12">
        <v>4</v>
      </c>
      <c r="Q2999" s="12">
        <v>4</v>
      </c>
      <c r="R2999" s="12">
        <v>4</v>
      </c>
    </row>
    <row r="3000" spans="1:18" ht="17" customHeight="1" x14ac:dyDescent="0.15">
      <c r="A3000" s="8" t="s">
        <v>16094</v>
      </c>
      <c r="B3000" s="9" t="s">
        <v>16095</v>
      </c>
      <c r="C3000" s="8" t="s">
        <v>16096</v>
      </c>
      <c r="D3000" s="8" t="s">
        <v>16096</v>
      </c>
      <c r="E3000" s="8" t="s">
        <v>16097</v>
      </c>
      <c r="F3000" s="8" t="s">
        <v>16011</v>
      </c>
      <c r="G3000" s="8" t="s">
        <v>16012</v>
      </c>
      <c r="H3000" s="8" t="s">
        <v>15999</v>
      </c>
      <c r="I3000" s="8" t="str">
        <f>HYPERLINK("http://www.conceriaprima.com/","www.conceriaprima.com")</f>
        <v>www.conceriaprima.com</v>
      </c>
      <c r="J3000" s="10">
        <v>1019.479</v>
      </c>
      <c r="K3000" s="10">
        <v>1019.479</v>
      </c>
      <c r="L3000" s="10">
        <v>1033.0640000000001</v>
      </c>
      <c r="M3000" s="10">
        <v>-28.135000000000002</v>
      </c>
      <c r="N3000" s="10">
        <v>-28.135000000000002</v>
      </c>
      <c r="O3000" s="10">
        <v>29.734999999999999</v>
      </c>
      <c r="P3000" s="10">
        <v>7</v>
      </c>
      <c r="Q3000" s="10">
        <v>7</v>
      </c>
      <c r="R3000" s="10">
        <v>7</v>
      </c>
    </row>
    <row r="3001" spans="1:18" ht="17" customHeight="1" x14ac:dyDescent="0.15">
      <c r="A3001" s="11" t="s">
        <v>16098</v>
      </c>
      <c r="B3001" s="1" t="s">
        <v>16099</v>
      </c>
      <c r="C3001" s="11" t="s">
        <v>16100</v>
      </c>
      <c r="D3001" s="11" t="s">
        <v>16100</v>
      </c>
      <c r="E3001" s="11" t="s">
        <v>16101</v>
      </c>
      <c r="F3001" s="11" t="s">
        <v>15970</v>
      </c>
      <c r="G3001" s="11" t="s">
        <v>16102</v>
      </c>
      <c r="H3001" s="11" t="s">
        <v>16103</v>
      </c>
      <c r="I3001" s="11" t="str">
        <f>HYPERLINK("http://www.fashionpointsrl.it/","www.fashionpointsrl.it")</f>
        <v>www.fashionpointsrl.it</v>
      </c>
      <c r="J3001" s="12">
        <v>890.83100000000002</v>
      </c>
      <c r="K3001" s="12">
        <v>890.83100000000002</v>
      </c>
      <c r="L3001" s="13">
        <v>1032.655</v>
      </c>
      <c r="M3001" s="12">
        <v>6.2</v>
      </c>
      <c r="N3001" s="12">
        <v>6.2</v>
      </c>
      <c r="O3001" s="12">
        <v>64.454999999999998</v>
      </c>
      <c r="P3001" s="12">
        <v>15</v>
      </c>
      <c r="Q3001" s="12">
        <v>15</v>
      </c>
      <c r="R3001" s="12">
        <v>15</v>
      </c>
    </row>
    <row r="3002" spans="1:18" ht="17" customHeight="1" x14ac:dyDescent="0.15">
      <c r="A3002" s="8" t="s">
        <v>16104</v>
      </c>
      <c r="B3002" s="9" t="s">
        <v>16105</v>
      </c>
      <c r="C3002" s="8" t="s">
        <v>16106</v>
      </c>
      <c r="D3002" s="8" t="s">
        <v>16106</v>
      </c>
      <c r="E3002" s="8" t="s">
        <v>16107</v>
      </c>
      <c r="F3002" s="8" t="s">
        <v>15970</v>
      </c>
      <c r="G3002" s="8" t="s">
        <v>16108</v>
      </c>
      <c r="H3002" s="8" t="s">
        <v>16093</v>
      </c>
      <c r="I3002" s="8" t="str">
        <f>HYPERLINK("http://www.paolosemeraro.it/","www.paolosemeraro.it")</f>
        <v>www.paolosemeraro.it</v>
      </c>
      <c r="J3002" s="10">
        <v>1268.982</v>
      </c>
      <c r="K3002" s="10">
        <v>1268.982</v>
      </c>
      <c r="L3002" s="10">
        <v>1032.193</v>
      </c>
      <c r="M3002" s="10">
        <v>-164.732</v>
      </c>
      <c r="N3002" s="10">
        <v>-164.732</v>
      </c>
      <c r="O3002" s="10">
        <v>2.6429999999999998</v>
      </c>
      <c r="P3002" s="15" t="s">
        <v>16006</v>
      </c>
      <c r="Q3002" s="15" t="s">
        <v>16006</v>
      </c>
      <c r="R3002" s="10">
        <v>31</v>
      </c>
    </row>
    <row r="3003" spans="1:18" ht="17" customHeight="1" x14ac:dyDescent="0.15">
      <c r="A3003" s="11" t="s">
        <v>16109</v>
      </c>
      <c r="B3003" s="1" t="s">
        <v>16110</v>
      </c>
      <c r="C3003" s="11" t="s">
        <v>16111</v>
      </c>
      <c r="D3003" s="11" t="s">
        <v>16111</v>
      </c>
      <c r="E3003" s="11" t="s">
        <v>16112</v>
      </c>
      <c r="F3003" s="11" t="s">
        <v>15977</v>
      </c>
      <c r="G3003" s="11" t="s">
        <v>15978</v>
      </c>
      <c r="H3003" s="11" t="s">
        <v>15979</v>
      </c>
      <c r="I3003" s="11" t="str">
        <f>HYPERLINK("http://www.charmeintimo.it/","www.charmeintimo.it")</f>
        <v>www.charmeintimo.it</v>
      </c>
      <c r="J3003" s="12">
        <v>909.08299999999997</v>
      </c>
      <c r="K3003" s="12">
        <v>909.08299999999997</v>
      </c>
      <c r="L3003" s="13">
        <v>1029.1759999999999</v>
      </c>
      <c r="M3003" s="12">
        <v>-1.171</v>
      </c>
      <c r="N3003" s="12">
        <v>-1.171</v>
      </c>
      <c r="O3003" s="12">
        <v>15.234999999999999</v>
      </c>
      <c r="P3003" s="12">
        <v>5</v>
      </c>
      <c r="Q3003" s="12">
        <v>5</v>
      </c>
      <c r="R3003" s="12">
        <v>5</v>
      </c>
    </row>
    <row r="3004" spans="1:18" ht="17" customHeight="1" x14ac:dyDescent="0.15">
      <c r="A3004" s="8" t="s">
        <v>16113</v>
      </c>
      <c r="B3004" s="9" t="s">
        <v>16114</v>
      </c>
      <c r="C3004" s="8" t="s">
        <v>16115</v>
      </c>
      <c r="D3004" s="8" t="s">
        <v>16115</v>
      </c>
      <c r="E3004" s="8" t="s">
        <v>16116</v>
      </c>
      <c r="F3004" s="8" t="s">
        <v>16024</v>
      </c>
      <c r="G3004" s="8" t="s">
        <v>16117</v>
      </c>
      <c r="H3004" s="8" t="s">
        <v>15993</v>
      </c>
      <c r="I3004" s="8" t="str">
        <f>HYPERLINK("http://www.leulocati.com/","www.leulocati.com")</f>
        <v>www.leulocati.com</v>
      </c>
      <c r="J3004" s="10">
        <v>1458.4359999999999</v>
      </c>
      <c r="K3004" s="10">
        <v>1458.4359999999999</v>
      </c>
      <c r="L3004" s="10">
        <v>1028.2919999999999</v>
      </c>
      <c r="M3004" s="10">
        <v>3.8679999999999999</v>
      </c>
      <c r="N3004" s="10">
        <v>3.8679999999999999</v>
      </c>
      <c r="O3004" s="10">
        <v>20.332000000000001</v>
      </c>
      <c r="P3004" s="10">
        <v>15</v>
      </c>
      <c r="Q3004" s="10">
        <v>15</v>
      </c>
      <c r="R3004" s="10">
        <v>17</v>
      </c>
    </row>
    <row r="3005" spans="1:18" ht="17" customHeight="1" x14ac:dyDescent="0.15">
      <c r="A3005" s="11" t="s">
        <v>16118</v>
      </c>
      <c r="B3005" s="1" t="s">
        <v>16119</v>
      </c>
      <c r="C3005" s="11" t="s">
        <v>16120</v>
      </c>
      <c r="D3005" s="11" t="s">
        <v>16120</v>
      </c>
      <c r="E3005" s="11" t="s">
        <v>16121</v>
      </c>
      <c r="F3005" s="11" t="s">
        <v>16062</v>
      </c>
      <c r="G3005" s="11" t="s">
        <v>16081</v>
      </c>
      <c r="H3005" s="11" t="s">
        <v>15999</v>
      </c>
      <c r="I3005" s="11" t="str">
        <f>HYPERLINK("http://www.papinimoda.it/","www.papinimoda.it")</f>
        <v>www.papinimoda.it</v>
      </c>
      <c r="J3005" s="12">
        <v>1341.2270000000001</v>
      </c>
      <c r="K3005" s="12">
        <v>1341.2270000000001</v>
      </c>
      <c r="L3005" s="13">
        <v>1028.2850000000001</v>
      </c>
      <c r="M3005" s="12">
        <v>17.105</v>
      </c>
      <c r="N3005" s="12">
        <v>17.105</v>
      </c>
      <c r="O3005" s="12">
        <v>15.222</v>
      </c>
      <c r="P3005" s="12">
        <v>16</v>
      </c>
      <c r="Q3005" s="12">
        <v>16</v>
      </c>
      <c r="R3005" s="12">
        <v>14</v>
      </c>
    </row>
    <row r="3006" spans="1:18" ht="17" customHeight="1" x14ac:dyDescent="0.15">
      <c r="A3006" s="8" t="s">
        <v>16122</v>
      </c>
      <c r="B3006" s="9" t="s">
        <v>16123</v>
      </c>
      <c r="C3006" s="8" t="s">
        <v>16124</v>
      </c>
      <c r="D3006" s="8" t="s">
        <v>16124</v>
      </c>
      <c r="E3006" s="8" t="s">
        <v>16125</v>
      </c>
      <c r="F3006" s="8" t="s">
        <v>16056</v>
      </c>
      <c r="G3006" s="8" t="s">
        <v>16126</v>
      </c>
      <c r="H3006" s="8" t="s">
        <v>16127</v>
      </c>
      <c r="I3006" s="8" t="str">
        <f>HYPERLINK("http://www.pavi.it/","www.pavi.it")</f>
        <v>www.pavi.it</v>
      </c>
      <c r="J3006" s="10">
        <v>410.91300000000001</v>
      </c>
      <c r="K3006" s="10">
        <v>410.91300000000001</v>
      </c>
      <c r="L3006" s="10">
        <v>1028.155</v>
      </c>
      <c r="M3006" s="10">
        <v>121.166</v>
      </c>
      <c r="N3006" s="10">
        <v>121.166</v>
      </c>
      <c r="O3006" s="10">
        <v>-384.28100000000001</v>
      </c>
      <c r="P3006" s="10">
        <v>1</v>
      </c>
      <c r="Q3006" s="10">
        <v>1</v>
      </c>
      <c r="R3006" s="10">
        <v>9</v>
      </c>
    </row>
    <row r="3007" spans="1:18" ht="43" customHeight="1" x14ac:dyDescent="0.15">
      <c r="A3007" s="11" t="s">
        <v>16128</v>
      </c>
      <c r="B3007" s="1" t="s">
        <v>16129</v>
      </c>
      <c r="C3007" s="11" t="s">
        <v>16130</v>
      </c>
      <c r="D3007" s="11" t="s">
        <v>16130</v>
      </c>
      <c r="E3007" s="11" t="s">
        <v>16131</v>
      </c>
      <c r="F3007" s="11" t="s">
        <v>16046</v>
      </c>
      <c r="G3007" s="11" t="s">
        <v>15971</v>
      </c>
      <c r="H3007" s="11" t="s">
        <v>15972</v>
      </c>
      <c r="I3007" s="11" t="str">
        <f>HYPERLINK("http://pec-srl.it/","pec-srl.it")</f>
        <v>pec-srl.it</v>
      </c>
      <c r="J3007" s="12">
        <v>1011.361</v>
      </c>
      <c r="K3007" s="12">
        <v>1011.361</v>
      </c>
      <c r="L3007" s="13">
        <v>1025.838</v>
      </c>
      <c r="M3007" s="12">
        <v>29.600999999999999</v>
      </c>
      <c r="N3007" s="12">
        <v>29.600999999999999</v>
      </c>
      <c r="O3007" s="12">
        <v>49.33</v>
      </c>
      <c r="P3007" s="14" t="s">
        <v>16006</v>
      </c>
      <c r="Q3007" s="14" t="s">
        <v>16006</v>
      </c>
      <c r="R3007" s="12">
        <v>15</v>
      </c>
    </row>
    <row r="3008" spans="1:18" ht="29.5" customHeight="1" x14ac:dyDescent="0.15">
      <c r="A3008" s="8" t="s">
        <v>16132</v>
      </c>
      <c r="B3008" s="9" t="s">
        <v>16133</v>
      </c>
      <c r="C3008" s="8" t="s">
        <v>16134</v>
      </c>
      <c r="D3008" s="8" t="s">
        <v>16134</v>
      </c>
      <c r="E3008" s="8" t="s">
        <v>16135</v>
      </c>
      <c r="F3008" s="8" t="s">
        <v>16136</v>
      </c>
      <c r="G3008" s="8" t="s">
        <v>16137</v>
      </c>
      <c r="H3008" s="8" t="s">
        <v>16093</v>
      </c>
      <c r="I3008" s="8" t="str">
        <f>HYPERLINK("http://www.maglificiopedone.it/","www.maglificiopedone.it")</f>
        <v>www.maglificiopedone.it</v>
      </c>
      <c r="J3008" s="10">
        <v>1291.7819999999999</v>
      </c>
      <c r="K3008" s="10">
        <v>1291.7819999999999</v>
      </c>
      <c r="L3008" s="10">
        <v>1024.672</v>
      </c>
      <c r="M3008" s="10">
        <v>79.33</v>
      </c>
      <c r="N3008" s="10">
        <v>79.33</v>
      </c>
      <c r="O3008" s="10">
        <v>124.124</v>
      </c>
      <c r="P3008" s="10">
        <v>23</v>
      </c>
      <c r="Q3008" s="10">
        <v>23</v>
      </c>
      <c r="R3008" s="10">
        <v>19</v>
      </c>
    </row>
    <row r="3009" spans="1:18" ht="17" customHeight="1" x14ac:dyDescent="0.15">
      <c r="A3009" s="11" t="s">
        <v>16138</v>
      </c>
      <c r="B3009" s="1" t="s">
        <v>16139</v>
      </c>
      <c r="C3009" s="11" t="s">
        <v>16140</v>
      </c>
      <c r="D3009" s="11" t="s">
        <v>16140</v>
      </c>
      <c r="E3009" s="11" t="s">
        <v>16141</v>
      </c>
      <c r="F3009" s="11" t="s">
        <v>16142</v>
      </c>
      <c r="G3009" s="11" t="s">
        <v>16143</v>
      </c>
      <c r="H3009" s="11" t="s">
        <v>16144</v>
      </c>
      <c r="I3009" s="11" t="str">
        <f>HYPERLINK("http://www.l4k3.it/","www.l4k3.it")</f>
        <v>www.l4k3.it</v>
      </c>
      <c r="J3009" s="12">
        <v>1346.866</v>
      </c>
      <c r="K3009" s="12">
        <v>1346.866</v>
      </c>
      <c r="L3009" s="13">
        <v>1024.0519999999999</v>
      </c>
      <c r="M3009" s="12">
        <v>60.435000000000002</v>
      </c>
      <c r="N3009" s="12">
        <v>60.435000000000002</v>
      </c>
      <c r="O3009" s="12">
        <v>38.203000000000003</v>
      </c>
      <c r="P3009" s="12">
        <v>5</v>
      </c>
      <c r="Q3009" s="12">
        <v>5</v>
      </c>
      <c r="R3009" s="12">
        <v>4</v>
      </c>
    </row>
    <row r="3010" spans="1:18" ht="17" customHeight="1" x14ac:dyDescent="0.15">
      <c r="A3010" s="8" t="s">
        <v>16145</v>
      </c>
      <c r="B3010" s="9" t="s">
        <v>16146</v>
      </c>
      <c r="C3010" s="8" t="s">
        <v>16147</v>
      </c>
      <c r="D3010" s="8" t="s">
        <v>16147</v>
      </c>
      <c r="E3010" s="8" t="s">
        <v>16148</v>
      </c>
      <c r="F3010" s="8" t="s">
        <v>16149</v>
      </c>
      <c r="G3010" s="8" t="s">
        <v>16150</v>
      </c>
      <c r="H3010" s="8" t="s">
        <v>16151</v>
      </c>
      <c r="I3010" s="8" t="str">
        <f>HYPERLINK("http://www.bernardinisnc.com/","www.bernardinisnc.com")</f>
        <v>www.bernardinisnc.com</v>
      </c>
      <c r="J3010" s="10">
        <v>1030.2</v>
      </c>
      <c r="K3010" s="10">
        <v>1030.2</v>
      </c>
      <c r="L3010" s="10">
        <v>1023.8869999999999</v>
      </c>
      <c r="M3010" s="10">
        <v>362.79700000000003</v>
      </c>
      <c r="N3010" s="10">
        <v>362.79700000000003</v>
      </c>
      <c r="O3010" s="10">
        <v>358.75400000000002</v>
      </c>
      <c r="P3010" s="10">
        <v>10</v>
      </c>
      <c r="Q3010" s="10">
        <v>10</v>
      </c>
      <c r="R3010" s="10">
        <v>12</v>
      </c>
    </row>
    <row r="3011" spans="1:18" ht="29.5" customHeight="1" x14ac:dyDescent="0.15">
      <c r="A3011" s="11" t="s">
        <v>16152</v>
      </c>
      <c r="B3011" s="1" t="s">
        <v>16153</v>
      </c>
      <c r="C3011" s="11" t="s">
        <v>16154</v>
      </c>
      <c r="D3011" s="11" t="s">
        <v>16154</v>
      </c>
      <c r="E3011" s="11" t="s">
        <v>16155</v>
      </c>
      <c r="F3011" s="11" t="s">
        <v>16149</v>
      </c>
      <c r="G3011" s="11" t="s">
        <v>16156</v>
      </c>
      <c r="H3011" s="11" t="s">
        <v>16157</v>
      </c>
      <c r="I3011" s="11" t="str">
        <f>HYPERLINK("http://toscanamignon.it/","toscanamignon.it")</f>
        <v>toscanamignon.it</v>
      </c>
      <c r="J3011" s="12">
        <v>924.21600000000001</v>
      </c>
      <c r="K3011" s="12">
        <v>924.21600000000001</v>
      </c>
      <c r="L3011" s="13">
        <v>1022.509</v>
      </c>
      <c r="M3011" s="12">
        <v>182.52199999999999</v>
      </c>
      <c r="N3011" s="12">
        <v>182.52199999999999</v>
      </c>
      <c r="O3011" s="12">
        <v>208.68299999999999</v>
      </c>
      <c r="P3011" s="12">
        <v>8</v>
      </c>
      <c r="Q3011" s="12">
        <v>8</v>
      </c>
      <c r="R3011" s="12">
        <v>9</v>
      </c>
    </row>
    <row r="3012" spans="1:18" ht="29.5" customHeight="1" x14ac:dyDescent="0.15">
      <c r="A3012" s="8" t="s">
        <v>16158</v>
      </c>
      <c r="B3012" s="9" t="s">
        <v>16159</v>
      </c>
      <c r="C3012" s="8" t="s">
        <v>16160</v>
      </c>
      <c r="D3012" s="8" t="s">
        <v>16160</v>
      </c>
      <c r="E3012" s="8" t="s">
        <v>16161</v>
      </c>
      <c r="F3012" s="8" t="s">
        <v>16162</v>
      </c>
      <c r="G3012" s="8" t="s">
        <v>16163</v>
      </c>
      <c r="H3012" s="8" t="s">
        <v>16157</v>
      </c>
      <c r="I3012" s="8" t="str">
        <f>HYPERLINK("http://www.jeanpaulmenicucci.com/","www.jeanpaulmenicucci.com")</f>
        <v>www.jeanpaulmenicucci.com</v>
      </c>
      <c r="J3012" s="10">
        <v>829.55399999999997</v>
      </c>
      <c r="K3012" s="10">
        <v>829.55399999999997</v>
      </c>
      <c r="L3012" s="10">
        <v>1022.0069999999999</v>
      </c>
      <c r="M3012" s="10">
        <v>47.29</v>
      </c>
      <c r="N3012" s="10">
        <v>47.29</v>
      </c>
      <c r="O3012" s="10">
        <v>136.512</v>
      </c>
      <c r="P3012" s="15" t="s">
        <v>16164</v>
      </c>
      <c r="Q3012" s="15" t="s">
        <v>16164</v>
      </c>
      <c r="R3012" s="10">
        <v>4</v>
      </c>
    </row>
    <row r="3013" spans="1:18" ht="17" customHeight="1" x14ac:dyDescent="0.15">
      <c r="A3013" s="11" t="s">
        <v>16165</v>
      </c>
      <c r="B3013" s="1" t="s">
        <v>16166</v>
      </c>
      <c r="C3013" s="11" t="s">
        <v>16167</v>
      </c>
      <c r="D3013" s="11" t="s">
        <v>16167</v>
      </c>
      <c r="E3013" s="11" t="s">
        <v>16168</v>
      </c>
      <c r="F3013" s="11" t="s">
        <v>16169</v>
      </c>
      <c r="G3013" s="11" t="s">
        <v>16170</v>
      </c>
      <c r="H3013" s="11" t="s">
        <v>16157</v>
      </c>
      <c r="I3013" s="11" t="str">
        <f>HYPERLINK("http://www.maglificioidea.it/","www.maglificioidea.it")</f>
        <v>www.maglificioidea.it</v>
      </c>
      <c r="J3013" s="12">
        <v>1150.2090000000001</v>
      </c>
      <c r="K3013" s="12">
        <v>1150.2090000000001</v>
      </c>
      <c r="L3013" s="13">
        <v>1021.151</v>
      </c>
      <c r="M3013" s="12">
        <v>2.8119999999999998</v>
      </c>
      <c r="N3013" s="12">
        <v>2.8119999999999998</v>
      </c>
      <c r="O3013" s="12">
        <v>21.949000000000002</v>
      </c>
      <c r="P3013" s="12">
        <v>22</v>
      </c>
      <c r="Q3013" s="12">
        <v>22</v>
      </c>
      <c r="R3013" s="12">
        <v>17</v>
      </c>
    </row>
    <row r="3014" spans="1:18" ht="29.5" customHeight="1" x14ac:dyDescent="0.15">
      <c r="A3014" s="8" t="s">
        <v>16171</v>
      </c>
      <c r="B3014" s="9" t="s">
        <v>16172</v>
      </c>
      <c r="C3014" s="8" t="s">
        <v>16173</v>
      </c>
      <c r="D3014" s="8" t="s">
        <v>16173</v>
      </c>
      <c r="E3014" s="8" t="s">
        <v>16174</v>
      </c>
      <c r="F3014" s="8" t="s">
        <v>16142</v>
      </c>
      <c r="G3014" s="8" t="s">
        <v>16150</v>
      </c>
      <c r="H3014" s="8" t="s">
        <v>16151</v>
      </c>
      <c r="I3014" s="8" t="str">
        <f>HYPERLINK("http://fauzian.it/","fauzian.it")</f>
        <v>fauzian.it</v>
      </c>
      <c r="J3014" s="10">
        <v>1038.9770000000001</v>
      </c>
      <c r="K3014" s="10">
        <v>1038.9770000000001</v>
      </c>
      <c r="L3014" s="10">
        <v>1020.63</v>
      </c>
      <c r="M3014" s="10">
        <v>-14.1</v>
      </c>
      <c r="N3014" s="10">
        <v>-14.1</v>
      </c>
      <c r="O3014" s="10">
        <v>-77.474000000000004</v>
      </c>
      <c r="P3014" s="10">
        <v>7</v>
      </c>
      <c r="Q3014" s="10">
        <v>7</v>
      </c>
      <c r="R3014" s="10">
        <v>7</v>
      </c>
    </row>
    <row r="3015" spans="1:18" ht="29.5" customHeight="1" x14ac:dyDescent="0.15">
      <c r="A3015" s="11" t="s">
        <v>16175</v>
      </c>
      <c r="B3015" s="1" t="s">
        <v>16176</v>
      </c>
      <c r="C3015" s="11" t="s">
        <v>16177</v>
      </c>
      <c r="D3015" s="11" t="s">
        <v>16177</v>
      </c>
      <c r="E3015" s="11" t="s">
        <v>16178</v>
      </c>
      <c r="F3015" s="11" t="s">
        <v>16179</v>
      </c>
      <c r="G3015" s="11" t="s">
        <v>16180</v>
      </c>
      <c r="H3015" s="11" t="s">
        <v>16181</v>
      </c>
      <c r="I3015" s="11" t="str">
        <f>HYPERLINK("http://www.heresis.it/","www.heresis.it")</f>
        <v>www.heresis.it</v>
      </c>
      <c r="J3015" s="12">
        <v>915.46799999999996</v>
      </c>
      <c r="K3015" s="12">
        <v>915.46799999999996</v>
      </c>
      <c r="L3015" s="13">
        <v>1020.027</v>
      </c>
      <c r="M3015" s="12">
        <v>219.14400000000001</v>
      </c>
      <c r="N3015" s="12">
        <v>219.14400000000001</v>
      </c>
      <c r="O3015" s="12">
        <v>89.384</v>
      </c>
      <c r="P3015" s="12">
        <v>8</v>
      </c>
      <c r="Q3015" s="12">
        <v>8</v>
      </c>
      <c r="R3015" s="12">
        <v>12</v>
      </c>
    </row>
    <row r="3016" spans="1:18" ht="17" customHeight="1" x14ac:dyDescent="0.15">
      <c r="A3016" s="8" t="s">
        <v>16182</v>
      </c>
      <c r="B3016" s="9" t="s">
        <v>16183</v>
      </c>
      <c r="C3016" s="8" t="s">
        <v>16184</v>
      </c>
      <c r="D3016" s="8" t="s">
        <v>16184</v>
      </c>
      <c r="E3016" s="8" t="s">
        <v>16185</v>
      </c>
      <c r="F3016" s="8" t="s">
        <v>16162</v>
      </c>
      <c r="G3016" s="8" t="s">
        <v>16186</v>
      </c>
      <c r="H3016" s="8" t="s">
        <v>16187</v>
      </c>
      <c r="I3016" s="8" t="str">
        <f>HYPERLINK("http://www.riserva.it/","www.riserva.it")</f>
        <v>www.riserva.it</v>
      </c>
      <c r="J3016" s="10">
        <v>1041.952</v>
      </c>
      <c r="K3016" s="10">
        <v>1041.952</v>
      </c>
      <c r="L3016" s="10">
        <v>1019.086</v>
      </c>
      <c r="M3016" s="10">
        <v>24.257000000000001</v>
      </c>
      <c r="N3016" s="10">
        <v>24.257000000000001</v>
      </c>
      <c r="O3016" s="10">
        <v>12.045999999999999</v>
      </c>
      <c r="P3016" s="15" t="s">
        <v>16164</v>
      </c>
      <c r="Q3016" s="15" t="s">
        <v>16164</v>
      </c>
      <c r="R3016" s="10">
        <v>9</v>
      </c>
    </row>
    <row r="3017" spans="1:18" ht="29.5" customHeight="1" x14ac:dyDescent="0.15">
      <c r="A3017" s="11" t="s">
        <v>16188</v>
      </c>
      <c r="B3017" s="1" t="s">
        <v>16189</v>
      </c>
      <c r="C3017" s="11" t="s">
        <v>16190</v>
      </c>
      <c r="D3017" s="11" t="s">
        <v>16190</v>
      </c>
      <c r="E3017" s="11" t="s">
        <v>16191</v>
      </c>
      <c r="F3017" s="11" t="s">
        <v>16192</v>
      </c>
      <c r="G3017" s="11" t="s">
        <v>16193</v>
      </c>
      <c r="H3017" s="11" t="s">
        <v>16144</v>
      </c>
      <c r="I3017" s="11" t="str">
        <f>HYPERLINK("http://www.opificio0325.it/","www.opificio0325.it")</f>
        <v>www.opificio0325.it</v>
      </c>
      <c r="J3017" s="12">
        <v>1087.165</v>
      </c>
      <c r="K3017" s="12">
        <v>1087.165</v>
      </c>
      <c r="L3017" s="13">
        <v>1018.22</v>
      </c>
      <c r="M3017" s="12">
        <v>16.065000000000001</v>
      </c>
      <c r="N3017" s="12">
        <v>16.065000000000001</v>
      </c>
      <c r="O3017" s="12">
        <v>9.1080000000000005</v>
      </c>
      <c r="P3017" s="14" t="s">
        <v>16164</v>
      </c>
      <c r="Q3017" s="14" t="s">
        <v>16164</v>
      </c>
      <c r="R3017" s="12">
        <v>10</v>
      </c>
    </row>
    <row r="3018" spans="1:18" ht="17" customHeight="1" x14ac:dyDescent="0.15">
      <c r="A3018" s="8" t="s">
        <v>16194</v>
      </c>
      <c r="B3018" s="9" t="s">
        <v>16195</v>
      </c>
      <c r="C3018" s="8" t="s">
        <v>16196</v>
      </c>
      <c r="D3018" s="8" t="s">
        <v>16196</v>
      </c>
      <c r="E3018" s="8" t="s">
        <v>16197</v>
      </c>
      <c r="F3018" s="8" t="s">
        <v>16179</v>
      </c>
      <c r="G3018" s="8" t="s">
        <v>16198</v>
      </c>
      <c r="H3018" s="8" t="s">
        <v>16199</v>
      </c>
      <c r="I3018" s="8" t="str">
        <f>HYPERLINK("http://felicia-couture.it/","felicia-couture.it")</f>
        <v>felicia-couture.it</v>
      </c>
      <c r="J3018" s="10">
        <v>1561.0909999999999</v>
      </c>
      <c r="K3018" s="10">
        <v>1561.0909999999999</v>
      </c>
      <c r="L3018" s="10">
        <v>1016.59</v>
      </c>
      <c r="M3018" s="10">
        <v>3.9580000000000002</v>
      </c>
      <c r="N3018" s="10">
        <v>3.9580000000000002</v>
      </c>
      <c r="O3018" s="10">
        <v>28.023</v>
      </c>
      <c r="P3018" s="15" t="s">
        <v>16164</v>
      </c>
      <c r="Q3018" s="15" t="s">
        <v>16164</v>
      </c>
      <c r="R3018" s="10">
        <v>12</v>
      </c>
    </row>
    <row r="3019" spans="1:18" ht="43" customHeight="1" x14ac:dyDescent="0.15">
      <c r="A3019" s="11" t="s">
        <v>16200</v>
      </c>
      <c r="B3019" s="1" t="s">
        <v>16201</v>
      </c>
      <c r="C3019" s="11" t="s">
        <v>16202</v>
      </c>
      <c r="D3019" s="11" t="s">
        <v>16202</v>
      </c>
      <c r="E3019" s="11" t="s">
        <v>16203</v>
      </c>
      <c r="F3019" s="11" t="s">
        <v>16179</v>
      </c>
      <c r="G3019" s="11" t="s">
        <v>16204</v>
      </c>
      <c r="H3019" s="11" t="s">
        <v>16205</v>
      </c>
      <c r="I3019" s="11" t="str">
        <f>HYPERLINK("http://ninnaohbaby.it/","ninnaohbaby.it")</f>
        <v>ninnaohbaby.it</v>
      </c>
      <c r="J3019" s="12">
        <v>1192.6410000000001</v>
      </c>
      <c r="K3019" s="12">
        <v>1192.6410000000001</v>
      </c>
      <c r="L3019" s="13">
        <v>1015.458</v>
      </c>
      <c r="M3019" s="12">
        <v>16.062999999999999</v>
      </c>
      <c r="N3019" s="12">
        <v>16.062999999999999</v>
      </c>
      <c r="O3019" s="12">
        <v>31.451000000000001</v>
      </c>
      <c r="P3019" s="14" t="s">
        <v>16164</v>
      </c>
      <c r="Q3019" s="14" t="s">
        <v>16164</v>
      </c>
      <c r="R3019" s="12">
        <v>16</v>
      </c>
    </row>
    <row r="3020" spans="1:18" ht="17" customHeight="1" x14ac:dyDescent="0.15">
      <c r="A3020" s="8" t="s">
        <v>16206</v>
      </c>
      <c r="B3020" s="9" t="s">
        <v>16207</v>
      </c>
      <c r="C3020" s="8" t="s">
        <v>16208</v>
      </c>
      <c r="D3020" s="8" t="s">
        <v>16208</v>
      </c>
      <c r="E3020" s="8" t="s">
        <v>16209</v>
      </c>
      <c r="F3020" s="8" t="s">
        <v>16179</v>
      </c>
      <c r="G3020" s="8" t="s">
        <v>16210</v>
      </c>
      <c r="H3020" s="8" t="s">
        <v>16199</v>
      </c>
      <c r="I3020" s="8" t="str">
        <f>HYPERLINK("http://www.volpemanifatture.it/","www.volpemanifatture.it")</f>
        <v>www.volpemanifatture.it</v>
      </c>
      <c r="J3020" s="10">
        <v>1590.7550000000001</v>
      </c>
      <c r="K3020" s="10">
        <v>1590.7550000000001</v>
      </c>
      <c r="L3020" s="10">
        <v>1014.458</v>
      </c>
      <c r="M3020" s="10">
        <v>36.825000000000003</v>
      </c>
      <c r="N3020" s="10">
        <v>36.825000000000003</v>
      </c>
      <c r="O3020" s="10">
        <v>53.704999999999998</v>
      </c>
      <c r="P3020" s="15" t="s">
        <v>16164</v>
      </c>
      <c r="Q3020" s="15" t="s">
        <v>16164</v>
      </c>
      <c r="R3020" s="10">
        <v>53</v>
      </c>
    </row>
    <row r="3021" spans="1:18" ht="29.5" customHeight="1" x14ac:dyDescent="0.15">
      <c r="A3021" s="11" t="s">
        <v>16211</v>
      </c>
      <c r="B3021" s="1" t="s">
        <v>16212</v>
      </c>
      <c r="C3021" s="11" t="s">
        <v>16213</v>
      </c>
      <c r="D3021" s="11" t="s">
        <v>16213</v>
      </c>
      <c r="E3021" s="11" t="s">
        <v>16214</v>
      </c>
      <c r="F3021" s="11" t="s">
        <v>16215</v>
      </c>
      <c r="G3021" s="11" t="s">
        <v>16143</v>
      </c>
      <c r="H3021" s="11" t="s">
        <v>16144</v>
      </c>
      <c r="I3021" s="11" t="str">
        <f>HYPERLINK("http://mt-factory.it/","mt-factory.it")</f>
        <v>mt-factory.it</v>
      </c>
      <c r="J3021" s="12">
        <v>804.74199999999996</v>
      </c>
      <c r="K3021" s="12">
        <v>804.74199999999996</v>
      </c>
      <c r="L3021" s="13">
        <v>1014.328</v>
      </c>
      <c r="M3021" s="12">
        <v>-3.3730000000000002</v>
      </c>
      <c r="N3021" s="12">
        <v>-3.3730000000000002</v>
      </c>
      <c r="O3021" s="12">
        <v>2.21</v>
      </c>
      <c r="P3021" s="14" t="s">
        <v>16164</v>
      </c>
      <c r="Q3021" s="14" t="s">
        <v>16164</v>
      </c>
      <c r="R3021" s="12">
        <v>7</v>
      </c>
    </row>
    <row r="3022" spans="1:18" ht="29.5" customHeight="1" x14ac:dyDescent="0.15">
      <c r="A3022" s="8" t="s">
        <v>16216</v>
      </c>
      <c r="B3022" s="9" t="s">
        <v>16217</v>
      </c>
      <c r="C3022" s="8" t="s">
        <v>16218</v>
      </c>
      <c r="D3022" s="8" t="s">
        <v>16218</v>
      </c>
      <c r="E3022" s="8" t="s">
        <v>16219</v>
      </c>
      <c r="F3022" s="8" t="s">
        <v>16220</v>
      </c>
      <c r="G3022" s="8" t="s">
        <v>16221</v>
      </c>
      <c r="H3022" s="8" t="s">
        <v>16222</v>
      </c>
      <c r="I3022" s="8" t="str">
        <f>HYPERLINK("http://www.centrobelfurs.it/","www.centrobelfurs.it")</f>
        <v>www.centrobelfurs.it</v>
      </c>
      <c r="J3022" s="10">
        <v>1722.73</v>
      </c>
      <c r="K3022" s="10">
        <v>1722.73</v>
      </c>
      <c r="L3022" s="10">
        <v>1013.407</v>
      </c>
      <c r="M3022" s="10">
        <v>18.744</v>
      </c>
      <c r="N3022" s="10">
        <v>18.744</v>
      </c>
      <c r="O3022" s="10">
        <v>31.042999999999999</v>
      </c>
      <c r="P3022" s="10">
        <v>7</v>
      </c>
      <c r="Q3022" s="10">
        <v>7</v>
      </c>
      <c r="R3022" s="10">
        <v>10</v>
      </c>
    </row>
    <row r="3023" spans="1:18" ht="17" customHeight="1" x14ac:dyDescent="0.15">
      <c r="A3023" s="11" t="s">
        <v>16223</v>
      </c>
      <c r="B3023" s="1" t="s">
        <v>16224</v>
      </c>
      <c r="C3023" s="11" t="s">
        <v>16225</v>
      </c>
      <c r="D3023" s="11" t="s">
        <v>16225</v>
      </c>
      <c r="E3023" s="11" t="s">
        <v>16226</v>
      </c>
      <c r="F3023" s="11" t="s">
        <v>16179</v>
      </c>
      <c r="G3023" s="11" t="s">
        <v>16163</v>
      </c>
      <c r="H3023" s="11" t="s">
        <v>16157</v>
      </c>
      <c r="I3023" s="11" t="str">
        <f>HYPERLINK("http://specialzipper.it/","specialzipper.it")</f>
        <v>specialzipper.it</v>
      </c>
      <c r="J3023" s="12">
        <v>968.12</v>
      </c>
      <c r="K3023" s="12">
        <v>968.12</v>
      </c>
      <c r="L3023" s="13">
        <v>1011.691</v>
      </c>
      <c r="M3023" s="12">
        <v>24.492999999999999</v>
      </c>
      <c r="N3023" s="12">
        <v>24.492999999999999</v>
      </c>
      <c r="O3023" s="12">
        <v>35.563000000000002</v>
      </c>
      <c r="P3023" s="14" t="s">
        <v>16164</v>
      </c>
      <c r="Q3023" s="14" t="s">
        <v>16164</v>
      </c>
      <c r="R3023" s="12">
        <v>6</v>
      </c>
    </row>
    <row r="3024" spans="1:18" ht="29.5" customHeight="1" x14ac:dyDescent="0.15">
      <c r="A3024" s="8" t="s">
        <v>16227</v>
      </c>
      <c r="B3024" s="9" t="s">
        <v>16228</v>
      </c>
      <c r="C3024" s="8" t="s">
        <v>16229</v>
      </c>
      <c r="D3024" s="8" t="s">
        <v>16229</v>
      </c>
      <c r="E3024" s="8" t="s">
        <v>16230</v>
      </c>
      <c r="F3024" s="8" t="s">
        <v>16215</v>
      </c>
      <c r="G3024" s="8" t="s">
        <v>16231</v>
      </c>
      <c r="H3024" s="8" t="s">
        <v>16187</v>
      </c>
      <c r="I3024" s="8" t="str">
        <f>HYPERLINK("http://okinawaoperations.it/","okinawaoperations.it")</f>
        <v>okinawaoperations.it</v>
      </c>
      <c r="J3024" s="10">
        <v>1395.567</v>
      </c>
      <c r="K3024" s="10">
        <v>1395.567</v>
      </c>
      <c r="L3024" s="10">
        <v>1011.45</v>
      </c>
      <c r="M3024" s="10">
        <v>5.9080000000000004</v>
      </c>
      <c r="N3024" s="10">
        <v>5.9080000000000004</v>
      </c>
      <c r="O3024" s="10">
        <v>14.962</v>
      </c>
      <c r="P3024" s="15" t="s">
        <v>16164</v>
      </c>
      <c r="Q3024" s="15" t="s">
        <v>16164</v>
      </c>
      <c r="R3024" s="10">
        <v>9</v>
      </c>
    </row>
    <row r="3025" spans="1:18" ht="17" customHeight="1" x14ac:dyDescent="0.15">
      <c r="A3025" s="11" t="s">
        <v>16232</v>
      </c>
      <c r="B3025" s="1" t="s">
        <v>16233</v>
      </c>
      <c r="C3025" s="11" t="s">
        <v>16234</v>
      </c>
      <c r="D3025" s="11" t="s">
        <v>16234</v>
      </c>
      <c r="E3025" s="11" t="s">
        <v>16235</v>
      </c>
      <c r="F3025" s="11" t="s">
        <v>16236</v>
      </c>
      <c r="G3025" s="11" t="s">
        <v>16237</v>
      </c>
      <c r="H3025" s="11" t="s">
        <v>16157</v>
      </c>
      <c r="I3025" s="11" t="str">
        <f>HYPERLINK("http://www.saripel.it/","www.saripel.it")</f>
        <v>www.saripel.it</v>
      </c>
      <c r="J3025" s="12">
        <v>916.52</v>
      </c>
      <c r="K3025" s="12">
        <v>916.52</v>
      </c>
      <c r="L3025" s="13">
        <v>1011.503</v>
      </c>
      <c r="M3025" s="12">
        <v>113.82299999999999</v>
      </c>
      <c r="N3025" s="12">
        <v>113.82299999999999</v>
      </c>
      <c r="O3025" s="12">
        <v>94.933000000000007</v>
      </c>
      <c r="P3025" s="12">
        <v>7</v>
      </c>
      <c r="Q3025" s="12">
        <v>7</v>
      </c>
      <c r="R3025" s="12">
        <v>7</v>
      </c>
    </row>
    <row r="3026" spans="1:18" ht="17" customHeight="1" x14ac:dyDescent="0.15">
      <c r="A3026" s="8" t="s">
        <v>16238</v>
      </c>
      <c r="B3026" s="9" t="s">
        <v>16239</v>
      </c>
      <c r="C3026" s="8" t="s">
        <v>16240</v>
      </c>
      <c r="D3026" s="8" t="s">
        <v>16240</v>
      </c>
      <c r="E3026" s="8" t="s">
        <v>16241</v>
      </c>
      <c r="F3026" s="8" t="s">
        <v>16242</v>
      </c>
      <c r="G3026" s="8" t="s">
        <v>16243</v>
      </c>
      <c r="H3026" s="8" t="s">
        <v>16144</v>
      </c>
      <c r="I3026" s="8" t="str">
        <f>HYPERLINK("http://ernestocavalli.it/","ernestocavalli.it")</f>
        <v>ernestocavalli.it</v>
      </c>
      <c r="J3026" s="10">
        <v>1232.002</v>
      </c>
      <c r="K3026" s="10">
        <v>1232.002</v>
      </c>
      <c r="L3026" s="10">
        <v>1010.734</v>
      </c>
      <c r="M3026" s="10">
        <v>47.820999999999998</v>
      </c>
      <c r="N3026" s="10">
        <v>47.820999999999998</v>
      </c>
      <c r="O3026" s="10">
        <v>-10.284000000000001</v>
      </c>
      <c r="P3026" s="10">
        <v>30</v>
      </c>
      <c r="Q3026" s="10">
        <v>30</v>
      </c>
      <c r="R3026" s="10">
        <v>29</v>
      </c>
    </row>
    <row r="3027" spans="1:18" ht="17" customHeight="1" x14ac:dyDescent="0.15">
      <c r="A3027" s="11" t="s">
        <v>16244</v>
      </c>
      <c r="B3027" s="1" t="s">
        <v>16245</v>
      </c>
      <c r="C3027" s="11" t="s">
        <v>16246</v>
      </c>
      <c r="D3027" s="11" t="s">
        <v>16246</v>
      </c>
      <c r="E3027" s="11" t="s">
        <v>16247</v>
      </c>
      <c r="F3027" s="11" t="s">
        <v>16169</v>
      </c>
      <c r="G3027" s="11" t="s">
        <v>16248</v>
      </c>
      <c r="H3027" s="11" t="s">
        <v>16249</v>
      </c>
      <c r="I3027" s="11" t="str">
        <f>HYPERLINK("http://www.borgodellortica.it/","www.borgodellortica.it")</f>
        <v>www.borgodellortica.it</v>
      </c>
      <c r="J3027" s="12">
        <v>868.45100000000002</v>
      </c>
      <c r="K3027" s="12">
        <v>868.45100000000002</v>
      </c>
      <c r="L3027" s="13">
        <v>1009.5839999999999</v>
      </c>
      <c r="M3027" s="12">
        <v>-7.6749999999999998</v>
      </c>
      <c r="N3027" s="12">
        <v>-7.6749999999999998</v>
      </c>
      <c r="O3027" s="12">
        <v>-23.709</v>
      </c>
      <c r="P3027" s="12">
        <v>11</v>
      </c>
      <c r="Q3027" s="12">
        <v>11</v>
      </c>
      <c r="R3027" s="12">
        <v>10</v>
      </c>
    </row>
    <row r="3028" spans="1:18" ht="17" customHeight="1" x14ac:dyDescent="0.15">
      <c r="A3028" s="8" t="s">
        <v>16250</v>
      </c>
      <c r="B3028" s="9" t="s">
        <v>16251</v>
      </c>
      <c r="C3028" s="8" t="s">
        <v>16252</v>
      </c>
      <c r="D3028" s="8" t="s">
        <v>16252</v>
      </c>
      <c r="E3028" s="8" t="s">
        <v>16253</v>
      </c>
      <c r="F3028" s="8" t="s">
        <v>16242</v>
      </c>
      <c r="G3028" s="8" t="s">
        <v>16254</v>
      </c>
      <c r="H3028" s="8" t="s">
        <v>16144</v>
      </c>
      <c r="I3028" s="8" t="str">
        <f>HYPERLINK("http://www.aquarellecomo.com/","www.aquarellecomo.com")</f>
        <v>www.aquarellecomo.com</v>
      </c>
      <c r="J3028" s="10">
        <v>538.61300000000006</v>
      </c>
      <c r="K3028" s="10">
        <v>1092.402</v>
      </c>
      <c r="L3028" s="10">
        <v>1009.2809999999999</v>
      </c>
      <c r="M3028" s="10">
        <v>51.213999999999999</v>
      </c>
      <c r="N3028" s="10">
        <v>245.23599999999999</v>
      </c>
      <c r="O3028" s="10">
        <v>249.65799999999999</v>
      </c>
      <c r="P3028" s="10">
        <v>10</v>
      </c>
      <c r="Q3028" s="10">
        <v>9</v>
      </c>
      <c r="R3028" s="10">
        <v>7</v>
      </c>
    </row>
    <row r="3029" spans="1:18" ht="29.5" customHeight="1" x14ac:dyDescent="0.15">
      <c r="A3029" s="11" t="s">
        <v>16255</v>
      </c>
      <c r="B3029" s="1" t="s">
        <v>16256</v>
      </c>
      <c r="C3029" s="11" t="s">
        <v>16257</v>
      </c>
      <c r="D3029" s="11" t="s">
        <v>16257</v>
      </c>
      <c r="E3029" s="11" t="s">
        <v>16258</v>
      </c>
      <c r="F3029" s="11" t="s">
        <v>16242</v>
      </c>
      <c r="G3029" s="11" t="s">
        <v>16259</v>
      </c>
      <c r="H3029" s="11" t="s">
        <v>16181</v>
      </c>
      <c r="I3029" s="11" t="str">
        <f>HYPERLINK("http://life-intimo-srl-04421770720.quantofattura.com/","life-intimo-srl-04421770720.quantofattura.com")</f>
        <v>life-intimo-srl-04421770720.quantofattura.com</v>
      </c>
      <c r="J3029" s="12">
        <v>1324.7</v>
      </c>
      <c r="K3029" s="12">
        <v>1324.7</v>
      </c>
      <c r="L3029" s="13">
        <v>1004.443</v>
      </c>
      <c r="M3029" s="12">
        <v>4.58</v>
      </c>
      <c r="N3029" s="12">
        <v>4.58</v>
      </c>
      <c r="O3029" s="12">
        <v>24.687999999999999</v>
      </c>
      <c r="P3029" s="12">
        <v>6</v>
      </c>
      <c r="Q3029" s="12">
        <v>6</v>
      </c>
      <c r="R3029" s="12">
        <v>8</v>
      </c>
    </row>
    <row r="3030" spans="1:18" ht="17" customHeight="1" x14ac:dyDescent="0.15">
      <c r="A3030" s="8" t="s">
        <v>16260</v>
      </c>
      <c r="B3030" s="9" t="s">
        <v>16261</v>
      </c>
      <c r="C3030" s="8" t="s">
        <v>16262</v>
      </c>
      <c r="D3030" s="8" t="s">
        <v>16262</v>
      </c>
      <c r="E3030" s="8" t="s">
        <v>16263</v>
      </c>
      <c r="F3030" s="8" t="s">
        <v>16264</v>
      </c>
      <c r="G3030" s="8" t="s">
        <v>16265</v>
      </c>
      <c r="H3030" s="8" t="s">
        <v>16144</v>
      </c>
      <c r="I3030" s="8" t="str">
        <f>HYPERLINK("http://www.longinodurso.it/","www.longinodurso.it")</f>
        <v>www.longinodurso.it</v>
      </c>
      <c r="J3030" s="10">
        <v>179.97</v>
      </c>
      <c r="K3030" s="10">
        <v>179.97</v>
      </c>
      <c r="L3030" s="10">
        <v>1004.3579999999999</v>
      </c>
      <c r="M3030" s="10">
        <v>7.2999999999999995E-2</v>
      </c>
      <c r="N3030" s="10">
        <v>7.2999999999999995E-2</v>
      </c>
      <c r="O3030" s="10">
        <v>105.143</v>
      </c>
      <c r="P3030" s="15" t="s">
        <v>16164</v>
      </c>
      <c r="Q3030" s="15" t="s">
        <v>16164</v>
      </c>
      <c r="R3030" s="15" t="s">
        <v>16164</v>
      </c>
    </row>
    <row r="3031" spans="1:18" ht="17" customHeight="1" x14ac:dyDescent="0.15">
      <c r="A3031" s="11" t="s">
        <v>16266</v>
      </c>
      <c r="B3031" s="1" t="s">
        <v>16267</v>
      </c>
      <c r="C3031" s="11" t="s">
        <v>16268</v>
      </c>
      <c r="D3031" s="11" t="s">
        <v>16268</v>
      </c>
      <c r="E3031" s="11" t="s">
        <v>16269</v>
      </c>
      <c r="F3031" s="11" t="s">
        <v>16142</v>
      </c>
      <c r="G3031" s="11" t="s">
        <v>16270</v>
      </c>
      <c r="H3031" s="11" t="s">
        <v>16222</v>
      </c>
      <c r="I3031" s="11" t="str">
        <f>HYPERLINK("http://www.greenlifecalzature.it/","www.greenlifecalzature.it")</f>
        <v>www.greenlifecalzature.it</v>
      </c>
      <c r="J3031" s="12">
        <v>767.38199999999995</v>
      </c>
      <c r="K3031" s="12">
        <v>767.38199999999995</v>
      </c>
      <c r="L3031" s="13">
        <v>1003.246</v>
      </c>
      <c r="M3031" s="12">
        <v>15.726000000000001</v>
      </c>
      <c r="N3031" s="12">
        <v>15.726000000000001</v>
      </c>
      <c r="O3031" s="12">
        <v>10.112</v>
      </c>
      <c r="P3031" s="12">
        <v>11</v>
      </c>
      <c r="Q3031" s="12">
        <v>11</v>
      </c>
      <c r="R3031" s="12">
        <v>12</v>
      </c>
    </row>
    <row r="3032" spans="1:18" ht="17" customHeight="1" x14ac:dyDescent="0.15">
      <c r="A3032" s="8" t="s">
        <v>16271</v>
      </c>
      <c r="B3032" s="9" t="s">
        <v>16272</v>
      </c>
      <c r="C3032" s="8" t="s">
        <v>16273</v>
      </c>
      <c r="D3032" s="8" t="s">
        <v>16273</v>
      </c>
      <c r="E3032" s="8" t="s">
        <v>16274</v>
      </c>
      <c r="F3032" s="8" t="s">
        <v>16179</v>
      </c>
      <c r="G3032" s="8" t="s">
        <v>16275</v>
      </c>
      <c r="H3032" s="8" t="s">
        <v>16157</v>
      </c>
      <c r="I3032" s="8" t="str">
        <f>HYPERLINK("http://www.mimsmodasrl.it/","www.mimsmodasrl.it")</f>
        <v>www.mimsmodasrl.it</v>
      </c>
      <c r="J3032" s="10">
        <v>858.65800000000002</v>
      </c>
      <c r="K3032" s="10">
        <v>858.65800000000002</v>
      </c>
      <c r="L3032" s="10">
        <v>1002.109</v>
      </c>
      <c r="M3032" s="10">
        <v>-200.64400000000001</v>
      </c>
      <c r="N3032" s="10">
        <v>-200.64400000000001</v>
      </c>
      <c r="O3032" s="10">
        <v>-52.976999999999997</v>
      </c>
      <c r="P3032" s="10">
        <v>7</v>
      </c>
      <c r="Q3032" s="10">
        <v>7</v>
      </c>
      <c r="R3032" s="10">
        <v>6</v>
      </c>
    </row>
    <row r="3033" spans="1:18" ht="29.5" customHeight="1" x14ac:dyDescent="0.15">
      <c r="A3033" s="11" t="s">
        <v>16276</v>
      </c>
      <c r="B3033" s="1" t="s">
        <v>16277</v>
      </c>
      <c r="C3033" s="11" t="s">
        <v>16278</v>
      </c>
      <c r="D3033" s="11" t="s">
        <v>16278</v>
      </c>
      <c r="E3033" s="11" t="s">
        <v>16279</v>
      </c>
      <c r="F3033" s="11" t="s">
        <v>16280</v>
      </c>
      <c r="G3033" s="11" t="s">
        <v>16259</v>
      </c>
      <c r="H3033" s="11" t="s">
        <v>16181</v>
      </c>
      <c r="I3033" s="11" t="str">
        <f>HYPERLINK("http://www.newgisab.it/","www.newgisab.it")</f>
        <v>www.newgisab.it</v>
      </c>
      <c r="J3033" s="12">
        <v>922.16</v>
      </c>
      <c r="K3033" s="12">
        <v>922.16</v>
      </c>
      <c r="L3033" s="13">
        <v>1001.061</v>
      </c>
      <c r="M3033" s="12">
        <v>-102.73399999999999</v>
      </c>
      <c r="N3033" s="12">
        <v>-102.73399999999999</v>
      </c>
      <c r="O3033" s="12">
        <v>-140.96199999999999</v>
      </c>
      <c r="P3033" s="14" t="s">
        <v>16164</v>
      </c>
      <c r="Q3033" s="14" t="s">
        <v>16164</v>
      </c>
      <c r="R3033" s="12">
        <v>9</v>
      </c>
    </row>
    <row r="3034" spans="1:18" ht="17" customHeight="1" x14ac:dyDescent="0.15">
      <c r="A3034" s="8" t="s">
        <v>16281</v>
      </c>
      <c r="B3034" s="9" t="s">
        <v>16282</v>
      </c>
      <c r="C3034" s="8" t="s">
        <v>16283</v>
      </c>
      <c r="D3034" s="8" t="s">
        <v>16283</v>
      </c>
      <c r="E3034" s="8" t="s">
        <v>16284</v>
      </c>
      <c r="F3034" s="8" t="s">
        <v>16192</v>
      </c>
      <c r="G3034" s="8" t="s">
        <v>16285</v>
      </c>
      <c r="H3034" s="8" t="s">
        <v>16187</v>
      </c>
      <c r="I3034" s="8" t="str">
        <f>HYPERLINK("http://www.velaitaly.com/","www.velaitaly.com")</f>
        <v>www.velaitaly.com</v>
      </c>
      <c r="J3034" s="10">
        <v>1162.492</v>
      </c>
      <c r="K3034" s="10">
        <v>1162.492</v>
      </c>
      <c r="L3034" s="10">
        <v>1000.376</v>
      </c>
      <c r="M3034" s="10">
        <v>2.7869999999999999</v>
      </c>
      <c r="N3034" s="10">
        <v>2.7869999999999999</v>
      </c>
      <c r="O3034" s="10">
        <v>57.13</v>
      </c>
      <c r="P3034" s="10">
        <v>27</v>
      </c>
      <c r="Q3034" s="10">
        <v>27</v>
      </c>
      <c r="R3034" s="10">
        <v>27</v>
      </c>
    </row>
    <row r="3035" spans="1:18" ht="17" customHeight="1" x14ac:dyDescent="0.15">
      <c r="A3035" s="11" t="s">
        <v>16286</v>
      </c>
      <c r="B3035" s="1" t="s">
        <v>16287</v>
      </c>
      <c r="C3035" s="11" t="s">
        <v>16288</v>
      </c>
      <c r="D3035" s="11" t="s">
        <v>16288</v>
      </c>
      <c r="E3035" s="11" t="s">
        <v>16289</v>
      </c>
      <c r="F3035" s="11" t="s">
        <v>16264</v>
      </c>
      <c r="G3035" s="11" t="s">
        <v>16170</v>
      </c>
      <c r="H3035" s="11" t="s">
        <v>16157</v>
      </c>
      <c r="I3035" s="11" t="str">
        <f>HYPERLINK("http://www.eurofur.it/","www.eurofur.it")</f>
        <v>www.eurofur.it</v>
      </c>
      <c r="J3035" s="12">
        <v>629.73199999999997</v>
      </c>
      <c r="K3035" s="12">
        <v>629.73199999999997</v>
      </c>
      <c r="L3035" s="13">
        <v>1000.178</v>
      </c>
      <c r="M3035" s="12">
        <v>-152.15700000000001</v>
      </c>
      <c r="N3035" s="12">
        <v>-152.15700000000001</v>
      </c>
      <c r="O3035" s="12">
        <v>-121.107</v>
      </c>
      <c r="P3035" s="12">
        <v>4</v>
      </c>
      <c r="Q3035" s="12">
        <v>4</v>
      </c>
      <c r="R3035" s="12">
        <v>4</v>
      </c>
    </row>
    <row r="3036" spans="1:18" ht="17" customHeight="1" x14ac:dyDescent="0.15">
      <c r="A3036" s="8" t="s">
        <v>16290</v>
      </c>
      <c r="B3036" s="9" t="s">
        <v>16291</v>
      </c>
      <c r="C3036" s="8" t="s">
        <v>16292</v>
      </c>
      <c r="D3036" s="8" t="s">
        <v>16292</v>
      </c>
      <c r="E3036" s="8" t="s">
        <v>16293</v>
      </c>
      <c r="F3036" s="8" t="s">
        <v>16179</v>
      </c>
      <c r="G3036" s="8" t="s">
        <v>16294</v>
      </c>
      <c r="H3036" s="8" t="s">
        <v>16181</v>
      </c>
      <c r="I3036" s="8" t="str">
        <f>HYPERLINK("http://www.arcte.it/","www.arcte.it")</f>
        <v>www.arcte.it</v>
      </c>
      <c r="J3036" s="10">
        <v>1021.756</v>
      </c>
      <c r="K3036" s="10">
        <v>1021.756</v>
      </c>
      <c r="L3036" s="10">
        <v>999.46900000000005</v>
      </c>
      <c r="M3036" s="10">
        <v>13.618</v>
      </c>
      <c r="N3036" s="10">
        <v>13.618</v>
      </c>
      <c r="O3036" s="10">
        <v>39.494</v>
      </c>
      <c r="P3036" s="10">
        <v>3</v>
      </c>
      <c r="Q3036" s="10">
        <v>3</v>
      </c>
      <c r="R3036" s="10">
        <v>1</v>
      </c>
    </row>
    <row r="3037" spans="1:18" ht="17" customHeight="1" x14ac:dyDescent="0.15">
      <c r="A3037" s="11" t="s">
        <v>16295</v>
      </c>
      <c r="B3037" s="1" t="s">
        <v>16296</v>
      </c>
      <c r="C3037" s="11" t="s">
        <v>16297</v>
      </c>
      <c r="D3037" s="11" t="s">
        <v>16297</v>
      </c>
      <c r="E3037" s="11" t="s">
        <v>16298</v>
      </c>
      <c r="F3037" s="11" t="s">
        <v>16299</v>
      </c>
      <c r="G3037" s="11" t="s">
        <v>16300</v>
      </c>
      <c r="H3037" s="11" t="s">
        <v>16181</v>
      </c>
      <c r="I3037" s="11" t="str">
        <f>HYPERLINK("http://www.isazippo.com/","www.isazippo.com")</f>
        <v>www.isazippo.com</v>
      </c>
      <c r="J3037" s="12">
        <v>760.86500000000001</v>
      </c>
      <c r="K3037" s="12">
        <v>760.86500000000001</v>
      </c>
      <c r="L3037" s="13">
        <v>999.36900000000003</v>
      </c>
      <c r="M3037" s="12">
        <v>-8.8870000000000005</v>
      </c>
      <c r="N3037" s="12">
        <v>-8.8870000000000005</v>
      </c>
      <c r="O3037" s="12">
        <v>4.1859999999999999</v>
      </c>
      <c r="P3037" s="12">
        <v>36</v>
      </c>
      <c r="Q3037" s="12">
        <v>36</v>
      </c>
      <c r="R3037" s="12">
        <v>40</v>
      </c>
    </row>
    <row r="3038" spans="1:18" ht="17" customHeight="1" x14ac:dyDescent="0.15">
      <c r="A3038" s="8" t="s">
        <v>16301</v>
      </c>
      <c r="B3038" s="9" t="s">
        <v>16302</v>
      </c>
      <c r="C3038" s="8" t="s">
        <v>16303</v>
      </c>
      <c r="D3038" s="8" t="s">
        <v>16303</v>
      </c>
      <c r="E3038" s="8" t="s">
        <v>16304</v>
      </c>
      <c r="F3038" s="8" t="s">
        <v>16299</v>
      </c>
      <c r="G3038" s="8" t="s">
        <v>16259</v>
      </c>
      <c r="H3038" s="8" t="s">
        <v>16181</v>
      </c>
      <c r="I3038" s="8" t="str">
        <f>HYPERLINK("http://italianurbanstyle.it/","italianurbanstyle.it")</f>
        <v>italianurbanstyle.it</v>
      </c>
      <c r="J3038" s="10">
        <v>4.0990000000000002</v>
      </c>
      <c r="K3038" s="10">
        <v>4.0990000000000002</v>
      </c>
      <c r="L3038" s="10">
        <v>999.03099999999995</v>
      </c>
      <c r="M3038" s="10">
        <v>-1.6679999999999999</v>
      </c>
      <c r="N3038" s="10">
        <v>-1.6679999999999999</v>
      </c>
      <c r="O3038" s="10">
        <v>63.232999999999997</v>
      </c>
      <c r="P3038" s="15" t="s">
        <v>16164</v>
      </c>
      <c r="Q3038" s="15" t="s">
        <v>16164</v>
      </c>
      <c r="R3038" s="10">
        <v>17</v>
      </c>
    </row>
    <row r="3039" spans="1:18" ht="17" customHeight="1" x14ac:dyDescent="0.15">
      <c r="A3039" s="11" t="s">
        <v>16305</v>
      </c>
      <c r="B3039" s="1" t="s">
        <v>16306</v>
      </c>
      <c r="C3039" s="11" t="s">
        <v>16307</v>
      </c>
      <c r="D3039" s="11" t="s">
        <v>16307</v>
      </c>
      <c r="E3039" s="11" t="s">
        <v>16308</v>
      </c>
      <c r="F3039" s="11" t="s">
        <v>16169</v>
      </c>
      <c r="G3039" s="11" t="s">
        <v>16285</v>
      </c>
      <c r="H3039" s="11" t="s">
        <v>16187</v>
      </c>
      <c r="I3039" s="11" t="str">
        <f>HYPERLINK("http://www.erreditess.it/","www.erreditess.it")</f>
        <v>www.erreditess.it</v>
      </c>
      <c r="J3039" s="12">
        <v>1227.355</v>
      </c>
      <c r="K3039" s="12">
        <v>1227.355</v>
      </c>
      <c r="L3039" s="13">
        <v>998.14800000000002</v>
      </c>
      <c r="M3039" s="12">
        <v>244.32599999999999</v>
      </c>
      <c r="N3039" s="12">
        <v>244.32599999999999</v>
      </c>
      <c r="O3039" s="12">
        <v>238.53800000000001</v>
      </c>
      <c r="P3039" s="12">
        <v>8</v>
      </c>
      <c r="Q3039" s="12">
        <v>8</v>
      </c>
      <c r="R3039" s="12">
        <v>7</v>
      </c>
    </row>
    <row r="3040" spans="1:18" ht="17" customHeight="1" x14ac:dyDescent="0.15">
      <c r="A3040" s="8" t="s">
        <v>16309</v>
      </c>
      <c r="B3040" s="9" t="s">
        <v>16310</v>
      </c>
      <c r="C3040" s="8" t="s">
        <v>16311</v>
      </c>
      <c r="D3040" s="8" t="s">
        <v>16311</v>
      </c>
      <c r="E3040" s="8" t="s">
        <v>16312</v>
      </c>
      <c r="F3040" s="8" t="s">
        <v>16179</v>
      </c>
      <c r="G3040" s="8" t="s">
        <v>16313</v>
      </c>
      <c r="H3040" s="8" t="s">
        <v>16314</v>
      </c>
      <c r="I3040" s="8" t="str">
        <f>HYPERLINK("http://www.steson.net/","http://www.steson.net")</f>
        <v>http://www.steson.net</v>
      </c>
      <c r="J3040" s="10">
        <v>1220.7070000000001</v>
      </c>
      <c r="K3040" s="10">
        <v>1220.7070000000001</v>
      </c>
      <c r="L3040" s="10">
        <v>997.86800000000005</v>
      </c>
      <c r="M3040" s="10">
        <v>8.7840000000000007</v>
      </c>
      <c r="N3040" s="10">
        <v>8.7840000000000007</v>
      </c>
      <c r="O3040" s="10">
        <v>10.022</v>
      </c>
      <c r="P3040" s="15" t="s">
        <v>16164</v>
      </c>
      <c r="Q3040" s="15" t="s">
        <v>16164</v>
      </c>
      <c r="R3040" s="10">
        <v>5</v>
      </c>
    </row>
    <row r="3041" spans="1:18" ht="17" customHeight="1" x14ac:dyDescent="0.15">
      <c r="A3041" s="11" t="s">
        <v>16315</v>
      </c>
      <c r="B3041" s="1" t="s">
        <v>16316</v>
      </c>
      <c r="C3041" s="11" t="s">
        <v>16317</v>
      </c>
      <c r="D3041" s="11" t="s">
        <v>16317</v>
      </c>
      <c r="E3041" s="11" t="s">
        <v>16318</v>
      </c>
      <c r="F3041" s="11" t="s">
        <v>16319</v>
      </c>
      <c r="G3041" s="11" t="s">
        <v>16320</v>
      </c>
      <c r="H3041" s="11" t="s">
        <v>16321</v>
      </c>
      <c r="I3041" s="11" t="str">
        <f>HYPERLINK("http://www.bemastyle.com/","www.bemastyle.com")</f>
        <v>www.bemastyle.com</v>
      </c>
      <c r="J3041" s="12">
        <v>1009.942</v>
      </c>
      <c r="K3041" s="12">
        <v>1009.942</v>
      </c>
      <c r="L3041" s="13">
        <v>997.17200000000003</v>
      </c>
      <c r="M3041" s="12">
        <v>33.945</v>
      </c>
      <c r="N3041" s="12">
        <v>33.945</v>
      </c>
      <c r="O3041" s="12">
        <v>12.093</v>
      </c>
      <c r="P3041" s="14" t="s">
        <v>16322</v>
      </c>
      <c r="Q3041" s="14" t="s">
        <v>16322</v>
      </c>
      <c r="R3041" s="12">
        <v>5</v>
      </c>
    </row>
    <row r="3042" spans="1:18" ht="17" customHeight="1" x14ac:dyDescent="0.15">
      <c r="A3042" s="8" t="s">
        <v>16323</v>
      </c>
      <c r="B3042" s="9" t="s">
        <v>16324</v>
      </c>
      <c r="C3042" s="8" t="s">
        <v>16325</v>
      </c>
      <c r="D3042" s="8" t="s">
        <v>16325</v>
      </c>
      <c r="E3042" s="8" t="s">
        <v>16326</v>
      </c>
      <c r="F3042" s="8" t="s">
        <v>16327</v>
      </c>
      <c r="G3042" s="8" t="s">
        <v>16328</v>
      </c>
      <c r="H3042" s="8" t="s">
        <v>16329</v>
      </c>
      <c r="I3042" s="8" t="str">
        <f>HYPERLINK("http://www.ilcinturino.it/","www.ilcinturino.it")</f>
        <v>www.ilcinturino.it</v>
      </c>
      <c r="J3042" s="10">
        <v>995.09699999999998</v>
      </c>
      <c r="K3042" s="15" t="s">
        <v>16322</v>
      </c>
      <c r="L3042" s="10">
        <v>995.09699999999998</v>
      </c>
      <c r="M3042" s="10">
        <v>16.805</v>
      </c>
      <c r="N3042" s="15" t="s">
        <v>16322</v>
      </c>
      <c r="O3042" s="10">
        <v>16.805</v>
      </c>
      <c r="P3042" s="10">
        <v>26</v>
      </c>
      <c r="Q3042" s="15" t="s">
        <v>16322</v>
      </c>
      <c r="R3042" s="10">
        <v>26</v>
      </c>
    </row>
    <row r="3043" spans="1:18" ht="17" customHeight="1" x14ac:dyDescent="0.15">
      <c r="A3043" s="11" t="s">
        <v>16330</v>
      </c>
      <c r="B3043" s="1" t="s">
        <v>16331</v>
      </c>
      <c r="C3043" s="11" t="s">
        <v>16332</v>
      </c>
      <c r="D3043" s="11" t="s">
        <v>16332</v>
      </c>
      <c r="E3043" s="11" t="s">
        <v>16333</v>
      </c>
      <c r="F3043" s="11" t="s">
        <v>16334</v>
      </c>
      <c r="G3043" s="11" t="s">
        <v>16335</v>
      </c>
      <c r="H3043" s="11" t="s">
        <v>16336</v>
      </c>
      <c r="I3043" s="11" t="str">
        <f>HYPERLINK("http://www.apex-srl.com/","www.apex-srl.com")</f>
        <v>www.apex-srl.com</v>
      </c>
      <c r="J3043" s="12">
        <v>829.41</v>
      </c>
      <c r="K3043" s="12">
        <v>829.41</v>
      </c>
      <c r="L3043" s="13">
        <v>994.428</v>
      </c>
      <c r="M3043" s="12">
        <v>4.8639999999999999</v>
      </c>
      <c r="N3043" s="12">
        <v>4.8639999999999999</v>
      </c>
      <c r="O3043" s="12">
        <v>7.1479999999999997</v>
      </c>
      <c r="P3043" s="14" t="s">
        <v>16322</v>
      </c>
      <c r="Q3043" s="14" t="s">
        <v>16322</v>
      </c>
      <c r="R3043" s="12">
        <v>15</v>
      </c>
    </row>
    <row r="3044" spans="1:18" ht="17" customHeight="1" x14ac:dyDescent="0.15">
      <c r="A3044" s="8" t="s">
        <v>16337</v>
      </c>
      <c r="B3044" s="9" t="s">
        <v>16338</v>
      </c>
      <c r="C3044" s="8" t="s">
        <v>16339</v>
      </c>
      <c r="D3044" s="8" t="s">
        <v>16339</v>
      </c>
      <c r="E3044" s="8" t="s">
        <v>16340</v>
      </c>
      <c r="F3044" s="8" t="s">
        <v>16341</v>
      </c>
      <c r="G3044" s="8" t="s">
        <v>16342</v>
      </c>
      <c r="H3044" s="8" t="s">
        <v>16343</v>
      </c>
      <c r="I3044" s="8" t="str">
        <f>HYPERLINK("http://www.vm18jeans.it/","www.vm18jeans.it")</f>
        <v>www.vm18jeans.it</v>
      </c>
      <c r="J3044" s="10">
        <v>741.96600000000001</v>
      </c>
      <c r="K3044" s="10">
        <v>741.96600000000001</v>
      </c>
      <c r="L3044" s="10">
        <v>992.375</v>
      </c>
      <c r="M3044" s="10">
        <v>35.262999999999998</v>
      </c>
      <c r="N3044" s="10">
        <v>35.262999999999998</v>
      </c>
      <c r="O3044" s="10">
        <v>10.113</v>
      </c>
      <c r="P3044" s="15" t="s">
        <v>16322</v>
      </c>
      <c r="Q3044" s="15" t="s">
        <v>16322</v>
      </c>
      <c r="R3044" s="10">
        <v>6</v>
      </c>
    </row>
    <row r="3045" spans="1:18" ht="17" customHeight="1" x14ac:dyDescent="0.15">
      <c r="A3045" s="11" t="s">
        <v>16344</v>
      </c>
      <c r="B3045" s="1" t="s">
        <v>16345</v>
      </c>
      <c r="C3045" s="11" t="s">
        <v>16346</v>
      </c>
      <c r="D3045" s="11" t="s">
        <v>16346</v>
      </c>
      <c r="E3045" s="11" t="s">
        <v>16347</v>
      </c>
      <c r="F3045" s="11" t="s">
        <v>16348</v>
      </c>
      <c r="G3045" s="11" t="s">
        <v>16335</v>
      </c>
      <c r="H3045" s="11" t="s">
        <v>16336</v>
      </c>
      <c r="I3045" s="11" t="str">
        <f>HYPERLINK("http://www.carnavalqueen.com/","www.carnavalqueen.com")</f>
        <v>www.carnavalqueen.com</v>
      </c>
      <c r="J3045" s="12">
        <v>1377.5909999999999</v>
      </c>
      <c r="K3045" s="12">
        <v>1349.796</v>
      </c>
      <c r="L3045" s="13">
        <v>992.04600000000005</v>
      </c>
      <c r="M3045" s="12">
        <v>31.971</v>
      </c>
      <c r="N3045" s="12">
        <v>36.621000000000002</v>
      </c>
      <c r="O3045" s="12">
        <v>86.837999999999994</v>
      </c>
      <c r="P3045" s="14" t="s">
        <v>16322</v>
      </c>
      <c r="Q3045" s="12">
        <v>4</v>
      </c>
      <c r="R3045" s="12">
        <v>5</v>
      </c>
    </row>
    <row r="3046" spans="1:18" ht="29.5" customHeight="1" x14ac:dyDescent="0.15">
      <c r="A3046" s="8" t="s">
        <v>16349</v>
      </c>
      <c r="B3046" s="9" t="s">
        <v>16350</v>
      </c>
      <c r="C3046" s="8" t="s">
        <v>16351</v>
      </c>
      <c r="D3046" s="8" t="s">
        <v>16351</v>
      </c>
      <c r="E3046" s="8" t="s">
        <v>16352</v>
      </c>
      <c r="F3046" s="8" t="s">
        <v>16319</v>
      </c>
      <c r="G3046" s="8" t="s">
        <v>16353</v>
      </c>
      <c r="H3046" s="8" t="s">
        <v>16354</v>
      </c>
      <c r="I3046" s="8" t="str">
        <f>HYPERLINK("http://www.ncleather.net/","www.ncleather.net")</f>
        <v>www.ncleather.net</v>
      </c>
      <c r="J3046" s="10">
        <v>1321.115</v>
      </c>
      <c r="K3046" s="10">
        <v>1321.115</v>
      </c>
      <c r="L3046" s="10">
        <v>991.98199999999997</v>
      </c>
      <c r="M3046" s="10">
        <v>46.63</v>
      </c>
      <c r="N3046" s="10">
        <v>46.63</v>
      </c>
      <c r="O3046" s="10">
        <v>247.36600000000001</v>
      </c>
      <c r="P3046" s="10">
        <v>10</v>
      </c>
      <c r="Q3046" s="10">
        <v>10</v>
      </c>
      <c r="R3046" s="10">
        <v>8</v>
      </c>
    </row>
    <row r="3047" spans="1:18" ht="17" customHeight="1" x14ac:dyDescent="0.15">
      <c r="A3047" s="11" t="s">
        <v>16355</v>
      </c>
      <c r="B3047" s="1" t="s">
        <v>16356</v>
      </c>
      <c r="C3047" s="11" t="s">
        <v>16357</v>
      </c>
      <c r="D3047" s="11" t="s">
        <v>16357</v>
      </c>
      <c r="E3047" s="11" t="s">
        <v>16358</v>
      </c>
      <c r="F3047" s="11" t="s">
        <v>16359</v>
      </c>
      <c r="G3047" s="11" t="s">
        <v>16360</v>
      </c>
      <c r="H3047" s="11" t="s">
        <v>16343</v>
      </c>
      <c r="I3047" s="11" t="str">
        <f>HYPERLINK("http://www.raggianti.it/","www.raggianti.it")</f>
        <v>www.raggianti.it</v>
      </c>
      <c r="J3047" s="12">
        <v>1468.6669999999999</v>
      </c>
      <c r="K3047" s="12">
        <v>1094.674</v>
      </c>
      <c r="L3047" s="13">
        <v>991.28800000000001</v>
      </c>
      <c r="M3047" s="12">
        <v>73.834999999999994</v>
      </c>
      <c r="N3047" s="12">
        <v>20.146999999999998</v>
      </c>
      <c r="O3047" s="12">
        <v>12.976000000000001</v>
      </c>
      <c r="P3047" s="14" t="s">
        <v>16322</v>
      </c>
      <c r="Q3047" s="14" t="s">
        <v>16322</v>
      </c>
      <c r="R3047" s="12">
        <v>23</v>
      </c>
    </row>
    <row r="3048" spans="1:18" ht="17" customHeight="1" x14ac:dyDescent="0.15">
      <c r="A3048" s="8" t="s">
        <v>16361</v>
      </c>
      <c r="B3048" s="9" t="s">
        <v>16362</v>
      </c>
      <c r="C3048" s="8" t="s">
        <v>16363</v>
      </c>
      <c r="D3048" s="8" t="s">
        <v>16363</v>
      </c>
      <c r="E3048" s="8" t="s">
        <v>16364</v>
      </c>
      <c r="F3048" s="8" t="s">
        <v>16365</v>
      </c>
      <c r="G3048" s="8" t="s">
        <v>16366</v>
      </c>
      <c r="H3048" s="8" t="s">
        <v>16367</v>
      </c>
      <c r="I3048" s="8" t="str">
        <f>HYPERLINK("http://www.giorgiaformentini.it/","www.giorgiaformentini.it")</f>
        <v>www.giorgiaformentini.it</v>
      </c>
      <c r="J3048" s="10">
        <v>3078.36</v>
      </c>
      <c r="K3048" s="10">
        <v>3078.36</v>
      </c>
      <c r="L3048" s="10">
        <v>990.88</v>
      </c>
      <c r="M3048" s="10">
        <v>535.61400000000003</v>
      </c>
      <c r="N3048" s="10">
        <v>535.61400000000003</v>
      </c>
      <c r="O3048" s="10">
        <v>38.825000000000003</v>
      </c>
      <c r="P3048" s="15" t="s">
        <v>16322</v>
      </c>
      <c r="Q3048" s="15" t="s">
        <v>16322</v>
      </c>
      <c r="R3048" s="10">
        <v>1</v>
      </c>
    </row>
    <row r="3049" spans="1:18" ht="17" customHeight="1" x14ac:dyDescent="0.15">
      <c r="A3049" s="11" t="s">
        <v>16368</v>
      </c>
      <c r="B3049" s="1" t="s">
        <v>16369</v>
      </c>
      <c r="C3049" s="11" t="s">
        <v>16370</v>
      </c>
      <c r="D3049" s="11" t="s">
        <v>16370</v>
      </c>
      <c r="E3049" s="11" t="s">
        <v>16371</v>
      </c>
      <c r="F3049" s="11" t="s">
        <v>16348</v>
      </c>
      <c r="G3049" s="11" t="s">
        <v>16372</v>
      </c>
      <c r="H3049" s="11" t="s">
        <v>16336</v>
      </c>
      <c r="I3049" s="11" t="str">
        <f>HYPERLINK("http://www.damasportswear.com/","www.damasportswear.com")</f>
        <v>www.damasportswear.com</v>
      </c>
      <c r="J3049" s="12">
        <v>720.53200000000004</v>
      </c>
      <c r="K3049" s="12">
        <v>720.53200000000004</v>
      </c>
      <c r="L3049" s="13">
        <v>990.77</v>
      </c>
      <c r="M3049" s="12">
        <v>0.68</v>
      </c>
      <c r="N3049" s="12">
        <v>0.68</v>
      </c>
      <c r="O3049" s="12">
        <v>1.1850000000000001</v>
      </c>
      <c r="P3049" s="14" t="s">
        <v>16322</v>
      </c>
      <c r="Q3049" s="14" t="s">
        <v>16322</v>
      </c>
      <c r="R3049" s="12">
        <v>13</v>
      </c>
    </row>
    <row r="3050" spans="1:18" ht="17" customHeight="1" x14ac:dyDescent="0.15">
      <c r="A3050" s="8" t="s">
        <v>16373</v>
      </c>
      <c r="B3050" s="9" t="s">
        <v>16374</v>
      </c>
      <c r="C3050" s="8" t="s">
        <v>16375</v>
      </c>
      <c r="D3050" s="8" t="s">
        <v>16375</v>
      </c>
      <c r="E3050" s="8" t="s">
        <v>16376</v>
      </c>
      <c r="F3050" s="8" t="s">
        <v>16365</v>
      </c>
      <c r="G3050" s="8" t="s">
        <v>16377</v>
      </c>
      <c r="H3050" s="8" t="s">
        <v>16378</v>
      </c>
      <c r="I3050" s="8" t="str">
        <f>HYPERLINK("http://www.enzimaservice.com/","www.enzimaservice.com")</f>
        <v>www.enzimaservice.com</v>
      </c>
      <c r="J3050" s="10">
        <v>1033.1199999999999</v>
      </c>
      <c r="K3050" s="10">
        <v>1033.1199999999999</v>
      </c>
      <c r="L3050" s="10">
        <v>989.76700000000005</v>
      </c>
      <c r="M3050" s="10">
        <v>1.44</v>
      </c>
      <c r="N3050" s="10">
        <v>1.44</v>
      </c>
      <c r="O3050" s="10">
        <v>8.2970000000000006</v>
      </c>
      <c r="P3050" s="10">
        <v>1</v>
      </c>
      <c r="Q3050" s="10">
        <v>1</v>
      </c>
      <c r="R3050" s="10">
        <v>1</v>
      </c>
    </row>
    <row r="3051" spans="1:18" ht="29.5" customHeight="1" x14ac:dyDescent="0.15">
      <c r="A3051" s="11" t="s">
        <v>16379</v>
      </c>
      <c r="B3051" s="1" t="s">
        <v>16380</v>
      </c>
      <c r="C3051" s="11" t="s">
        <v>16381</v>
      </c>
      <c r="D3051" s="11" t="s">
        <v>16381</v>
      </c>
      <c r="E3051" s="11" t="s">
        <v>16382</v>
      </c>
      <c r="F3051" s="11" t="s">
        <v>16365</v>
      </c>
      <c r="G3051" s="11" t="s">
        <v>16383</v>
      </c>
      <c r="H3051" s="11" t="s">
        <v>16378</v>
      </c>
      <c r="I3051" s="11" t="str">
        <f>HYPERLINK("http://www.calzaturificiocappellisrl.it/","www.calzaturificiocappellisrl.it")</f>
        <v>www.calzaturificiocappellisrl.it</v>
      </c>
      <c r="J3051" s="12">
        <v>964.55100000000004</v>
      </c>
      <c r="K3051" s="12">
        <v>964.55100000000004</v>
      </c>
      <c r="L3051" s="13">
        <v>985.57399999999996</v>
      </c>
      <c r="M3051" s="12">
        <v>126.377</v>
      </c>
      <c r="N3051" s="12">
        <v>126.377</v>
      </c>
      <c r="O3051" s="12">
        <v>15.17</v>
      </c>
      <c r="P3051" s="12">
        <v>15</v>
      </c>
      <c r="Q3051" s="12">
        <v>15</v>
      </c>
      <c r="R3051" s="12">
        <v>12</v>
      </c>
    </row>
    <row r="3052" spans="1:18" ht="17" customHeight="1" x14ac:dyDescent="0.15">
      <c r="A3052" s="8" t="s">
        <v>16384</v>
      </c>
      <c r="B3052" s="9" t="s">
        <v>16385</v>
      </c>
      <c r="C3052" s="8" t="s">
        <v>16386</v>
      </c>
      <c r="D3052" s="8" t="s">
        <v>16386</v>
      </c>
      <c r="E3052" s="8" t="s">
        <v>16387</v>
      </c>
      <c r="F3052" s="8" t="s">
        <v>16359</v>
      </c>
      <c r="G3052" s="8" t="s">
        <v>16366</v>
      </c>
      <c r="H3052" s="8" t="s">
        <v>16367</v>
      </c>
      <c r="I3052" s="8" t="str">
        <f>HYPERLINK("http://www.complit.it/","www.complit.it")</f>
        <v>www.complit.it</v>
      </c>
      <c r="J3052" s="10">
        <v>1080.1890000000001</v>
      </c>
      <c r="K3052" s="10">
        <v>1080.1890000000001</v>
      </c>
      <c r="L3052" s="10">
        <v>984.53899999999999</v>
      </c>
      <c r="M3052" s="10">
        <v>16.984000000000002</v>
      </c>
      <c r="N3052" s="10">
        <v>16.984000000000002</v>
      </c>
      <c r="O3052" s="10">
        <v>8.5030000000000001</v>
      </c>
      <c r="P3052" s="10">
        <v>18</v>
      </c>
      <c r="Q3052" s="10">
        <v>18</v>
      </c>
      <c r="R3052" s="10">
        <v>16</v>
      </c>
    </row>
    <row r="3053" spans="1:18" ht="17" customHeight="1" x14ac:dyDescent="0.15">
      <c r="A3053" s="11" t="s">
        <v>16388</v>
      </c>
      <c r="B3053" s="1" t="s">
        <v>16389</v>
      </c>
      <c r="C3053" s="11" t="s">
        <v>16390</v>
      </c>
      <c r="D3053" s="11" t="s">
        <v>16390</v>
      </c>
      <c r="E3053" s="11" t="s">
        <v>16391</v>
      </c>
      <c r="F3053" s="11" t="s">
        <v>16348</v>
      </c>
      <c r="G3053" s="11" t="s">
        <v>16320</v>
      </c>
      <c r="H3053" s="11" t="s">
        <v>16321</v>
      </c>
      <c r="I3053" s="11" t="str">
        <f>HYPERLINK("http://tofit.net/","tofit.net")</f>
        <v>tofit.net</v>
      </c>
      <c r="J3053" s="12">
        <v>1053.6189999999999</v>
      </c>
      <c r="K3053" s="12">
        <v>1053.6189999999999</v>
      </c>
      <c r="L3053" s="13">
        <v>979.048</v>
      </c>
      <c r="M3053" s="12">
        <v>18.798999999999999</v>
      </c>
      <c r="N3053" s="12">
        <v>18.798999999999999</v>
      </c>
      <c r="O3053" s="12">
        <v>61.756999999999998</v>
      </c>
      <c r="P3053" s="12">
        <v>5</v>
      </c>
      <c r="Q3053" s="12">
        <v>5</v>
      </c>
      <c r="R3053" s="12">
        <v>3</v>
      </c>
    </row>
    <row r="3054" spans="1:18" ht="29.5" customHeight="1" x14ac:dyDescent="0.15">
      <c r="A3054" s="8" t="s">
        <v>16392</v>
      </c>
      <c r="B3054" s="9" t="s">
        <v>16393</v>
      </c>
      <c r="C3054" s="8" t="s">
        <v>16394</v>
      </c>
      <c r="D3054" s="8" t="s">
        <v>16394</v>
      </c>
      <c r="E3054" s="8" t="s">
        <v>16395</v>
      </c>
      <c r="F3054" s="8" t="s">
        <v>16327</v>
      </c>
      <c r="G3054" s="8" t="s">
        <v>16396</v>
      </c>
      <c r="H3054" s="8" t="s">
        <v>16336</v>
      </c>
      <c r="I3054" s="8" t="str">
        <f>HYPERLINK("http://www.santagostino-milano.it/","www.santagostino-milano.it")</f>
        <v>www.santagostino-milano.it</v>
      </c>
      <c r="J3054" s="10">
        <v>1964.855</v>
      </c>
      <c r="K3054" s="10">
        <v>1964.855</v>
      </c>
      <c r="L3054" s="10">
        <v>978.11500000000001</v>
      </c>
      <c r="M3054" s="10">
        <v>816.33199999999999</v>
      </c>
      <c r="N3054" s="10">
        <v>816.33199999999999</v>
      </c>
      <c r="O3054" s="10">
        <v>247.95500000000001</v>
      </c>
      <c r="P3054" s="10">
        <v>0</v>
      </c>
      <c r="Q3054" s="10">
        <v>0</v>
      </c>
      <c r="R3054" s="10">
        <v>0</v>
      </c>
    </row>
    <row r="3055" spans="1:18" ht="29.5" customHeight="1" x14ac:dyDescent="0.15">
      <c r="A3055" s="11" t="s">
        <v>16397</v>
      </c>
      <c r="B3055" s="1" t="s">
        <v>16398</v>
      </c>
      <c r="C3055" s="11" t="s">
        <v>16399</v>
      </c>
      <c r="D3055" s="11" t="s">
        <v>16399</v>
      </c>
      <c r="E3055" s="11" t="s">
        <v>16400</v>
      </c>
      <c r="F3055" s="11" t="s">
        <v>16341</v>
      </c>
      <c r="G3055" s="11" t="s">
        <v>16401</v>
      </c>
      <c r="H3055" s="11" t="s">
        <v>16329</v>
      </c>
      <c r="I3055" s="11" t="str">
        <f>HYPERLINK("http://italianfashionsrl.com/","italianfashionsrl.com")</f>
        <v>italianfashionsrl.com</v>
      </c>
      <c r="J3055" s="12">
        <v>777.52700000000004</v>
      </c>
      <c r="K3055" s="12">
        <v>777.52700000000004</v>
      </c>
      <c r="L3055" s="13">
        <v>977.74699999999996</v>
      </c>
      <c r="M3055" s="12">
        <v>38.134999999999998</v>
      </c>
      <c r="N3055" s="12">
        <v>38.134999999999998</v>
      </c>
      <c r="O3055" s="12">
        <v>83.486000000000004</v>
      </c>
      <c r="P3055" s="14" t="s">
        <v>16322</v>
      </c>
      <c r="Q3055" s="14" t="s">
        <v>16322</v>
      </c>
      <c r="R3055" s="12">
        <v>15</v>
      </c>
    </row>
    <row r="3056" spans="1:18" ht="17" customHeight="1" x14ac:dyDescent="0.15">
      <c r="A3056" s="8" t="s">
        <v>16402</v>
      </c>
      <c r="B3056" s="9" t="s">
        <v>16403</v>
      </c>
      <c r="C3056" s="8" t="s">
        <v>16404</v>
      </c>
      <c r="D3056" s="8" t="s">
        <v>16404</v>
      </c>
      <c r="E3056" s="8" t="s">
        <v>16405</v>
      </c>
      <c r="F3056" s="8" t="s">
        <v>16406</v>
      </c>
      <c r="G3056" s="8" t="s">
        <v>16366</v>
      </c>
      <c r="H3056" s="8" t="s">
        <v>16367</v>
      </c>
      <c r="I3056" s="8" t="str">
        <f>HYPERLINK("http://www.angelettigroup.eu/","www.angelettigroup.eu")</f>
        <v>www.angelettigroup.eu</v>
      </c>
      <c r="J3056" s="10">
        <v>790.69799999999998</v>
      </c>
      <c r="K3056" s="10">
        <v>790.69799999999998</v>
      </c>
      <c r="L3056" s="10">
        <v>977.03</v>
      </c>
      <c r="M3056" s="10">
        <v>64.477999999999994</v>
      </c>
      <c r="N3056" s="10">
        <v>64.477999999999994</v>
      </c>
      <c r="O3056" s="10">
        <v>106.633</v>
      </c>
      <c r="P3056" s="15" t="s">
        <v>16322</v>
      </c>
      <c r="Q3056" s="15" t="s">
        <v>16322</v>
      </c>
      <c r="R3056" s="10">
        <v>5</v>
      </c>
    </row>
    <row r="3057" spans="1:18" ht="17" customHeight="1" x14ac:dyDescent="0.15">
      <c r="A3057" s="11" t="s">
        <v>16407</v>
      </c>
      <c r="B3057" s="1" t="s">
        <v>16408</v>
      </c>
      <c r="C3057" s="11" t="s">
        <v>16409</v>
      </c>
      <c r="D3057" s="11" t="s">
        <v>16409</v>
      </c>
      <c r="E3057" s="11" t="s">
        <v>16410</v>
      </c>
      <c r="F3057" s="11" t="s">
        <v>16411</v>
      </c>
      <c r="G3057" s="11" t="s">
        <v>16412</v>
      </c>
      <c r="H3057" s="11" t="s">
        <v>16321</v>
      </c>
      <c r="I3057" s="11" t="str">
        <f>HYPERLINK("http://www.masieroconfezioni.it/","www.masieroconfezioni.it")</f>
        <v>www.masieroconfezioni.it</v>
      </c>
      <c r="J3057" s="12">
        <v>925.74</v>
      </c>
      <c r="K3057" s="12">
        <v>925.74</v>
      </c>
      <c r="L3057" s="13">
        <v>976.46400000000006</v>
      </c>
      <c r="M3057" s="12">
        <v>17.32</v>
      </c>
      <c r="N3057" s="12">
        <v>17.32</v>
      </c>
      <c r="O3057" s="12">
        <v>30.42</v>
      </c>
      <c r="P3057" s="12">
        <v>15</v>
      </c>
      <c r="Q3057" s="12">
        <v>15</v>
      </c>
      <c r="R3057" s="12">
        <v>14</v>
      </c>
    </row>
    <row r="3058" spans="1:18" ht="17" customHeight="1" x14ac:dyDescent="0.15">
      <c r="A3058" s="8" t="s">
        <v>16413</v>
      </c>
      <c r="B3058" s="9" t="s">
        <v>16414</v>
      </c>
      <c r="C3058" s="8" t="s">
        <v>16415</v>
      </c>
      <c r="D3058" s="8" t="s">
        <v>16415</v>
      </c>
      <c r="E3058" s="8" t="s">
        <v>16416</v>
      </c>
      <c r="F3058" s="8" t="s">
        <v>16417</v>
      </c>
      <c r="G3058" s="8" t="s">
        <v>16418</v>
      </c>
      <c r="H3058" s="8" t="s">
        <v>16419</v>
      </c>
      <c r="I3058" s="8" t="str">
        <f>HYPERLINK("http://www.produzionemaglieriadueci.it/","www.produzionemaglieriadueci.it")</f>
        <v>www.produzionemaglieriadueci.it</v>
      </c>
      <c r="J3058" s="10">
        <v>1008.229</v>
      </c>
      <c r="K3058" s="10">
        <v>1008.229</v>
      </c>
      <c r="L3058" s="10">
        <v>976.04</v>
      </c>
      <c r="M3058" s="10">
        <v>26.908999999999999</v>
      </c>
      <c r="N3058" s="10">
        <v>26.908999999999999</v>
      </c>
      <c r="O3058" s="10">
        <v>15.323</v>
      </c>
      <c r="P3058" s="10">
        <v>18</v>
      </c>
      <c r="Q3058" s="10">
        <v>18</v>
      </c>
      <c r="R3058" s="10">
        <v>18</v>
      </c>
    </row>
    <row r="3059" spans="1:18" ht="17" customHeight="1" x14ac:dyDescent="0.15">
      <c r="A3059" s="11" t="s">
        <v>16420</v>
      </c>
      <c r="B3059" s="1" t="s">
        <v>16421</v>
      </c>
      <c r="C3059" s="11" t="s">
        <v>16422</v>
      </c>
      <c r="D3059" s="11" t="s">
        <v>16422</v>
      </c>
      <c r="E3059" s="11" t="s">
        <v>16423</v>
      </c>
      <c r="F3059" s="11" t="s">
        <v>16359</v>
      </c>
      <c r="G3059" s="11" t="s">
        <v>16424</v>
      </c>
      <c r="H3059" s="11" t="s">
        <v>16354</v>
      </c>
      <c r="I3059" s="11" t="str">
        <f>HYPERLINK("http://mediatex.it/","mediatex.it")</f>
        <v>mediatex.it</v>
      </c>
      <c r="J3059" s="12">
        <v>898.09</v>
      </c>
      <c r="K3059" s="12">
        <v>898.09</v>
      </c>
      <c r="L3059" s="13">
        <v>975.79700000000003</v>
      </c>
      <c r="M3059" s="12">
        <v>15.734999999999999</v>
      </c>
      <c r="N3059" s="12">
        <v>15.734999999999999</v>
      </c>
      <c r="O3059" s="12">
        <v>20.448</v>
      </c>
      <c r="P3059" s="14" t="s">
        <v>16322</v>
      </c>
      <c r="Q3059" s="14" t="s">
        <v>16322</v>
      </c>
      <c r="R3059" s="12">
        <v>0</v>
      </c>
    </row>
    <row r="3060" spans="1:18" ht="55.75" customHeight="1" x14ac:dyDescent="0.15">
      <c r="A3060" s="8" t="s">
        <v>16425</v>
      </c>
      <c r="B3060" s="9" t="s">
        <v>16426</v>
      </c>
      <c r="C3060" s="8" t="s">
        <v>16427</v>
      </c>
      <c r="D3060" s="8" t="s">
        <v>16427</v>
      </c>
      <c r="E3060" s="8" t="s">
        <v>16428</v>
      </c>
      <c r="F3060" s="8" t="s">
        <v>16365</v>
      </c>
      <c r="G3060" s="8" t="s">
        <v>16383</v>
      </c>
      <c r="H3060" s="8" t="s">
        <v>16378</v>
      </c>
      <c r="I3060" s="8" t="str">
        <f>HYPERLINK("http://www.calzaturificiopamar.it/","www.calzaturificiopamar.it")</f>
        <v>www.calzaturificiopamar.it</v>
      </c>
      <c r="J3060" s="10">
        <v>812.88699999999994</v>
      </c>
      <c r="K3060" s="10">
        <v>812.88699999999994</v>
      </c>
      <c r="L3060" s="10">
        <v>975.19299999999998</v>
      </c>
      <c r="M3060" s="10">
        <v>24.172999999999998</v>
      </c>
      <c r="N3060" s="10">
        <v>24.172999999999998</v>
      </c>
      <c r="O3060" s="10">
        <v>69.265000000000001</v>
      </c>
      <c r="P3060" s="10">
        <v>13</v>
      </c>
      <c r="Q3060" s="10">
        <v>13</v>
      </c>
      <c r="R3060" s="10">
        <v>14</v>
      </c>
    </row>
    <row r="3061" spans="1:18" ht="17" customHeight="1" x14ac:dyDescent="0.15">
      <c r="A3061" s="11" t="s">
        <v>16429</v>
      </c>
      <c r="B3061" s="1" t="s">
        <v>16430</v>
      </c>
      <c r="C3061" s="11" t="s">
        <v>16431</v>
      </c>
      <c r="D3061" s="11" t="s">
        <v>16431</v>
      </c>
      <c r="E3061" s="11" t="s">
        <v>16432</v>
      </c>
      <c r="F3061" s="11" t="s">
        <v>16327</v>
      </c>
      <c r="G3061" s="11" t="s">
        <v>16377</v>
      </c>
      <c r="H3061" s="11" t="s">
        <v>16378</v>
      </c>
      <c r="I3061" s="11" t="str">
        <f>HYPERLINK("http://www.niccolibags.com/","www.niccolibags.com")</f>
        <v>www.niccolibags.com</v>
      </c>
      <c r="J3061" s="12">
        <v>1822.3610000000001</v>
      </c>
      <c r="K3061" s="12">
        <v>1822.3610000000001</v>
      </c>
      <c r="L3061" s="13">
        <v>972.61400000000003</v>
      </c>
      <c r="M3061" s="12">
        <v>59.283999999999999</v>
      </c>
      <c r="N3061" s="12">
        <v>59.283999999999999</v>
      </c>
      <c r="O3061" s="12">
        <v>5.8179999999999996</v>
      </c>
      <c r="P3061" s="14" t="s">
        <v>16322</v>
      </c>
      <c r="Q3061" s="14" t="s">
        <v>16322</v>
      </c>
      <c r="R3061" s="12">
        <v>7</v>
      </c>
    </row>
    <row r="3062" spans="1:18" ht="55.75" customHeight="1" x14ac:dyDescent="0.15">
      <c r="A3062" s="8" t="s">
        <v>16433</v>
      </c>
      <c r="B3062" s="9" t="s">
        <v>16434</v>
      </c>
      <c r="C3062" s="8" t="s">
        <v>16435</v>
      </c>
      <c r="D3062" s="8" t="s">
        <v>16435</v>
      </c>
      <c r="E3062" s="8" t="s">
        <v>16436</v>
      </c>
      <c r="F3062" s="8" t="s">
        <v>16437</v>
      </c>
      <c r="G3062" s="8" t="s">
        <v>16320</v>
      </c>
      <c r="H3062" s="8" t="s">
        <v>16321</v>
      </c>
      <c r="I3062" s="8" t="str">
        <f>HYPERLINK("http://panarotto.net/","panarotto.net")</f>
        <v>panarotto.net</v>
      </c>
      <c r="J3062" s="10">
        <v>1017.997</v>
      </c>
      <c r="K3062" s="10">
        <v>1017.997</v>
      </c>
      <c r="L3062" s="10">
        <v>972.28399999999999</v>
      </c>
      <c r="M3062" s="10">
        <v>119.157</v>
      </c>
      <c r="N3062" s="10">
        <v>119.157</v>
      </c>
      <c r="O3062" s="10">
        <v>118.258</v>
      </c>
      <c r="P3062" s="15" t="s">
        <v>16322</v>
      </c>
      <c r="Q3062" s="15" t="s">
        <v>16322</v>
      </c>
      <c r="R3062" s="10">
        <v>13</v>
      </c>
    </row>
    <row r="3063" spans="1:18" ht="29.5" customHeight="1" x14ac:dyDescent="0.15">
      <c r="A3063" s="11" t="s">
        <v>16438</v>
      </c>
      <c r="B3063" s="1" t="s">
        <v>16439</v>
      </c>
      <c r="C3063" s="11" t="s">
        <v>16440</v>
      </c>
      <c r="D3063" s="11" t="s">
        <v>16440</v>
      </c>
      <c r="E3063" s="11" t="s">
        <v>16441</v>
      </c>
      <c r="F3063" s="11" t="s">
        <v>16327</v>
      </c>
      <c r="G3063" s="11" t="s">
        <v>16442</v>
      </c>
      <c r="H3063" s="11" t="s">
        <v>16336</v>
      </c>
      <c r="I3063" s="11" t="str">
        <f>HYPERLINK("http://cinturificiobresciano.it/","cinturificiobresciano.it")</f>
        <v>cinturificiobresciano.it</v>
      </c>
      <c r="J3063" s="12">
        <v>843.86099999999999</v>
      </c>
      <c r="K3063" s="12">
        <v>843.86099999999999</v>
      </c>
      <c r="L3063" s="13">
        <v>970.90300000000002</v>
      </c>
      <c r="M3063" s="12">
        <v>5.6470000000000002</v>
      </c>
      <c r="N3063" s="12">
        <v>5.6470000000000002</v>
      </c>
      <c r="O3063" s="12">
        <v>2.7919999999999998</v>
      </c>
      <c r="P3063" s="12">
        <v>8</v>
      </c>
      <c r="Q3063" s="12">
        <v>8</v>
      </c>
      <c r="R3063" s="12">
        <v>8</v>
      </c>
    </row>
    <row r="3064" spans="1:18" ht="43" customHeight="1" x14ac:dyDescent="0.15">
      <c r="A3064" s="8" t="s">
        <v>16443</v>
      </c>
      <c r="B3064" s="9" t="s">
        <v>16444</v>
      </c>
      <c r="C3064" s="8" t="s">
        <v>16445</v>
      </c>
      <c r="D3064" s="8" t="s">
        <v>16445</v>
      </c>
      <c r="E3064" s="8" t="s">
        <v>16446</v>
      </c>
      <c r="F3064" s="8" t="s">
        <v>16365</v>
      </c>
      <c r="G3064" s="8" t="s">
        <v>16366</v>
      </c>
      <c r="H3064" s="8" t="s">
        <v>16367</v>
      </c>
      <c r="I3064" s="8" t="str">
        <f>HYPERLINK("http://www.giancarlopaoli.com/","www.giancarlopaoli.com")</f>
        <v>www.giancarlopaoli.com</v>
      </c>
      <c r="J3064" s="10">
        <v>626.673</v>
      </c>
      <c r="K3064" s="10">
        <v>626.673</v>
      </c>
      <c r="L3064" s="10">
        <v>970.83399999999995</v>
      </c>
      <c r="M3064" s="10">
        <v>2.3530000000000002</v>
      </c>
      <c r="N3064" s="10">
        <v>2.3530000000000002</v>
      </c>
      <c r="O3064" s="10">
        <v>15.539</v>
      </c>
      <c r="P3064" s="15" t="s">
        <v>16322</v>
      </c>
      <c r="Q3064" s="15" t="s">
        <v>16322</v>
      </c>
      <c r="R3064" s="10">
        <v>2</v>
      </c>
    </row>
    <row r="3065" spans="1:18" ht="17" customHeight="1" x14ac:dyDescent="0.15">
      <c r="A3065" s="11" t="s">
        <v>16447</v>
      </c>
      <c r="B3065" s="1" t="s">
        <v>16448</v>
      </c>
      <c r="C3065" s="11" t="s">
        <v>16449</v>
      </c>
      <c r="D3065" s="11" t="s">
        <v>16449</v>
      </c>
      <c r="E3065" s="11" t="s">
        <v>16450</v>
      </c>
      <c r="F3065" s="11" t="s">
        <v>16359</v>
      </c>
      <c r="G3065" s="11" t="s">
        <v>16451</v>
      </c>
      <c r="H3065" s="11" t="s">
        <v>16367</v>
      </c>
      <c r="I3065" s="11" t="str">
        <f>HYPERLINK("http://www.egisrl.com/","www.egisrl.com")</f>
        <v>www.egisrl.com</v>
      </c>
      <c r="J3065" s="12">
        <v>709.88199999999995</v>
      </c>
      <c r="K3065" s="12">
        <v>709.88199999999995</v>
      </c>
      <c r="L3065" s="13">
        <v>969.33299999999997</v>
      </c>
      <c r="M3065" s="12">
        <v>23.148</v>
      </c>
      <c r="N3065" s="12">
        <v>23.148</v>
      </c>
      <c r="O3065" s="12">
        <v>6.4450000000000003</v>
      </c>
      <c r="P3065" s="12">
        <v>14</v>
      </c>
      <c r="Q3065" s="12">
        <v>14</v>
      </c>
      <c r="R3065" s="12">
        <v>10</v>
      </c>
    </row>
    <row r="3066" spans="1:18" ht="17" customHeight="1" x14ac:dyDescent="0.15">
      <c r="A3066" s="8" t="s">
        <v>16452</v>
      </c>
      <c r="B3066" s="9" t="s">
        <v>16453</v>
      </c>
      <c r="C3066" s="8" t="s">
        <v>16454</v>
      </c>
      <c r="D3066" s="8" t="s">
        <v>16454</v>
      </c>
      <c r="E3066" s="8" t="s">
        <v>16455</v>
      </c>
      <c r="F3066" s="8" t="s">
        <v>16319</v>
      </c>
      <c r="G3066" s="8" t="s">
        <v>16456</v>
      </c>
      <c r="H3066" s="8" t="s">
        <v>16378</v>
      </c>
      <c r="I3066" s="8" t="str">
        <f>HYPERLINK("http://www.violarasaturapelli.it/","www.violarasaturapelli.it")</f>
        <v>www.violarasaturapelli.it</v>
      </c>
      <c r="J3066" s="10">
        <v>988.45899999999995</v>
      </c>
      <c r="K3066" s="10">
        <v>988.45899999999995</v>
      </c>
      <c r="L3066" s="10">
        <v>968.39800000000002</v>
      </c>
      <c r="M3066" s="10">
        <v>1.2929999999999999</v>
      </c>
      <c r="N3066" s="10">
        <v>1.2929999999999999</v>
      </c>
      <c r="O3066" s="10">
        <v>17.27</v>
      </c>
      <c r="P3066" s="10">
        <v>10</v>
      </c>
      <c r="Q3066" s="10">
        <v>10</v>
      </c>
      <c r="R3066" s="10">
        <v>4</v>
      </c>
    </row>
    <row r="3067" spans="1:18" ht="29.5" customHeight="1" x14ac:dyDescent="0.15">
      <c r="A3067" s="11" t="s">
        <v>16457</v>
      </c>
      <c r="B3067" s="1" t="s">
        <v>16458</v>
      </c>
      <c r="C3067" s="11" t="s">
        <v>16459</v>
      </c>
      <c r="D3067" s="11" t="s">
        <v>16459</v>
      </c>
      <c r="E3067" s="11" t="s">
        <v>16460</v>
      </c>
      <c r="F3067" s="11" t="s">
        <v>16341</v>
      </c>
      <c r="G3067" s="11" t="s">
        <v>16412</v>
      </c>
      <c r="H3067" s="11" t="s">
        <v>16321</v>
      </c>
      <c r="I3067" s="11" t="str">
        <f>HYPERLINK("http://www.lamascot.com/","www.lamascot.com")</f>
        <v>www.lamascot.com</v>
      </c>
      <c r="J3067" s="12">
        <v>1127.095</v>
      </c>
      <c r="K3067" s="12">
        <v>1127.095</v>
      </c>
      <c r="L3067" s="13">
        <v>965.60500000000002</v>
      </c>
      <c r="M3067" s="12">
        <v>29.26</v>
      </c>
      <c r="N3067" s="12">
        <v>29.26</v>
      </c>
      <c r="O3067" s="12">
        <v>17.401</v>
      </c>
      <c r="P3067" s="12">
        <v>28</v>
      </c>
      <c r="Q3067" s="12">
        <v>28</v>
      </c>
      <c r="R3067" s="12">
        <v>22</v>
      </c>
    </row>
    <row r="3068" spans="1:18" ht="29.5" customHeight="1" x14ac:dyDescent="0.15">
      <c r="A3068" s="8" t="s">
        <v>16461</v>
      </c>
      <c r="B3068" s="9" t="s">
        <v>16462</v>
      </c>
      <c r="C3068" s="8" t="s">
        <v>16463</v>
      </c>
      <c r="D3068" s="8" t="s">
        <v>16463</v>
      </c>
      <c r="E3068" s="8" t="s">
        <v>16464</v>
      </c>
      <c r="F3068" s="8" t="s">
        <v>16327</v>
      </c>
      <c r="G3068" s="8" t="s">
        <v>16377</v>
      </c>
      <c r="H3068" s="8" t="s">
        <v>16378</v>
      </c>
      <c r="I3068" s="8" t="str">
        <f>HYPERLINK("http://www.gasgroupsrl.it/","www.gasgroupsrl.it")</f>
        <v>www.gasgroupsrl.it</v>
      </c>
      <c r="J3068" s="10">
        <v>965.54200000000003</v>
      </c>
      <c r="K3068" s="15" t="s">
        <v>16322</v>
      </c>
      <c r="L3068" s="10">
        <v>965.54200000000003</v>
      </c>
      <c r="M3068" s="10">
        <v>-66.628</v>
      </c>
      <c r="N3068" s="15" t="s">
        <v>16322</v>
      </c>
      <c r="O3068" s="10">
        <v>-66.628</v>
      </c>
      <c r="P3068" s="15" t="s">
        <v>16322</v>
      </c>
      <c r="Q3068" s="15" t="s">
        <v>16322</v>
      </c>
      <c r="R3068" s="15" t="s">
        <v>16322</v>
      </c>
    </row>
    <row r="3069" spans="1:18" ht="17" customHeight="1" x14ac:dyDescent="0.15">
      <c r="A3069" s="11" t="s">
        <v>16465</v>
      </c>
      <c r="B3069" s="1" t="s">
        <v>16466</v>
      </c>
      <c r="C3069" s="11" t="s">
        <v>16467</v>
      </c>
      <c r="D3069" s="11" t="s">
        <v>16467</v>
      </c>
      <c r="E3069" s="11" t="s">
        <v>16468</v>
      </c>
      <c r="F3069" s="11" t="s">
        <v>16406</v>
      </c>
      <c r="G3069" s="11" t="s">
        <v>16424</v>
      </c>
      <c r="H3069" s="11" t="s">
        <v>16354</v>
      </c>
      <c r="I3069" s="11" t="str">
        <f>HYPERLINK("http://www.gifralsrl.it/","www.gifralsrl.it")</f>
        <v>www.gifralsrl.it</v>
      </c>
      <c r="J3069" s="12">
        <v>835.60299999999995</v>
      </c>
      <c r="K3069" s="12">
        <v>835.60299999999995</v>
      </c>
      <c r="L3069" s="13">
        <v>965.45899999999995</v>
      </c>
      <c r="M3069" s="12">
        <v>20.792999999999999</v>
      </c>
      <c r="N3069" s="12">
        <v>20.792999999999999</v>
      </c>
      <c r="O3069" s="12">
        <v>37.317</v>
      </c>
      <c r="P3069" s="14" t="s">
        <v>16322</v>
      </c>
      <c r="Q3069" s="14" t="s">
        <v>16322</v>
      </c>
      <c r="R3069" s="12">
        <v>9</v>
      </c>
    </row>
    <row r="3070" spans="1:18" ht="17" customHeight="1" x14ac:dyDescent="0.15">
      <c r="A3070" s="8" t="s">
        <v>16469</v>
      </c>
      <c r="B3070" s="9" t="s">
        <v>16470</v>
      </c>
      <c r="C3070" s="8" t="s">
        <v>16471</v>
      </c>
      <c r="D3070" s="8" t="s">
        <v>16471</v>
      </c>
      <c r="E3070" s="8" t="s">
        <v>16472</v>
      </c>
      <c r="F3070" s="8" t="s">
        <v>16473</v>
      </c>
      <c r="G3070" s="8" t="s">
        <v>16474</v>
      </c>
      <c r="H3070" s="8" t="s">
        <v>16378</v>
      </c>
      <c r="I3070" s="8" t="str">
        <f>HYPERLINK("http://www.amazzell.it/","www.amazzell.it")</f>
        <v>www.amazzell.it</v>
      </c>
      <c r="J3070" s="10">
        <v>1140.3510000000001</v>
      </c>
      <c r="K3070" s="10">
        <v>1140.3510000000001</v>
      </c>
      <c r="L3070" s="10">
        <v>965.33699999999999</v>
      </c>
      <c r="M3070" s="10">
        <v>7.67</v>
      </c>
      <c r="N3070" s="10">
        <v>7.67</v>
      </c>
      <c r="O3070" s="10">
        <v>8.6780000000000008</v>
      </c>
      <c r="P3070" s="15" t="s">
        <v>16322</v>
      </c>
      <c r="Q3070" s="15" t="s">
        <v>16322</v>
      </c>
      <c r="R3070" s="10">
        <v>7</v>
      </c>
    </row>
    <row r="3071" spans="1:18" ht="17" customHeight="1" x14ac:dyDescent="0.15">
      <c r="A3071" s="11" t="s">
        <v>16475</v>
      </c>
      <c r="B3071" s="1" t="s">
        <v>16476</v>
      </c>
      <c r="C3071" s="11" t="s">
        <v>16477</v>
      </c>
      <c r="D3071" s="11" t="s">
        <v>16477</v>
      </c>
      <c r="E3071" s="11" t="s">
        <v>16478</v>
      </c>
      <c r="F3071" s="11" t="s">
        <v>16406</v>
      </c>
      <c r="G3071" s="11" t="s">
        <v>16424</v>
      </c>
      <c r="H3071" s="11" t="s">
        <v>16354</v>
      </c>
      <c r="I3071" s="11" t="str">
        <f>HYPERLINK("http://www.suolificioormasrl.com/","www.suolificioormasrl.com")</f>
        <v>www.suolificioormasrl.com</v>
      </c>
      <c r="J3071" s="12">
        <v>880.80799999999999</v>
      </c>
      <c r="K3071" s="12">
        <v>880.80799999999999</v>
      </c>
      <c r="L3071" s="13">
        <v>964.10500000000002</v>
      </c>
      <c r="M3071" s="12">
        <v>7.532</v>
      </c>
      <c r="N3071" s="12">
        <v>7.532</v>
      </c>
      <c r="O3071" s="12">
        <v>11.613</v>
      </c>
      <c r="P3071" s="14" t="s">
        <v>16322</v>
      </c>
      <c r="Q3071" s="14" t="s">
        <v>16322</v>
      </c>
      <c r="R3071" s="14" t="s">
        <v>16322</v>
      </c>
    </row>
    <row r="3072" spans="1:18" ht="29.5" customHeight="1" x14ac:dyDescent="0.15">
      <c r="A3072" s="8" t="s">
        <v>16479</v>
      </c>
      <c r="B3072" s="9" t="s">
        <v>16480</v>
      </c>
      <c r="C3072" s="8" t="s">
        <v>16481</v>
      </c>
      <c r="D3072" s="8" t="s">
        <v>16481</v>
      </c>
      <c r="E3072" s="8" t="s">
        <v>16482</v>
      </c>
      <c r="F3072" s="8" t="s">
        <v>16473</v>
      </c>
      <c r="G3072" s="8" t="s">
        <v>16335</v>
      </c>
      <c r="H3072" s="8" t="s">
        <v>16336</v>
      </c>
      <c r="I3072" s="8" t="str">
        <f>HYPERLINK("http://www.calisport.it/","www.calisport.it")</f>
        <v>www.calisport.it</v>
      </c>
      <c r="J3072" s="10">
        <v>745.17899999999997</v>
      </c>
      <c r="K3072" s="10">
        <v>745.17899999999997</v>
      </c>
      <c r="L3072" s="10">
        <v>963.86500000000001</v>
      </c>
      <c r="M3072" s="10">
        <v>-81.477000000000004</v>
      </c>
      <c r="N3072" s="10">
        <v>-81.477000000000004</v>
      </c>
      <c r="O3072" s="10">
        <v>34.896999999999998</v>
      </c>
      <c r="P3072" s="10">
        <v>16</v>
      </c>
      <c r="Q3072" s="10">
        <v>16</v>
      </c>
      <c r="R3072" s="10">
        <v>16</v>
      </c>
    </row>
    <row r="3073" spans="1:18" ht="17" customHeight="1" x14ac:dyDescent="0.15">
      <c r="A3073" s="11" t="s">
        <v>16483</v>
      </c>
      <c r="B3073" s="1" t="s">
        <v>16484</v>
      </c>
      <c r="C3073" s="11" t="s">
        <v>16485</v>
      </c>
      <c r="D3073" s="11" t="s">
        <v>16485</v>
      </c>
      <c r="E3073" s="11" t="s">
        <v>16486</v>
      </c>
      <c r="F3073" s="11" t="s">
        <v>16487</v>
      </c>
      <c r="G3073" s="11" t="s">
        <v>16488</v>
      </c>
      <c r="H3073" s="11" t="s">
        <v>16489</v>
      </c>
      <c r="I3073" s="11" t="str">
        <f>HYPERLINK("http://www.opencouture.it/","www.opencouture.it")</f>
        <v>www.opencouture.it</v>
      </c>
      <c r="J3073" s="12">
        <v>1333.732</v>
      </c>
      <c r="K3073" s="12">
        <v>1333.732</v>
      </c>
      <c r="L3073" s="13">
        <v>963.17700000000002</v>
      </c>
      <c r="M3073" s="12">
        <v>1.7669999999999999</v>
      </c>
      <c r="N3073" s="12">
        <v>1.7669999999999999</v>
      </c>
      <c r="O3073" s="12">
        <v>8.2759999999999998</v>
      </c>
      <c r="P3073" s="12">
        <v>4</v>
      </c>
      <c r="Q3073" s="12">
        <v>4</v>
      </c>
      <c r="R3073" s="12">
        <v>5</v>
      </c>
    </row>
    <row r="3074" spans="1:18" ht="17" customHeight="1" x14ac:dyDescent="0.15">
      <c r="A3074" s="8" t="s">
        <v>16490</v>
      </c>
      <c r="B3074" s="9" t="s">
        <v>16491</v>
      </c>
      <c r="C3074" s="8" t="s">
        <v>16492</v>
      </c>
      <c r="D3074" s="8" t="s">
        <v>16492</v>
      </c>
      <c r="E3074" s="8" t="s">
        <v>16493</v>
      </c>
      <c r="F3074" s="8" t="s">
        <v>16494</v>
      </c>
      <c r="G3074" s="8" t="s">
        <v>16495</v>
      </c>
      <c r="H3074" s="8" t="s">
        <v>16496</v>
      </c>
      <c r="I3074" s="8" t="str">
        <f>HYPERLINK("http://www.tacchificioberdini.it/","www.tacchificioberdini.it")</f>
        <v>www.tacchificioberdini.it</v>
      </c>
      <c r="J3074" s="10">
        <v>1432.934</v>
      </c>
      <c r="K3074" s="10">
        <v>1432.934</v>
      </c>
      <c r="L3074" s="10">
        <v>961.82</v>
      </c>
      <c r="M3074" s="10">
        <v>175.17</v>
      </c>
      <c r="N3074" s="10">
        <v>175.17</v>
      </c>
      <c r="O3074" s="10">
        <v>68.915999999999997</v>
      </c>
      <c r="P3074" s="10">
        <v>7</v>
      </c>
      <c r="Q3074" s="10">
        <v>7</v>
      </c>
      <c r="R3074" s="10">
        <v>5</v>
      </c>
    </row>
    <row r="3075" spans="1:18" ht="29.5" customHeight="1" x14ac:dyDescent="0.15">
      <c r="A3075" s="11" t="s">
        <v>16497</v>
      </c>
      <c r="B3075" s="1" t="s">
        <v>16498</v>
      </c>
      <c r="C3075" s="11" t="s">
        <v>16499</v>
      </c>
      <c r="D3075" s="11" t="s">
        <v>16499</v>
      </c>
      <c r="E3075" s="11" t="s">
        <v>16500</v>
      </c>
      <c r="F3075" s="11" t="s">
        <v>16501</v>
      </c>
      <c r="G3075" s="11" t="s">
        <v>16502</v>
      </c>
      <c r="H3075" s="11" t="s">
        <v>16496</v>
      </c>
      <c r="I3075" s="11" t="str">
        <f>HYPERLINK("http://www.ortopediapicenaap.it/","www.ortopediapicenaap.it")</f>
        <v>www.ortopediapicenaap.it</v>
      </c>
      <c r="J3075" s="12">
        <v>1494.066</v>
      </c>
      <c r="K3075" s="12">
        <v>1494.066</v>
      </c>
      <c r="L3075" s="13">
        <v>960.58199999999999</v>
      </c>
      <c r="M3075" s="12">
        <v>81.543999999999997</v>
      </c>
      <c r="N3075" s="12">
        <v>81.543999999999997</v>
      </c>
      <c r="O3075" s="12">
        <v>28.227</v>
      </c>
      <c r="P3075" s="12">
        <v>8</v>
      </c>
      <c r="Q3075" s="12">
        <v>8</v>
      </c>
      <c r="R3075" s="12">
        <v>6</v>
      </c>
    </row>
    <row r="3076" spans="1:18" ht="17" customHeight="1" x14ac:dyDescent="0.15">
      <c r="A3076" s="8" t="s">
        <v>16503</v>
      </c>
      <c r="B3076" s="9" t="s">
        <v>16504</v>
      </c>
      <c r="C3076" s="8" t="s">
        <v>16505</v>
      </c>
      <c r="D3076" s="8" t="s">
        <v>16505</v>
      </c>
      <c r="E3076" s="8" t="s">
        <v>16506</v>
      </c>
      <c r="F3076" s="8" t="s">
        <v>16507</v>
      </c>
      <c r="G3076" s="8" t="s">
        <v>16508</v>
      </c>
      <c r="H3076" s="8" t="s">
        <v>16509</v>
      </c>
      <c r="I3076" s="8" t="str">
        <f>HYPERLINK("http://www.estele.it/","www.estele.it")</f>
        <v>www.estele.it</v>
      </c>
      <c r="J3076" s="10">
        <v>1269.7339999999999</v>
      </c>
      <c r="K3076" s="10">
        <v>1269.7339999999999</v>
      </c>
      <c r="L3076" s="10">
        <v>959.55</v>
      </c>
      <c r="M3076" s="10">
        <v>331.61900000000003</v>
      </c>
      <c r="N3076" s="10">
        <v>331.61900000000003</v>
      </c>
      <c r="O3076" s="10">
        <v>163.66800000000001</v>
      </c>
      <c r="P3076" s="10">
        <v>19</v>
      </c>
      <c r="Q3076" s="10">
        <v>19</v>
      </c>
      <c r="R3076" s="10">
        <v>17</v>
      </c>
    </row>
    <row r="3077" spans="1:18" ht="17" customHeight="1" x14ac:dyDescent="0.15">
      <c r="A3077" s="11" t="s">
        <v>16510</v>
      </c>
      <c r="B3077" s="1" t="s">
        <v>16511</v>
      </c>
      <c r="C3077" s="11" t="s">
        <v>16512</v>
      </c>
      <c r="D3077" s="11" t="s">
        <v>16512</v>
      </c>
      <c r="E3077" s="11" t="s">
        <v>16513</v>
      </c>
      <c r="F3077" s="11" t="s">
        <v>16514</v>
      </c>
      <c r="G3077" s="11" t="s">
        <v>16515</v>
      </c>
      <c r="H3077" s="11" t="s">
        <v>16516</v>
      </c>
      <c r="I3077" s="11" t="str">
        <f>HYPERLINK("http://www.caridei.it/","www.caridei.it")</f>
        <v>www.caridei.it</v>
      </c>
      <c r="J3077" s="12">
        <v>953.08299999999997</v>
      </c>
      <c r="K3077" s="12">
        <v>953.08299999999997</v>
      </c>
      <c r="L3077" s="13">
        <v>958.65599999999995</v>
      </c>
      <c r="M3077" s="12">
        <v>48.814999999999998</v>
      </c>
      <c r="N3077" s="12">
        <v>48.814999999999998</v>
      </c>
      <c r="O3077" s="12">
        <v>70.608000000000004</v>
      </c>
      <c r="P3077" s="12">
        <v>11</v>
      </c>
      <c r="Q3077" s="12">
        <v>11</v>
      </c>
      <c r="R3077" s="12">
        <v>12</v>
      </c>
    </row>
    <row r="3078" spans="1:18" ht="17" customHeight="1" x14ac:dyDescent="0.15">
      <c r="A3078" s="8" t="s">
        <v>16517</v>
      </c>
      <c r="B3078" s="9" t="s">
        <v>16518</v>
      </c>
      <c r="C3078" s="8" t="s">
        <v>16519</v>
      </c>
      <c r="D3078" s="8" t="s">
        <v>16519</v>
      </c>
      <c r="E3078" s="8" t="s">
        <v>16520</v>
      </c>
      <c r="F3078" s="8" t="s">
        <v>16521</v>
      </c>
      <c r="G3078" s="8" t="s">
        <v>16522</v>
      </c>
      <c r="H3078" s="8" t="s">
        <v>16523</v>
      </c>
      <c r="I3078" s="8" t="str">
        <f>HYPERLINK("http://www.tonini.com/","www.tonini.com")</f>
        <v>www.tonini.com</v>
      </c>
      <c r="J3078" s="10">
        <v>1931.4880000000001</v>
      </c>
      <c r="K3078" s="10">
        <v>2085.5300000000002</v>
      </c>
      <c r="L3078" s="10">
        <v>958.077</v>
      </c>
      <c r="M3078" s="10">
        <v>13.866</v>
      </c>
      <c r="N3078" s="10">
        <v>13.003</v>
      </c>
      <c r="O3078" s="10">
        <v>2.6190000000000002</v>
      </c>
      <c r="P3078" s="15" t="s">
        <v>16524</v>
      </c>
      <c r="Q3078" s="10">
        <v>6</v>
      </c>
      <c r="R3078" s="10">
        <v>5</v>
      </c>
    </row>
    <row r="3079" spans="1:18" ht="17" customHeight="1" x14ac:dyDescent="0.15">
      <c r="A3079" s="11" t="s">
        <v>16525</v>
      </c>
      <c r="B3079" s="1" t="s">
        <v>16526</v>
      </c>
      <c r="C3079" s="11" t="s">
        <v>16527</v>
      </c>
      <c r="D3079" s="11" t="s">
        <v>16527</v>
      </c>
      <c r="E3079" s="11" t="s">
        <v>16528</v>
      </c>
      <c r="F3079" s="11" t="s">
        <v>16529</v>
      </c>
      <c r="G3079" s="11" t="s">
        <v>16530</v>
      </c>
      <c r="H3079" s="11" t="s">
        <v>16531</v>
      </c>
      <c r="I3079" s="11" t="str">
        <f>HYPERLINK("http://www.calzificionegrisoli.it/","www.calzificionegrisoli.it")</f>
        <v>www.calzificionegrisoli.it</v>
      </c>
      <c r="J3079" s="12">
        <v>1239.08</v>
      </c>
      <c r="K3079" s="12">
        <v>1239.08</v>
      </c>
      <c r="L3079" s="13">
        <v>957.74599999999998</v>
      </c>
      <c r="M3079" s="12">
        <v>40.694000000000003</v>
      </c>
      <c r="N3079" s="12">
        <v>40.694000000000003</v>
      </c>
      <c r="O3079" s="12">
        <v>17.667000000000002</v>
      </c>
      <c r="P3079" s="12">
        <v>5</v>
      </c>
      <c r="Q3079" s="12">
        <v>5</v>
      </c>
      <c r="R3079" s="12">
        <v>6</v>
      </c>
    </row>
    <row r="3080" spans="1:18" ht="17" customHeight="1" x14ac:dyDescent="0.15">
      <c r="A3080" s="8" t="s">
        <v>16532</v>
      </c>
      <c r="B3080" s="9" t="s">
        <v>16533</v>
      </c>
      <c r="C3080" s="8" t="s">
        <v>16534</v>
      </c>
      <c r="D3080" s="8" t="s">
        <v>16534</v>
      </c>
      <c r="E3080" s="8" t="s">
        <v>16535</v>
      </c>
      <c r="F3080" s="8" t="s">
        <v>16536</v>
      </c>
      <c r="G3080" s="8" t="s">
        <v>16537</v>
      </c>
      <c r="H3080" s="8" t="s">
        <v>16516</v>
      </c>
      <c r="I3080" s="8" t="str">
        <f>HYPERLINK("http://www.prontopellibrand.it/","www.prontopellibrand.it")</f>
        <v>www.prontopellibrand.it</v>
      </c>
      <c r="J3080" s="10">
        <v>170.17500000000001</v>
      </c>
      <c r="K3080" s="10">
        <v>170.17500000000001</v>
      </c>
      <c r="L3080" s="10">
        <v>957.37800000000004</v>
      </c>
      <c r="M3080" s="10">
        <v>-1033.4860000000001</v>
      </c>
      <c r="N3080" s="10">
        <v>-1033.4860000000001</v>
      </c>
      <c r="O3080" s="10">
        <v>220.035</v>
      </c>
      <c r="P3080" s="15" t="s">
        <v>16524</v>
      </c>
      <c r="Q3080" s="15" t="s">
        <v>16524</v>
      </c>
      <c r="R3080" s="10">
        <v>8</v>
      </c>
    </row>
    <row r="3081" spans="1:18" ht="17" customHeight="1" x14ac:dyDescent="0.15">
      <c r="A3081" s="11" t="s">
        <v>16538</v>
      </c>
      <c r="B3081" s="1" t="s">
        <v>16539</v>
      </c>
      <c r="C3081" s="11" t="s">
        <v>16540</v>
      </c>
      <c r="D3081" s="11" t="s">
        <v>16540</v>
      </c>
      <c r="E3081" s="11" t="s">
        <v>16541</v>
      </c>
      <c r="F3081" s="11" t="s">
        <v>16507</v>
      </c>
      <c r="G3081" s="11" t="s">
        <v>16542</v>
      </c>
      <c r="H3081" s="11" t="s">
        <v>16543</v>
      </c>
      <c r="I3081" s="11" t="str">
        <f>HYPERLINK("http://www.fugato.it/","www.fugato.it")</f>
        <v>www.fugato.it</v>
      </c>
      <c r="J3081" s="12">
        <v>1430.9670000000001</v>
      </c>
      <c r="K3081" s="12">
        <v>1430.9670000000001</v>
      </c>
      <c r="L3081" s="13">
        <v>956.51300000000003</v>
      </c>
      <c r="M3081" s="12">
        <v>5.9089999999999998</v>
      </c>
      <c r="N3081" s="12">
        <v>5.9089999999999998</v>
      </c>
      <c r="O3081" s="12">
        <v>-2.74</v>
      </c>
      <c r="P3081" s="12">
        <v>3</v>
      </c>
      <c r="Q3081" s="12">
        <v>3</v>
      </c>
      <c r="R3081" s="12">
        <v>5</v>
      </c>
    </row>
    <row r="3082" spans="1:18" ht="17" customHeight="1" x14ac:dyDescent="0.15">
      <c r="A3082" s="8" t="s">
        <v>16544</v>
      </c>
      <c r="B3082" s="9" t="s">
        <v>16545</v>
      </c>
      <c r="C3082" s="8" t="s">
        <v>16546</v>
      </c>
      <c r="D3082" s="8" t="s">
        <v>16546</v>
      </c>
      <c r="E3082" s="8" t="s">
        <v>16547</v>
      </c>
      <c r="F3082" s="8" t="s">
        <v>16548</v>
      </c>
      <c r="G3082" s="8" t="s">
        <v>16549</v>
      </c>
      <c r="H3082" s="8" t="s">
        <v>16550</v>
      </c>
      <c r="I3082" s="8" t="str">
        <f>HYPERLINK("http://confitri.it/","confitri.it")</f>
        <v>confitri.it</v>
      </c>
      <c r="J3082" s="10">
        <v>1070.7739999999999</v>
      </c>
      <c r="K3082" s="10">
        <v>1070.7739999999999</v>
      </c>
      <c r="L3082" s="10">
        <v>956.15599999999995</v>
      </c>
      <c r="M3082" s="10">
        <v>4.8330000000000002</v>
      </c>
      <c r="N3082" s="10">
        <v>4.8330000000000002</v>
      </c>
      <c r="O3082" s="10">
        <v>34.238</v>
      </c>
      <c r="P3082" s="15" t="s">
        <v>16524</v>
      </c>
      <c r="Q3082" s="15" t="s">
        <v>16524</v>
      </c>
      <c r="R3082" s="10">
        <v>16</v>
      </c>
    </row>
    <row r="3083" spans="1:18" ht="17" customHeight="1" x14ac:dyDescent="0.15">
      <c r="A3083" s="11" t="s">
        <v>16551</v>
      </c>
      <c r="B3083" s="1" t="s">
        <v>16552</v>
      </c>
      <c r="C3083" s="11" t="s">
        <v>16553</v>
      </c>
      <c r="D3083" s="11" t="s">
        <v>16553</v>
      </c>
      <c r="E3083" s="11" t="s">
        <v>16554</v>
      </c>
      <c r="F3083" s="11" t="s">
        <v>16521</v>
      </c>
      <c r="G3083" s="11" t="s">
        <v>16555</v>
      </c>
      <c r="H3083" s="11" t="s">
        <v>16550</v>
      </c>
      <c r="I3083" s="11" t="str">
        <f>HYPERLINK("http://www.heysport.it/","www.heysport.it")</f>
        <v>www.heysport.it</v>
      </c>
      <c r="J3083" s="12">
        <v>933.43700000000001</v>
      </c>
      <c r="K3083" s="12">
        <v>933.43700000000001</v>
      </c>
      <c r="L3083" s="13">
        <v>955.05600000000004</v>
      </c>
      <c r="M3083" s="12">
        <v>-84.05</v>
      </c>
      <c r="N3083" s="12">
        <v>-84.05</v>
      </c>
      <c r="O3083" s="12">
        <v>-77.69</v>
      </c>
      <c r="P3083" s="12">
        <v>4</v>
      </c>
      <c r="Q3083" s="12">
        <v>4</v>
      </c>
      <c r="R3083" s="12">
        <v>4</v>
      </c>
    </row>
    <row r="3084" spans="1:18" ht="17" customHeight="1" x14ac:dyDescent="0.15">
      <c r="A3084" s="8" t="s">
        <v>16556</v>
      </c>
      <c r="B3084" s="9" t="s">
        <v>16557</v>
      </c>
      <c r="C3084" s="8" t="s">
        <v>16558</v>
      </c>
      <c r="D3084" s="8" t="s">
        <v>16558</v>
      </c>
      <c r="E3084" s="8" t="s">
        <v>16559</v>
      </c>
      <c r="F3084" s="8" t="s">
        <v>16514</v>
      </c>
      <c r="G3084" s="8" t="s">
        <v>16560</v>
      </c>
      <c r="H3084" s="8" t="s">
        <v>16496</v>
      </c>
      <c r="I3084" s="8" t="str">
        <f>HYPERLINK("http://manifatturafermana.it/","manifatturafermana.it")</f>
        <v>manifatturafermana.it</v>
      </c>
      <c r="J3084" s="10">
        <v>1038.7829999999999</v>
      </c>
      <c r="K3084" s="10">
        <v>1038.7829999999999</v>
      </c>
      <c r="L3084" s="10">
        <v>952.76700000000005</v>
      </c>
      <c r="M3084" s="10">
        <v>51.59</v>
      </c>
      <c r="N3084" s="10">
        <v>51.59</v>
      </c>
      <c r="O3084" s="10">
        <v>49.872</v>
      </c>
      <c r="P3084" s="10">
        <v>14</v>
      </c>
      <c r="Q3084" s="10">
        <v>14</v>
      </c>
      <c r="R3084" s="10">
        <v>15</v>
      </c>
    </row>
    <row r="3085" spans="1:18" ht="29.5" customHeight="1" x14ac:dyDescent="0.15">
      <c r="A3085" s="11" t="s">
        <v>16561</v>
      </c>
      <c r="B3085" s="1" t="s">
        <v>16562</v>
      </c>
      <c r="C3085" s="11" t="s">
        <v>16563</v>
      </c>
      <c r="D3085" s="11" t="s">
        <v>16563</v>
      </c>
      <c r="E3085" s="11" t="s">
        <v>16564</v>
      </c>
      <c r="F3085" s="11" t="s">
        <v>16514</v>
      </c>
      <c r="G3085" s="11" t="s">
        <v>16565</v>
      </c>
      <c r="H3085" s="11" t="s">
        <v>16566</v>
      </c>
      <c r="I3085" s="11" t="str">
        <f>HYPERLINK("http://www.guantigigliofiorentino.it/","www.guantigigliofiorentino.it")</f>
        <v>www.guantigigliofiorentino.it</v>
      </c>
      <c r="J3085" s="12">
        <v>936.14499999999998</v>
      </c>
      <c r="K3085" s="12">
        <v>936.14499999999998</v>
      </c>
      <c r="L3085" s="13">
        <v>949.98599999999999</v>
      </c>
      <c r="M3085" s="12">
        <v>47.902000000000001</v>
      </c>
      <c r="N3085" s="12">
        <v>47.902000000000001</v>
      </c>
      <c r="O3085" s="12">
        <v>54.906999999999996</v>
      </c>
      <c r="P3085" s="12">
        <v>7</v>
      </c>
      <c r="Q3085" s="12">
        <v>7</v>
      </c>
      <c r="R3085" s="12">
        <v>6</v>
      </c>
    </row>
    <row r="3086" spans="1:18" ht="17" customHeight="1" x14ac:dyDescent="0.15">
      <c r="A3086" s="8" t="s">
        <v>16567</v>
      </c>
      <c r="B3086" s="9" t="s">
        <v>16568</v>
      </c>
      <c r="C3086" s="8" t="s">
        <v>16569</v>
      </c>
      <c r="D3086" s="8" t="s">
        <v>16569</v>
      </c>
      <c r="E3086" s="8" t="s">
        <v>16570</v>
      </c>
      <c r="F3086" s="8" t="s">
        <v>16507</v>
      </c>
      <c r="G3086" s="8" t="s">
        <v>16488</v>
      </c>
      <c r="H3086" s="8" t="s">
        <v>16489</v>
      </c>
      <c r="I3086" s="8" t="str">
        <f>HYPERLINK("http://www.alexanderbikewear.com/","www.alexanderbikewear.com")</f>
        <v>www.alexanderbikewear.com</v>
      </c>
      <c r="J3086" s="10">
        <v>894.15300000000002</v>
      </c>
      <c r="K3086" s="10">
        <v>894.15300000000002</v>
      </c>
      <c r="L3086" s="10">
        <v>949.26</v>
      </c>
      <c r="M3086" s="10">
        <v>-18.7</v>
      </c>
      <c r="N3086" s="10">
        <v>-18.7</v>
      </c>
      <c r="O3086" s="10">
        <v>-20.524000000000001</v>
      </c>
      <c r="P3086" s="15" t="s">
        <v>16524</v>
      </c>
      <c r="Q3086" s="15" t="s">
        <v>16524</v>
      </c>
      <c r="R3086" s="10">
        <v>18</v>
      </c>
    </row>
    <row r="3087" spans="1:18" ht="43" customHeight="1" x14ac:dyDescent="0.15">
      <c r="A3087" s="11" t="s">
        <v>16571</v>
      </c>
      <c r="B3087" s="1" t="s">
        <v>16572</v>
      </c>
      <c r="C3087" s="11" t="s">
        <v>16573</v>
      </c>
      <c r="D3087" s="11" t="s">
        <v>16573</v>
      </c>
      <c r="E3087" s="11" t="s">
        <v>16574</v>
      </c>
      <c r="F3087" s="11" t="s">
        <v>16507</v>
      </c>
      <c r="G3087" s="11" t="s">
        <v>16575</v>
      </c>
      <c r="H3087" s="11" t="s">
        <v>16523</v>
      </c>
      <c r="I3087" s="11" t="str">
        <f>HYPERLINK("http://otravezcollection.com/","otravezcollection.com")</f>
        <v>otravezcollection.com</v>
      </c>
      <c r="J3087" s="12">
        <v>859.52700000000004</v>
      </c>
      <c r="K3087" s="12">
        <v>859.52700000000004</v>
      </c>
      <c r="L3087" s="13">
        <v>949.14400000000001</v>
      </c>
      <c r="M3087" s="12">
        <v>1.147</v>
      </c>
      <c r="N3087" s="12">
        <v>1.147</v>
      </c>
      <c r="O3087" s="12">
        <v>11.677</v>
      </c>
      <c r="P3087" s="12">
        <v>20</v>
      </c>
      <c r="Q3087" s="12">
        <v>20</v>
      </c>
      <c r="R3087" s="12">
        <v>16</v>
      </c>
    </row>
    <row r="3088" spans="1:18" ht="17" customHeight="1" x14ac:dyDescent="0.15">
      <c r="A3088" s="8" t="s">
        <v>16576</v>
      </c>
      <c r="B3088" s="9" t="s">
        <v>16577</v>
      </c>
      <c r="C3088" s="8" t="s">
        <v>16578</v>
      </c>
      <c r="D3088" s="8" t="s">
        <v>16578</v>
      </c>
      <c r="E3088" s="8" t="s">
        <v>16579</v>
      </c>
      <c r="F3088" s="8" t="s">
        <v>16521</v>
      </c>
      <c r="G3088" s="8" t="s">
        <v>16555</v>
      </c>
      <c r="H3088" s="8" t="s">
        <v>16550</v>
      </c>
      <c r="I3088" s="8" t="str">
        <f>HYPERLINK("http://giegisportfashion.com/","giegisportfashion.com")</f>
        <v>giegisportfashion.com</v>
      </c>
      <c r="J3088" s="10">
        <v>948.78</v>
      </c>
      <c r="K3088" s="15" t="s">
        <v>16524</v>
      </c>
      <c r="L3088" s="10">
        <v>948.78</v>
      </c>
      <c r="M3088" s="10">
        <v>0.66700000000000004</v>
      </c>
      <c r="N3088" s="15" t="s">
        <v>16524</v>
      </c>
      <c r="O3088" s="10">
        <v>0.66700000000000004</v>
      </c>
      <c r="P3088" s="10">
        <v>5</v>
      </c>
      <c r="Q3088" s="15" t="s">
        <v>16524</v>
      </c>
      <c r="R3088" s="10">
        <v>5</v>
      </c>
    </row>
    <row r="3089" spans="1:18" ht="17" customHeight="1" x14ac:dyDescent="0.15">
      <c r="A3089" s="11" t="s">
        <v>16580</v>
      </c>
      <c r="B3089" s="1" t="s">
        <v>16581</v>
      </c>
      <c r="C3089" s="11" t="s">
        <v>16582</v>
      </c>
      <c r="D3089" s="11" t="s">
        <v>16582</v>
      </c>
      <c r="E3089" s="11" t="s">
        <v>16583</v>
      </c>
      <c r="F3089" s="11" t="s">
        <v>16584</v>
      </c>
      <c r="G3089" s="11" t="s">
        <v>16585</v>
      </c>
      <c r="H3089" s="11" t="s">
        <v>16516</v>
      </c>
      <c r="I3089" s="11" t="str">
        <f>HYPERLINK("http://www.corbaraweb.com/","www.corbaraweb.com")</f>
        <v>www.corbaraweb.com</v>
      </c>
      <c r="J3089" s="12">
        <v>994.49400000000003</v>
      </c>
      <c r="K3089" s="12">
        <v>994.49400000000003</v>
      </c>
      <c r="L3089" s="13">
        <v>947.01800000000003</v>
      </c>
      <c r="M3089" s="12">
        <v>44.506</v>
      </c>
      <c r="N3089" s="12">
        <v>44.506</v>
      </c>
      <c r="O3089" s="12">
        <v>40.1</v>
      </c>
      <c r="P3089" s="14" t="s">
        <v>16524</v>
      </c>
      <c r="Q3089" s="14" t="s">
        <v>16524</v>
      </c>
      <c r="R3089" s="12">
        <v>15</v>
      </c>
    </row>
    <row r="3090" spans="1:18" ht="17" customHeight="1" x14ac:dyDescent="0.15">
      <c r="A3090" s="8" t="s">
        <v>16586</v>
      </c>
      <c r="B3090" s="9" t="s">
        <v>16587</v>
      </c>
      <c r="C3090" s="8" t="s">
        <v>16588</v>
      </c>
      <c r="D3090" s="8" t="s">
        <v>16588</v>
      </c>
      <c r="E3090" s="8" t="s">
        <v>16589</v>
      </c>
      <c r="F3090" s="8" t="s">
        <v>16590</v>
      </c>
      <c r="G3090" s="8" t="s">
        <v>16591</v>
      </c>
      <c r="H3090" s="8" t="s">
        <v>16531</v>
      </c>
      <c r="I3090" s="8" t="str">
        <f>HYPERLINK("http://www.vinciuomo.it/","www.vinciuomo.it")</f>
        <v>www.vinciuomo.it</v>
      </c>
      <c r="J3090" s="10">
        <v>949.702</v>
      </c>
      <c r="K3090" s="10">
        <v>949.702</v>
      </c>
      <c r="L3090" s="10">
        <v>946.37800000000004</v>
      </c>
      <c r="M3090" s="10">
        <v>11.606999999999999</v>
      </c>
      <c r="N3090" s="10">
        <v>11.606999999999999</v>
      </c>
      <c r="O3090" s="10">
        <v>60.396000000000001</v>
      </c>
      <c r="P3090" s="10">
        <v>15</v>
      </c>
      <c r="Q3090" s="10">
        <v>15</v>
      </c>
      <c r="R3090" s="10">
        <v>14</v>
      </c>
    </row>
    <row r="3091" spans="1:18" ht="43" customHeight="1" x14ac:dyDescent="0.15">
      <c r="A3091" s="11" t="s">
        <v>16592</v>
      </c>
      <c r="B3091" s="1" t="s">
        <v>16593</v>
      </c>
      <c r="C3091" s="11" t="s">
        <v>16594</v>
      </c>
      <c r="D3091" s="11" t="s">
        <v>16594</v>
      </c>
      <c r="E3091" s="11" t="s">
        <v>16595</v>
      </c>
      <c r="F3091" s="11" t="s">
        <v>16596</v>
      </c>
      <c r="G3091" s="11" t="s">
        <v>16597</v>
      </c>
      <c r="H3091" s="11" t="s">
        <v>16523</v>
      </c>
      <c r="I3091" s="11" t="str">
        <f>HYPERLINK("http://www.eswearingservice.it/","www.eswearingservice.it")</f>
        <v>www.eswearingservice.it</v>
      </c>
      <c r="J3091" s="12">
        <v>788.31899999999996</v>
      </c>
      <c r="K3091" s="12">
        <v>788.31899999999996</v>
      </c>
      <c r="L3091" s="13">
        <v>943.46799999999996</v>
      </c>
      <c r="M3091" s="12">
        <v>-41.374000000000002</v>
      </c>
      <c r="N3091" s="12">
        <v>-41.374000000000002</v>
      </c>
      <c r="O3091" s="12">
        <v>18.952000000000002</v>
      </c>
      <c r="P3091" s="14" t="s">
        <v>16524</v>
      </c>
      <c r="Q3091" s="14" t="s">
        <v>16524</v>
      </c>
      <c r="R3091" s="12">
        <v>14</v>
      </c>
    </row>
    <row r="3092" spans="1:18" ht="17" customHeight="1" x14ac:dyDescent="0.15">
      <c r="A3092" s="8" t="s">
        <v>16598</v>
      </c>
      <c r="B3092" s="9" t="s">
        <v>16599</v>
      </c>
      <c r="C3092" s="8" t="s">
        <v>16600</v>
      </c>
      <c r="D3092" s="8" t="s">
        <v>16600</v>
      </c>
      <c r="E3092" s="8" t="s">
        <v>16601</v>
      </c>
      <c r="F3092" s="8" t="s">
        <v>16507</v>
      </c>
      <c r="G3092" s="8" t="s">
        <v>16602</v>
      </c>
      <c r="H3092" s="8" t="s">
        <v>16496</v>
      </c>
      <c r="I3092" s="8" t="str">
        <f>HYPERLINK("http://www.confezionielegant.it/","www.confezionielegant.it")</f>
        <v>www.confezionielegant.it</v>
      </c>
      <c r="J3092" s="10">
        <v>889.02599999999995</v>
      </c>
      <c r="K3092" s="10">
        <v>889.02599999999995</v>
      </c>
      <c r="L3092" s="10">
        <v>943.19799999999998</v>
      </c>
      <c r="M3092" s="10">
        <v>113.821</v>
      </c>
      <c r="N3092" s="10">
        <v>113.821</v>
      </c>
      <c r="O3092" s="10">
        <v>94.146000000000001</v>
      </c>
      <c r="P3092" s="10">
        <v>12</v>
      </c>
      <c r="Q3092" s="10">
        <v>12</v>
      </c>
      <c r="R3092" s="10">
        <v>12</v>
      </c>
    </row>
    <row r="3093" spans="1:18" ht="17" customHeight="1" x14ac:dyDescent="0.15">
      <c r="A3093" s="11" t="s">
        <v>16603</v>
      </c>
      <c r="B3093" s="1" t="s">
        <v>16604</v>
      </c>
      <c r="C3093" s="11" t="s">
        <v>16605</v>
      </c>
      <c r="D3093" s="11" t="s">
        <v>16605</v>
      </c>
      <c r="E3093" s="11" t="s">
        <v>16606</v>
      </c>
      <c r="F3093" s="11" t="s">
        <v>16607</v>
      </c>
      <c r="G3093" s="11" t="s">
        <v>16591</v>
      </c>
      <c r="H3093" s="11" t="s">
        <v>16531</v>
      </c>
      <c r="I3093" s="11" t="str">
        <f>HYPERLINK("http://www.santerasmocinque.it/","www.santerasmocinque.it")</f>
        <v>www.santerasmocinque.it</v>
      </c>
      <c r="J3093" s="12">
        <v>835.60500000000002</v>
      </c>
      <c r="K3093" s="12">
        <v>835.60500000000002</v>
      </c>
      <c r="L3093" s="13">
        <v>942.07299999999998</v>
      </c>
      <c r="M3093" s="12">
        <v>0.53</v>
      </c>
      <c r="N3093" s="12">
        <v>0.53</v>
      </c>
      <c r="O3093" s="12">
        <v>3.9129999999999998</v>
      </c>
      <c r="P3093" s="12">
        <v>3</v>
      </c>
      <c r="Q3093" s="12">
        <v>3</v>
      </c>
      <c r="R3093" s="12">
        <v>3</v>
      </c>
    </row>
    <row r="3094" spans="1:18" ht="17" customHeight="1" x14ac:dyDescent="0.15">
      <c r="A3094" s="8" t="s">
        <v>16608</v>
      </c>
      <c r="B3094" s="9" t="s">
        <v>16609</v>
      </c>
      <c r="C3094" s="8" t="s">
        <v>16610</v>
      </c>
      <c r="D3094" s="8" t="s">
        <v>16610</v>
      </c>
      <c r="E3094" s="8" t="s">
        <v>16611</v>
      </c>
      <c r="F3094" s="8" t="s">
        <v>16548</v>
      </c>
      <c r="G3094" s="8" t="s">
        <v>16515</v>
      </c>
      <c r="H3094" s="8" t="s">
        <v>16516</v>
      </c>
      <c r="I3094" s="8" t="str">
        <f>HYPERLINK("http://www.fantasy2000.it/","www.fantasy2000.it")</f>
        <v>www.fantasy2000.it</v>
      </c>
      <c r="J3094" s="10">
        <v>876.98800000000006</v>
      </c>
      <c r="K3094" s="10">
        <v>876.98800000000006</v>
      </c>
      <c r="L3094" s="10">
        <v>939.29200000000003</v>
      </c>
      <c r="M3094" s="10">
        <v>19.844999999999999</v>
      </c>
      <c r="N3094" s="10">
        <v>19.844999999999999</v>
      </c>
      <c r="O3094" s="10">
        <v>-17.709</v>
      </c>
      <c r="P3094" s="15" t="s">
        <v>16524</v>
      </c>
      <c r="Q3094" s="15" t="s">
        <v>16524</v>
      </c>
      <c r="R3094" s="10">
        <v>3</v>
      </c>
    </row>
    <row r="3095" spans="1:18" ht="17" customHeight="1" x14ac:dyDescent="0.15">
      <c r="A3095" s="11" t="s">
        <v>16612</v>
      </c>
      <c r="B3095" s="1" t="s">
        <v>16613</v>
      </c>
      <c r="C3095" s="11" t="s">
        <v>16614</v>
      </c>
      <c r="D3095" s="11" t="s">
        <v>16614</v>
      </c>
      <c r="E3095" s="11" t="s">
        <v>16615</v>
      </c>
      <c r="F3095" s="11" t="s">
        <v>16584</v>
      </c>
      <c r="G3095" s="11" t="s">
        <v>16602</v>
      </c>
      <c r="H3095" s="11" t="s">
        <v>16496</v>
      </c>
      <c r="I3095" s="11" t="str">
        <f>HYPERLINK("http://paricop.com/","paricop.com")</f>
        <v>paricop.com</v>
      </c>
      <c r="J3095" s="12">
        <v>1145.008</v>
      </c>
      <c r="K3095" s="12">
        <v>1145.008</v>
      </c>
      <c r="L3095" s="13">
        <v>937.85199999999998</v>
      </c>
      <c r="M3095" s="12">
        <v>1.1479999999999999</v>
      </c>
      <c r="N3095" s="12">
        <v>1.1479999999999999</v>
      </c>
      <c r="O3095" s="12">
        <v>2.0059999999999998</v>
      </c>
      <c r="P3095" s="12">
        <v>7</v>
      </c>
      <c r="Q3095" s="12">
        <v>7</v>
      </c>
      <c r="R3095" s="12">
        <v>13</v>
      </c>
    </row>
    <row r="3096" spans="1:18" ht="29.5" customHeight="1" x14ac:dyDescent="0.15">
      <c r="A3096" s="8" t="s">
        <v>16616</v>
      </c>
      <c r="B3096" s="9" t="s">
        <v>16617</v>
      </c>
      <c r="C3096" s="8" t="s">
        <v>16618</v>
      </c>
      <c r="D3096" s="8" t="s">
        <v>16618</v>
      </c>
      <c r="E3096" s="8" t="s">
        <v>16619</v>
      </c>
      <c r="F3096" s="8" t="s">
        <v>16501</v>
      </c>
      <c r="G3096" s="8" t="s">
        <v>16620</v>
      </c>
      <c r="H3096" s="8" t="s">
        <v>16516</v>
      </c>
      <c r="I3096" s="8" t="str">
        <f>HYPERLINK("http://www.bricconi.com/","www.bricconi.com")</f>
        <v>www.bricconi.com</v>
      </c>
      <c r="J3096" s="10">
        <v>1101.5709999999999</v>
      </c>
      <c r="K3096" s="10">
        <v>1101.5709999999999</v>
      </c>
      <c r="L3096" s="10">
        <v>937.423</v>
      </c>
      <c r="M3096" s="10">
        <v>147.08799999999999</v>
      </c>
      <c r="N3096" s="10">
        <v>147.08799999999999</v>
      </c>
      <c r="O3096" s="10">
        <v>121.979</v>
      </c>
      <c r="P3096" s="15" t="s">
        <v>16524</v>
      </c>
      <c r="Q3096" s="15" t="s">
        <v>16524</v>
      </c>
      <c r="R3096" s="10">
        <v>19</v>
      </c>
    </row>
    <row r="3097" spans="1:18" ht="29.5" customHeight="1" x14ac:dyDescent="0.15">
      <c r="A3097" s="11" t="s">
        <v>16621</v>
      </c>
      <c r="B3097" s="1" t="s">
        <v>16622</v>
      </c>
      <c r="C3097" s="11" t="s">
        <v>16623</v>
      </c>
      <c r="D3097" s="11" t="s">
        <v>16623</v>
      </c>
      <c r="E3097" s="11" t="s">
        <v>16624</v>
      </c>
      <c r="F3097" s="11" t="s">
        <v>16507</v>
      </c>
      <c r="G3097" s="11" t="s">
        <v>16522</v>
      </c>
      <c r="H3097" s="11" t="s">
        <v>16523</v>
      </c>
      <c r="I3097" s="11" t="str">
        <f>HYPERLINK("http://www.italianfashionpatterns.it/","www.italianfashionpatterns.it")</f>
        <v>www.italianfashionpatterns.it</v>
      </c>
      <c r="J3097" s="12">
        <v>1049.1769999999999</v>
      </c>
      <c r="K3097" s="12">
        <v>1049.1769999999999</v>
      </c>
      <c r="L3097" s="13">
        <v>936.899</v>
      </c>
      <c r="M3097" s="12">
        <v>105.48399999999999</v>
      </c>
      <c r="N3097" s="12">
        <v>105.48399999999999</v>
      </c>
      <c r="O3097" s="12">
        <v>129.39099999999999</v>
      </c>
      <c r="P3097" s="12">
        <v>4</v>
      </c>
      <c r="Q3097" s="12">
        <v>4</v>
      </c>
      <c r="R3097" s="12">
        <v>5</v>
      </c>
    </row>
    <row r="3098" spans="1:18" ht="17" customHeight="1" x14ac:dyDescent="0.15">
      <c r="A3098" s="8" t="s">
        <v>16625</v>
      </c>
      <c r="B3098" s="9" t="s">
        <v>16626</v>
      </c>
      <c r="C3098" s="8" t="s">
        <v>16627</v>
      </c>
      <c r="D3098" s="8" t="s">
        <v>16627</v>
      </c>
      <c r="E3098" s="8" t="s">
        <v>16628</v>
      </c>
      <c r="F3098" s="8" t="s">
        <v>16494</v>
      </c>
      <c r="G3098" s="8" t="s">
        <v>16560</v>
      </c>
      <c r="H3098" s="8" t="s">
        <v>16496</v>
      </c>
      <c r="I3098" s="8" t="str">
        <f>HYPERLINK("http://www.tartabinienasini.it/","www.tartabinienasini.it")</f>
        <v>www.tartabinienasini.it</v>
      </c>
      <c r="J3098" s="10">
        <v>921.46</v>
      </c>
      <c r="K3098" s="10">
        <v>921.46</v>
      </c>
      <c r="L3098" s="10">
        <v>936.65099999999995</v>
      </c>
      <c r="M3098" s="10">
        <v>73.629000000000005</v>
      </c>
      <c r="N3098" s="10">
        <v>73.629000000000005</v>
      </c>
      <c r="O3098" s="10">
        <v>38.889000000000003</v>
      </c>
      <c r="P3098" s="10">
        <v>3</v>
      </c>
      <c r="Q3098" s="10">
        <v>3</v>
      </c>
      <c r="R3098" s="10">
        <v>4</v>
      </c>
    </row>
    <row r="3099" spans="1:18" ht="17" customHeight="1" x14ac:dyDescent="0.15">
      <c r="A3099" s="11" t="s">
        <v>16629</v>
      </c>
      <c r="B3099" s="1" t="s">
        <v>16630</v>
      </c>
      <c r="C3099" s="11" t="s">
        <v>16631</v>
      </c>
      <c r="D3099" s="11" t="s">
        <v>16631</v>
      </c>
      <c r="E3099" s="11" t="s">
        <v>16632</v>
      </c>
      <c r="F3099" s="11" t="s">
        <v>16507</v>
      </c>
      <c r="G3099" s="11" t="s">
        <v>16597</v>
      </c>
      <c r="H3099" s="11" t="s">
        <v>16523</v>
      </c>
      <c r="I3099" s="11" t="str">
        <f>HYPERLINK("http://www.ms-servizi.it/","www.ms-servizi.it")</f>
        <v>www.ms-servizi.it</v>
      </c>
      <c r="J3099" s="12">
        <v>1098.873</v>
      </c>
      <c r="K3099" s="12">
        <v>1098.873</v>
      </c>
      <c r="L3099" s="13">
        <v>936.56500000000005</v>
      </c>
      <c r="M3099" s="12">
        <v>4.34</v>
      </c>
      <c r="N3099" s="12">
        <v>4.34</v>
      </c>
      <c r="O3099" s="12">
        <v>1.391</v>
      </c>
      <c r="P3099" s="12">
        <v>13</v>
      </c>
      <c r="Q3099" s="12">
        <v>13</v>
      </c>
      <c r="R3099" s="12">
        <v>10</v>
      </c>
    </row>
    <row r="3100" spans="1:18" ht="43" customHeight="1" x14ac:dyDescent="0.15">
      <c r="A3100" s="8" t="s">
        <v>16633</v>
      </c>
      <c r="B3100" s="9" t="s">
        <v>16634</v>
      </c>
      <c r="C3100" s="8" t="s">
        <v>16635</v>
      </c>
      <c r="D3100" s="8" t="s">
        <v>16635</v>
      </c>
      <c r="E3100" s="8" t="s">
        <v>16636</v>
      </c>
      <c r="F3100" s="8" t="s">
        <v>16607</v>
      </c>
      <c r="G3100" s="8" t="s">
        <v>16542</v>
      </c>
      <c r="H3100" s="8" t="s">
        <v>16543</v>
      </c>
      <c r="I3100" s="8" t="str">
        <f>HYPERLINK("http://www.nicolasantarelli1915.com/","www.nicolasantarelli1915.com")</f>
        <v>www.nicolasantarelli1915.com</v>
      </c>
      <c r="J3100" s="10">
        <v>900.69299999999998</v>
      </c>
      <c r="K3100" s="10">
        <v>900.69299999999998</v>
      </c>
      <c r="L3100" s="10">
        <v>936.27099999999996</v>
      </c>
      <c r="M3100" s="10">
        <v>2.8279999999999998</v>
      </c>
      <c r="N3100" s="10">
        <v>2.8279999999999998</v>
      </c>
      <c r="O3100" s="10">
        <v>30.911999999999999</v>
      </c>
      <c r="P3100" s="10">
        <v>15</v>
      </c>
      <c r="Q3100" s="10">
        <v>15</v>
      </c>
      <c r="R3100" s="10">
        <v>13</v>
      </c>
    </row>
    <row r="3101" spans="1:18" ht="17" customHeight="1" x14ac:dyDescent="0.15">
      <c r="A3101" s="11" t="s">
        <v>16637</v>
      </c>
      <c r="B3101" s="1" t="s">
        <v>16638</v>
      </c>
      <c r="C3101" s="11" t="s">
        <v>16639</v>
      </c>
      <c r="D3101" s="11" t="s">
        <v>16639</v>
      </c>
      <c r="E3101" s="11" t="s">
        <v>16640</v>
      </c>
      <c r="F3101" s="11" t="s">
        <v>16507</v>
      </c>
      <c r="G3101" s="11" t="s">
        <v>16641</v>
      </c>
      <c r="H3101" s="11" t="s">
        <v>16566</v>
      </c>
      <c r="I3101" s="11" t="str">
        <f>HYPERLINK("http://www.parentini.com/","www.parentini.com")</f>
        <v>www.parentini.com</v>
      </c>
      <c r="J3101" s="12">
        <v>889.49599999999998</v>
      </c>
      <c r="K3101" s="12">
        <v>889.49599999999998</v>
      </c>
      <c r="L3101" s="13">
        <v>935.91899999999998</v>
      </c>
      <c r="M3101" s="12">
        <v>1.4330000000000001</v>
      </c>
      <c r="N3101" s="12">
        <v>1.4330000000000001</v>
      </c>
      <c r="O3101" s="12">
        <v>1.3240000000000001</v>
      </c>
      <c r="P3101" s="12">
        <v>8</v>
      </c>
      <c r="Q3101" s="12">
        <v>8</v>
      </c>
      <c r="R3101" s="12">
        <v>9</v>
      </c>
    </row>
    <row r="3102" spans="1:18" ht="17" customHeight="1" x14ac:dyDescent="0.15">
      <c r="A3102" s="8" t="s">
        <v>16642</v>
      </c>
      <c r="B3102" s="9" t="s">
        <v>16643</v>
      </c>
      <c r="C3102" s="8" t="s">
        <v>16644</v>
      </c>
      <c r="D3102" s="8" t="s">
        <v>16644</v>
      </c>
      <c r="E3102" s="8" t="s">
        <v>16645</v>
      </c>
      <c r="F3102" s="8" t="s">
        <v>16646</v>
      </c>
      <c r="G3102" s="8" t="s">
        <v>16647</v>
      </c>
      <c r="H3102" s="8" t="s">
        <v>16531</v>
      </c>
      <c r="I3102" s="8" t="str">
        <f>HYPERLINK("http://www.dori.it/","www.dori.it")</f>
        <v>www.dori.it</v>
      </c>
      <c r="J3102" s="10">
        <v>863.66399999999999</v>
      </c>
      <c r="K3102" s="10">
        <v>863.66399999999999</v>
      </c>
      <c r="L3102" s="10">
        <v>934.36</v>
      </c>
      <c r="M3102" s="10">
        <v>16.093</v>
      </c>
      <c r="N3102" s="10">
        <v>16.093</v>
      </c>
      <c r="O3102" s="10">
        <v>18.998000000000001</v>
      </c>
      <c r="P3102" s="10">
        <v>4</v>
      </c>
      <c r="Q3102" s="10">
        <v>4</v>
      </c>
      <c r="R3102" s="10">
        <v>5</v>
      </c>
    </row>
    <row r="3103" spans="1:18" ht="17" customHeight="1" x14ac:dyDescent="0.15">
      <c r="A3103" s="11" t="s">
        <v>16648</v>
      </c>
      <c r="B3103" s="1" t="s">
        <v>16649</v>
      </c>
      <c r="C3103" s="11" t="s">
        <v>16650</v>
      </c>
      <c r="D3103" s="11" t="s">
        <v>16650</v>
      </c>
      <c r="E3103" s="11" t="s">
        <v>16651</v>
      </c>
      <c r="F3103" s="11" t="s">
        <v>16514</v>
      </c>
      <c r="G3103" s="11" t="s">
        <v>16652</v>
      </c>
      <c r="H3103" s="11" t="s">
        <v>16543</v>
      </c>
      <c r="I3103" s="11" t="str">
        <f>HYPERLINK("http://spafil.it/","spafil.it")</f>
        <v>spafil.it</v>
      </c>
      <c r="J3103" s="12">
        <v>896.08699999999999</v>
      </c>
      <c r="K3103" s="12">
        <v>896.08699999999999</v>
      </c>
      <c r="L3103" s="13">
        <v>933.98099999999999</v>
      </c>
      <c r="M3103" s="12">
        <v>35.095999999999997</v>
      </c>
      <c r="N3103" s="12">
        <v>35.095999999999997</v>
      </c>
      <c r="O3103" s="12">
        <v>103.5</v>
      </c>
      <c r="P3103" s="14" t="s">
        <v>16524</v>
      </c>
      <c r="Q3103" s="14" t="s">
        <v>16524</v>
      </c>
      <c r="R3103" s="12">
        <v>4</v>
      </c>
    </row>
    <row r="3104" spans="1:18" ht="17" customHeight="1" x14ac:dyDescent="0.15">
      <c r="A3104" s="8" t="s">
        <v>16653</v>
      </c>
      <c r="B3104" s="9" t="s">
        <v>16654</v>
      </c>
      <c r="C3104" s="8" t="s">
        <v>16655</v>
      </c>
      <c r="D3104" s="8" t="s">
        <v>16655</v>
      </c>
      <c r="E3104" s="8" t="s">
        <v>16656</v>
      </c>
      <c r="F3104" s="8" t="s">
        <v>16536</v>
      </c>
      <c r="G3104" s="8" t="s">
        <v>16641</v>
      </c>
      <c r="H3104" s="8" t="s">
        <v>16566</v>
      </c>
      <c r="I3104" s="8" t="str">
        <f>HYPERLINK("http://www.lapec.it/","www.lapec.it")</f>
        <v>www.lapec.it</v>
      </c>
      <c r="J3104" s="10">
        <v>992.53300000000002</v>
      </c>
      <c r="K3104" s="10">
        <v>992.53300000000002</v>
      </c>
      <c r="L3104" s="10">
        <v>933.21500000000003</v>
      </c>
      <c r="M3104" s="10">
        <v>92.343999999999994</v>
      </c>
      <c r="N3104" s="10">
        <v>92.343999999999994</v>
      </c>
      <c r="O3104" s="10">
        <v>28.952000000000002</v>
      </c>
      <c r="P3104" s="10">
        <v>10</v>
      </c>
      <c r="Q3104" s="10">
        <v>10</v>
      </c>
      <c r="R3104" s="10">
        <v>12</v>
      </c>
    </row>
    <row r="3105" spans="1:18" ht="43" customHeight="1" x14ac:dyDescent="0.15">
      <c r="A3105" s="11" t="s">
        <v>16657</v>
      </c>
      <c r="B3105" s="1" t="s">
        <v>16658</v>
      </c>
      <c r="C3105" s="11" t="s">
        <v>16659</v>
      </c>
      <c r="D3105" s="11" t="s">
        <v>16659</v>
      </c>
      <c r="E3105" s="11" t="s">
        <v>16660</v>
      </c>
      <c r="F3105" s="11" t="s">
        <v>16661</v>
      </c>
      <c r="G3105" s="11" t="s">
        <v>16662</v>
      </c>
      <c r="H3105" s="11" t="s">
        <v>16663</v>
      </c>
      <c r="I3105" s="11" t="str">
        <f>HYPERLINK("http://www.shop.ladia.it/","www.shop.ladia.it")</f>
        <v>www.shop.ladia.it</v>
      </c>
      <c r="J3105" s="12">
        <v>1410.6110000000001</v>
      </c>
      <c r="K3105" s="12">
        <v>1410.6110000000001</v>
      </c>
      <c r="L3105" s="13">
        <v>930.476</v>
      </c>
      <c r="M3105" s="12">
        <v>8.0839999999999996</v>
      </c>
      <c r="N3105" s="12">
        <v>8.0839999999999996</v>
      </c>
      <c r="O3105" s="12">
        <v>76.801000000000002</v>
      </c>
      <c r="P3105" s="12">
        <v>31</v>
      </c>
      <c r="Q3105" s="12">
        <v>31</v>
      </c>
      <c r="R3105" s="12">
        <v>22</v>
      </c>
    </row>
    <row r="3106" spans="1:18" ht="17" customHeight="1" x14ac:dyDescent="0.15">
      <c r="A3106" s="8" t="s">
        <v>16664</v>
      </c>
      <c r="B3106" s="9" t="s">
        <v>16665</v>
      </c>
      <c r="C3106" s="8" t="s">
        <v>16666</v>
      </c>
      <c r="D3106" s="8" t="s">
        <v>16666</v>
      </c>
      <c r="E3106" s="8" t="s">
        <v>16667</v>
      </c>
      <c r="F3106" s="8" t="s">
        <v>16661</v>
      </c>
      <c r="G3106" s="8" t="s">
        <v>16668</v>
      </c>
      <c r="H3106" s="8" t="s">
        <v>16669</v>
      </c>
      <c r="I3106" s="8" t="str">
        <f>HYPERLINK("http://www.wlnscashmere.it/","www.wlnscashmere.it")</f>
        <v>www.wlnscashmere.it</v>
      </c>
      <c r="J3106" s="10">
        <v>805.88900000000001</v>
      </c>
      <c r="K3106" s="10">
        <v>805.88900000000001</v>
      </c>
      <c r="L3106" s="10">
        <v>930.46900000000005</v>
      </c>
      <c r="M3106" s="10">
        <v>-61.664999999999999</v>
      </c>
      <c r="N3106" s="10">
        <v>-61.664999999999999</v>
      </c>
      <c r="O3106" s="10">
        <v>6.41</v>
      </c>
      <c r="P3106" s="10">
        <v>10</v>
      </c>
      <c r="Q3106" s="10">
        <v>10</v>
      </c>
      <c r="R3106" s="10">
        <v>8</v>
      </c>
    </row>
    <row r="3107" spans="1:18" ht="17" customHeight="1" x14ac:dyDescent="0.15">
      <c r="A3107" s="11" t="s">
        <v>16670</v>
      </c>
      <c r="B3107" s="1" t="s">
        <v>16671</v>
      </c>
      <c r="C3107" s="11" t="s">
        <v>16672</v>
      </c>
      <c r="D3107" s="11" t="s">
        <v>16672</v>
      </c>
      <c r="E3107" s="11" t="s">
        <v>16673</v>
      </c>
      <c r="F3107" s="11" t="s">
        <v>16674</v>
      </c>
      <c r="G3107" s="11" t="s">
        <v>16675</v>
      </c>
      <c r="H3107" s="11" t="s">
        <v>16676</v>
      </c>
      <c r="I3107" s="11" t="str">
        <f>HYPERLINK("http://www.handlinecompany.com/","www.handlinecompany.com")</f>
        <v>www.handlinecompany.com</v>
      </c>
      <c r="J3107" s="12">
        <v>1138.3510000000001</v>
      </c>
      <c r="K3107" s="12">
        <v>1138.3510000000001</v>
      </c>
      <c r="L3107" s="13">
        <v>927.81200000000001</v>
      </c>
      <c r="M3107" s="12">
        <v>253.56100000000001</v>
      </c>
      <c r="N3107" s="12">
        <v>253.56100000000001</v>
      </c>
      <c r="O3107" s="12">
        <v>95.977999999999994</v>
      </c>
      <c r="P3107" s="12">
        <v>2</v>
      </c>
      <c r="Q3107" s="12">
        <v>2</v>
      </c>
      <c r="R3107" s="12">
        <v>2</v>
      </c>
    </row>
    <row r="3108" spans="1:18" ht="17" customHeight="1" x14ac:dyDescent="0.15">
      <c r="A3108" s="8" t="s">
        <v>16677</v>
      </c>
      <c r="B3108" s="9" t="s">
        <v>16678</v>
      </c>
      <c r="C3108" s="8" t="s">
        <v>16679</v>
      </c>
      <c r="D3108" s="8" t="s">
        <v>16679</v>
      </c>
      <c r="E3108" s="8" t="s">
        <v>16680</v>
      </c>
      <c r="F3108" s="8" t="s">
        <v>16681</v>
      </c>
      <c r="G3108" s="8" t="s">
        <v>16682</v>
      </c>
      <c r="H3108" s="8" t="s">
        <v>16683</v>
      </c>
      <c r="I3108" s="8" t="str">
        <f>HYPERLINK("http://www.copeservizi.com/","www.copeservizi.com")</f>
        <v>www.copeservizi.com</v>
      </c>
      <c r="J3108" s="10">
        <v>1068.373</v>
      </c>
      <c r="K3108" s="10">
        <v>1068.373</v>
      </c>
      <c r="L3108" s="10">
        <v>927.11300000000006</v>
      </c>
      <c r="M3108" s="10">
        <v>59.164999999999999</v>
      </c>
      <c r="N3108" s="10">
        <v>59.164999999999999</v>
      </c>
      <c r="O3108" s="10">
        <v>31.244</v>
      </c>
      <c r="P3108" s="10">
        <v>13</v>
      </c>
      <c r="Q3108" s="10">
        <v>13</v>
      </c>
      <c r="R3108" s="10">
        <v>11</v>
      </c>
    </row>
    <row r="3109" spans="1:18" ht="17" customHeight="1" x14ac:dyDescent="0.15">
      <c r="A3109" s="11" t="s">
        <v>16684</v>
      </c>
      <c r="B3109" s="1" t="s">
        <v>16685</v>
      </c>
      <c r="C3109" s="11" t="s">
        <v>16686</v>
      </c>
      <c r="D3109" s="11" t="s">
        <v>16686</v>
      </c>
      <c r="E3109" s="11" t="s">
        <v>16687</v>
      </c>
      <c r="F3109" s="11" t="s">
        <v>16688</v>
      </c>
      <c r="G3109" s="11" t="s">
        <v>16689</v>
      </c>
      <c r="H3109" s="11" t="s">
        <v>16690</v>
      </c>
      <c r="I3109" s="11" t="str">
        <f>HYPERLINK("http://www.lanificiodellorso.it/","www.lanificiodellorso.it")</f>
        <v>www.lanificiodellorso.it</v>
      </c>
      <c r="J3109" s="12">
        <v>884.00400000000002</v>
      </c>
      <c r="K3109" s="12">
        <v>884.00400000000002</v>
      </c>
      <c r="L3109" s="13">
        <v>927.05100000000004</v>
      </c>
      <c r="M3109" s="12">
        <v>-8.1630000000000003</v>
      </c>
      <c r="N3109" s="12">
        <v>-8.1630000000000003</v>
      </c>
      <c r="O3109" s="12">
        <v>-86.968000000000004</v>
      </c>
      <c r="P3109" s="12">
        <v>8</v>
      </c>
      <c r="Q3109" s="12">
        <v>8</v>
      </c>
      <c r="R3109" s="12">
        <v>10</v>
      </c>
    </row>
    <row r="3110" spans="1:18" ht="17" customHeight="1" x14ac:dyDescent="0.15">
      <c r="A3110" s="8" t="s">
        <v>16691</v>
      </c>
      <c r="B3110" s="9" t="s">
        <v>16692</v>
      </c>
      <c r="C3110" s="8" t="s">
        <v>16693</v>
      </c>
      <c r="D3110" s="8" t="s">
        <v>16693</v>
      </c>
      <c r="E3110" s="8" t="s">
        <v>16694</v>
      </c>
      <c r="F3110" s="8" t="s">
        <v>16695</v>
      </c>
      <c r="G3110" s="8" t="s">
        <v>16696</v>
      </c>
      <c r="H3110" s="8" t="s">
        <v>16669</v>
      </c>
      <c r="I3110" s="8" t="str">
        <f>HYPERLINK("http://www.kostyle.it/","www.kostyle.it")</f>
        <v>www.kostyle.it</v>
      </c>
      <c r="J3110" s="10">
        <v>563.34500000000003</v>
      </c>
      <c r="K3110" s="10">
        <v>563.34500000000003</v>
      </c>
      <c r="L3110" s="10">
        <v>925.49099999999999</v>
      </c>
      <c r="M3110" s="10">
        <v>-79.834000000000003</v>
      </c>
      <c r="N3110" s="10">
        <v>-79.834000000000003</v>
      </c>
      <c r="O3110" s="10">
        <v>38.341000000000001</v>
      </c>
      <c r="P3110" s="15" t="s">
        <v>16697</v>
      </c>
      <c r="Q3110" s="15" t="s">
        <v>16697</v>
      </c>
      <c r="R3110" s="10">
        <v>12</v>
      </c>
    </row>
    <row r="3111" spans="1:18" ht="17" customHeight="1" x14ac:dyDescent="0.15">
      <c r="A3111" s="11" t="s">
        <v>16698</v>
      </c>
      <c r="B3111" s="1" t="s">
        <v>16699</v>
      </c>
      <c r="C3111" s="11" t="s">
        <v>16700</v>
      </c>
      <c r="D3111" s="11" t="s">
        <v>16700</v>
      </c>
      <c r="E3111" s="11" t="s">
        <v>16701</v>
      </c>
      <c r="F3111" s="11" t="s">
        <v>16702</v>
      </c>
      <c r="G3111" s="11" t="s">
        <v>16703</v>
      </c>
      <c r="H3111" s="11" t="s">
        <v>16704</v>
      </c>
      <c r="I3111" s="11" t="str">
        <f>HYPERLINK("http://www.palmpel.it/","www.palmpel.it")</f>
        <v>www.palmpel.it</v>
      </c>
      <c r="J3111" s="12">
        <v>858.23199999999997</v>
      </c>
      <c r="K3111" s="12">
        <v>858.23199999999997</v>
      </c>
      <c r="L3111" s="13">
        <v>924.81600000000003</v>
      </c>
      <c r="M3111" s="12">
        <v>17.16</v>
      </c>
      <c r="N3111" s="12">
        <v>17.16</v>
      </c>
      <c r="O3111" s="12">
        <v>41.258000000000003</v>
      </c>
      <c r="P3111" s="14" t="s">
        <v>16697</v>
      </c>
      <c r="Q3111" s="14" t="s">
        <v>16697</v>
      </c>
      <c r="R3111" s="12">
        <v>8</v>
      </c>
    </row>
    <row r="3112" spans="1:18" ht="17" customHeight="1" x14ac:dyDescent="0.15">
      <c r="A3112" s="8" t="s">
        <v>16705</v>
      </c>
      <c r="B3112" s="9" t="s">
        <v>16706</v>
      </c>
      <c r="C3112" s="8" t="s">
        <v>16707</v>
      </c>
      <c r="D3112" s="8" t="s">
        <v>16707</v>
      </c>
      <c r="E3112" s="8" t="s">
        <v>16708</v>
      </c>
      <c r="F3112" s="8" t="s">
        <v>16709</v>
      </c>
      <c r="G3112" s="8" t="s">
        <v>16710</v>
      </c>
      <c r="H3112" s="8" t="s">
        <v>16711</v>
      </c>
      <c r="I3112" s="8" t="str">
        <f>HYPERLINK("http://www.errediabitidalavoro.com/","www.errediabitidalavoro.com")</f>
        <v>www.errediabitidalavoro.com</v>
      </c>
      <c r="J3112" s="10">
        <v>940.51599999999996</v>
      </c>
      <c r="K3112" s="10">
        <v>940.51599999999996</v>
      </c>
      <c r="L3112" s="10">
        <v>924.73</v>
      </c>
      <c r="M3112" s="10">
        <v>8.9469999999999992</v>
      </c>
      <c r="N3112" s="10">
        <v>8.9469999999999992</v>
      </c>
      <c r="O3112" s="10">
        <v>-0.73199999999999998</v>
      </c>
      <c r="P3112" s="10">
        <v>6</v>
      </c>
      <c r="Q3112" s="10">
        <v>6</v>
      </c>
      <c r="R3112" s="10">
        <v>8</v>
      </c>
    </row>
    <row r="3113" spans="1:18" ht="17" customHeight="1" x14ac:dyDescent="0.15">
      <c r="A3113" s="11" t="s">
        <v>16712</v>
      </c>
      <c r="B3113" s="1" t="s">
        <v>16713</v>
      </c>
      <c r="C3113" s="11" t="s">
        <v>16714</v>
      </c>
      <c r="D3113" s="11" t="s">
        <v>16714</v>
      </c>
      <c r="E3113" s="11" t="s">
        <v>16715</v>
      </c>
      <c r="F3113" s="11" t="s">
        <v>16661</v>
      </c>
      <c r="G3113" s="11" t="s">
        <v>16682</v>
      </c>
      <c r="H3113" s="11" t="s">
        <v>16683</v>
      </c>
      <c r="I3113" s="11" t="str">
        <f>HYPERLINK("http://www.gegconfezioni.it/","www.gegconfezioni.it")</f>
        <v>www.gegconfezioni.it</v>
      </c>
      <c r="J3113" s="12">
        <v>767.79899999999998</v>
      </c>
      <c r="K3113" s="12">
        <v>767.79899999999998</v>
      </c>
      <c r="L3113" s="13">
        <v>923.62699999999995</v>
      </c>
      <c r="M3113" s="12">
        <v>19.350999999999999</v>
      </c>
      <c r="N3113" s="12">
        <v>19.350999999999999</v>
      </c>
      <c r="O3113" s="12">
        <v>20.626000000000001</v>
      </c>
      <c r="P3113" s="14" t="s">
        <v>16697</v>
      </c>
      <c r="Q3113" s="14" t="s">
        <v>16697</v>
      </c>
      <c r="R3113" s="12">
        <v>15</v>
      </c>
    </row>
    <row r="3114" spans="1:18" ht="17" customHeight="1" x14ac:dyDescent="0.15">
      <c r="A3114" s="8" t="s">
        <v>16716</v>
      </c>
      <c r="B3114" s="9" t="s">
        <v>16717</v>
      </c>
      <c r="C3114" s="8" t="s">
        <v>16718</v>
      </c>
      <c r="D3114" s="8" t="s">
        <v>16718</v>
      </c>
      <c r="E3114" s="8" t="s">
        <v>16719</v>
      </c>
      <c r="F3114" s="8" t="s">
        <v>16720</v>
      </c>
      <c r="G3114" s="8" t="s">
        <v>16721</v>
      </c>
      <c r="H3114" s="8" t="s">
        <v>16676</v>
      </c>
      <c r="I3114" s="8" t="str">
        <f>HYPERLINK("http://www.backlabel.com/","www.backlabel.com")</f>
        <v>www.backlabel.com</v>
      </c>
      <c r="J3114" s="10">
        <v>1156.2850000000001</v>
      </c>
      <c r="K3114" s="10">
        <v>1156.2850000000001</v>
      </c>
      <c r="L3114" s="10">
        <v>923.35799999999995</v>
      </c>
      <c r="M3114" s="10">
        <v>15.499000000000001</v>
      </c>
      <c r="N3114" s="10">
        <v>15.499000000000001</v>
      </c>
      <c r="O3114" s="10">
        <v>29.715</v>
      </c>
      <c r="P3114" s="10">
        <v>18</v>
      </c>
      <c r="Q3114" s="10">
        <v>18</v>
      </c>
      <c r="R3114" s="10">
        <v>14</v>
      </c>
    </row>
    <row r="3115" spans="1:18" ht="17" customHeight="1" x14ac:dyDescent="0.15">
      <c r="A3115" s="11" t="s">
        <v>16722</v>
      </c>
      <c r="B3115" s="1" t="s">
        <v>16723</v>
      </c>
      <c r="C3115" s="11" t="s">
        <v>16724</v>
      </c>
      <c r="D3115" s="11" t="s">
        <v>16725</v>
      </c>
      <c r="E3115" s="11" t="s">
        <v>16726</v>
      </c>
      <c r="F3115" s="11" t="s">
        <v>16720</v>
      </c>
      <c r="G3115" s="11" t="s">
        <v>16727</v>
      </c>
      <c r="H3115" s="11" t="s">
        <v>16676</v>
      </c>
      <c r="I3115" s="11" t="str">
        <f>HYPERLINK("http://www.agatex.it/","www.agatex.it")</f>
        <v>www.agatex.it</v>
      </c>
      <c r="J3115" s="12">
        <v>1234.3989999999999</v>
      </c>
      <c r="K3115" s="12">
        <v>1234.3989999999999</v>
      </c>
      <c r="L3115" s="13">
        <v>920.44500000000005</v>
      </c>
      <c r="M3115" s="12">
        <v>276.26799999999997</v>
      </c>
      <c r="N3115" s="12">
        <v>276.26799999999997</v>
      </c>
      <c r="O3115" s="12">
        <v>50.741</v>
      </c>
      <c r="P3115" s="12">
        <v>6</v>
      </c>
      <c r="Q3115" s="12">
        <v>6</v>
      </c>
      <c r="R3115" s="12">
        <v>6</v>
      </c>
    </row>
    <row r="3116" spans="1:18" ht="17" customHeight="1" x14ac:dyDescent="0.15">
      <c r="A3116" s="8" t="s">
        <v>16728</v>
      </c>
      <c r="B3116" s="9" t="s">
        <v>16729</v>
      </c>
      <c r="C3116" s="8" t="s">
        <v>16730</v>
      </c>
      <c r="D3116" s="8" t="s">
        <v>16730</v>
      </c>
      <c r="E3116" s="8" t="s">
        <v>16731</v>
      </c>
      <c r="F3116" s="8" t="s">
        <v>16732</v>
      </c>
      <c r="G3116" s="8" t="s">
        <v>16733</v>
      </c>
      <c r="H3116" s="8" t="s">
        <v>16676</v>
      </c>
      <c r="I3116" s="8" t="str">
        <f>HYPERLINK("http://www.riecosrl.com/","www.riecosrl.com")</f>
        <v>www.riecosrl.com</v>
      </c>
      <c r="J3116" s="10">
        <v>1189.5229999999999</v>
      </c>
      <c r="K3116" s="10">
        <v>1189.5229999999999</v>
      </c>
      <c r="L3116" s="10">
        <v>920.43200000000002</v>
      </c>
      <c r="M3116" s="10">
        <v>17.109000000000002</v>
      </c>
      <c r="N3116" s="10">
        <v>17.109000000000002</v>
      </c>
      <c r="O3116" s="10">
        <v>8.2050000000000001</v>
      </c>
      <c r="P3116" s="10">
        <v>4</v>
      </c>
      <c r="Q3116" s="10">
        <v>4</v>
      </c>
      <c r="R3116" s="10">
        <v>3</v>
      </c>
    </row>
    <row r="3117" spans="1:18" ht="17" customHeight="1" x14ac:dyDescent="0.15">
      <c r="A3117" s="11" t="s">
        <v>16734</v>
      </c>
      <c r="B3117" s="1" t="s">
        <v>16735</v>
      </c>
      <c r="C3117" s="11" t="s">
        <v>16736</v>
      </c>
      <c r="D3117" s="11" t="s">
        <v>16736</v>
      </c>
      <c r="E3117" s="11" t="s">
        <v>16737</v>
      </c>
      <c r="F3117" s="11" t="s">
        <v>16695</v>
      </c>
      <c r="G3117" s="11" t="s">
        <v>16738</v>
      </c>
      <c r="H3117" s="11" t="s">
        <v>16739</v>
      </c>
      <c r="I3117" s="11" t="str">
        <f>HYPERLINK("http://calzaturificiorodi.it/","calzaturificiorodi.it")</f>
        <v>calzaturificiorodi.it</v>
      </c>
      <c r="J3117" s="12">
        <v>1037.6130000000001</v>
      </c>
      <c r="K3117" s="12">
        <v>1037.6130000000001</v>
      </c>
      <c r="L3117" s="13">
        <v>919.56500000000005</v>
      </c>
      <c r="M3117" s="12">
        <v>-2.6930000000000001</v>
      </c>
      <c r="N3117" s="12">
        <v>-2.6930000000000001</v>
      </c>
      <c r="O3117" s="12">
        <v>2.4729999999999999</v>
      </c>
      <c r="P3117" s="12">
        <v>9</v>
      </c>
      <c r="Q3117" s="12">
        <v>9</v>
      </c>
      <c r="R3117" s="12">
        <v>11</v>
      </c>
    </row>
    <row r="3118" spans="1:18" ht="17" customHeight="1" x14ac:dyDescent="0.15">
      <c r="A3118" s="8" t="s">
        <v>16740</v>
      </c>
      <c r="B3118" s="9" t="s">
        <v>16741</v>
      </c>
      <c r="C3118" s="8" t="s">
        <v>16742</v>
      </c>
      <c r="D3118" s="8" t="s">
        <v>16742</v>
      </c>
      <c r="E3118" s="8" t="s">
        <v>16743</v>
      </c>
      <c r="F3118" s="8" t="s">
        <v>16681</v>
      </c>
      <c r="G3118" s="8" t="s">
        <v>16744</v>
      </c>
      <c r="H3118" s="8" t="s">
        <v>16669</v>
      </c>
      <c r="I3118" s="8" t="str">
        <f>HYPERLINK("http://jubodesign.com/","jubodesign.com")</f>
        <v>jubodesign.com</v>
      </c>
      <c r="J3118" s="10">
        <v>858.38699999999994</v>
      </c>
      <c r="K3118" s="10">
        <v>858.38699999999994</v>
      </c>
      <c r="L3118" s="10">
        <v>919.31600000000003</v>
      </c>
      <c r="M3118" s="10">
        <v>17.663</v>
      </c>
      <c r="N3118" s="10">
        <v>17.663</v>
      </c>
      <c r="O3118" s="10">
        <v>15.319000000000001</v>
      </c>
      <c r="P3118" s="10">
        <v>4</v>
      </c>
      <c r="Q3118" s="10">
        <v>4</v>
      </c>
      <c r="R3118" s="10">
        <v>7</v>
      </c>
    </row>
    <row r="3119" spans="1:18" ht="17" customHeight="1" x14ac:dyDescent="0.15">
      <c r="A3119" s="11" t="s">
        <v>16745</v>
      </c>
      <c r="B3119" s="1" t="s">
        <v>16746</v>
      </c>
      <c r="C3119" s="11" t="s">
        <v>16747</v>
      </c>
      <c r="D3119" s="11" t="s">
        <v>16747</v>
      </c>
      <c r="E3119" s="11" t="s">
        <v>16748</v>
      </c>
      <c r="F3119" s="11" t="s">
        <v>16709</v>
      </c>
      <c r="G3119" s="11" t="s">
        <v>16703</v>
      </c>
      <c r="H3119" s="11" t="s">
        <v>16704</v>
      </c>
      <c r="I3119" s="11" t="str">
        <f>HYPERLINK("http://www.coconudina.it/","www.coconudina.it")</f>
        <v>www.coconudina.it</v>
      </c>
      <c r="J3119" s="12">
        <v>775.82100000000003</v>
      </c>
      <c r="K3119" s="12">
        <v>775.82100000000003</v>
      </c>
      <c r="L3119" s="13">
        <v>917.32100000000003</v>
      </c>
      <c r="M3119" s="12">
        <v>33.972999999999999</v>
      </c>
      <c r="N3119" s="12">
        <v>33.972999999999999</v>
      </c>
      <c r="O3119" s="12">
        <v>56.627000000000002</v>
      </c>
      <c r="P3119" s="14" t="s">
        <v>16697</v>
      </c>
      <c r="Q3119" s="14" t="s">
        <v>16697</v>
      </c>
      <c r="R3119" s="12">
        <v>8</v>
      </c>
    </row>
    <row r="3120" spans="1:18" ht="29.5" customHeight="1" x14ac:dyDescent="0.15">
      <c r="A3120" s="8" t="s">
        <v>16749</v>
      </c>
      <c r="B3120" s="9" t="s">
        <v>16750</v>
      </c>
      <c r="C3120" s="8" t="s">
        <v>16751</v>
      </c>
      <c r="D3120" s="8" t="s">
        <v>16751</v>
      </c>
      <c r="E3120" s="8" t="s">
        <v>16752</v>
      </c>
      <c r="F3120" s="8" t="s">
        <v>16695</v>
      </c>
      <c r="G3120" s="8" t="s">
        <v>16753</v>
      </c>
      <c r="H3120" s="8" t="s">
        <v>16704</v>
      </c>
      <c r="I3120" s="8" t="str">
        <f>HYPERLINK("http://melany-vy-srl-04016400618.quantofattura.com/","melany-vy-srl-04016400618.quantofattura.com")</f>
        <v>melany-vy-srl-04016400618.quantofattura.com</v>
      </c>
      <c r="J3120" s="10">
        <v>766.65300000000002</v>
      </c>
      <c r="K3120" s="10">
        <v>766.65300000000002</v>
      </c>
      <c r="L3120" s="10">
        <v>917.24900000000002</v>
      </c>
      <c r="M3120" s="10">
        <v>36.808</v>
      </c>
      <c r="N3120" s="10">
        <v>36.808</v>
      </c>
      <c r="O3120" s="10">
        <v>8.3970000000000002</v>
      </c>
      <c r="P3120" s="15" t="s">
        <v>16697</v>
      </c>
      <c r="Q3120" s="15" t="s">
        <v>16697</v>
      </c>
      <c r="R3120" s="10">
        <v>16</v>
      </c>
    </row>
    <row r="3121" spans="1:18" ht="17" customHeight="1" x14ac:dyDescent="0.15">
      <c r="A3121" s="11" t="s">
        <v>16754</v>
      </c>
      <c r="B3121" s="1" t="s">
        <v>16755</v>
      </c>
      <c r="C3121" s="11" t="s">
        <v>16756</v>
      </c>
      <c r="D3121" s="11" t="s">
        <v>16756</v>
      </c>
      <c r="E3121" s="11" t="s">
        <v>16757</v>
      </c>
      <c r="F3121" s="11" t="s">
        <v>16702</v>
      </c>
      <c r="G3121" s="11" t="s">
        <v>16758</v>
      </c>
      <c r="H3121" s="11" t="s">
        <v>16759</v>
      </c>
      <c r="I3121" s="11" t="str">
        <f>HYPERLINK("http://www.kleathers.it/","www.kleathers.it")</f>
        <v>www.kleathers.it</v>
      </c>
      <c r="J3121" s="12">
        <v>690.202</v>
      </c>
      <c r="K3121" s="12">
        <v>690.202</v>
      </c>
      <c r="L3121" s="13">
        <v>917.10199999999998</v>
      </c>
      <c r="M3121" s="12">
        <v>-24.097000000000001</v>
      </c>
      <c r="N3121" s="12">
        <v>-24.097000000000001</v>
      </c>
      <c r="O3121" s="12">
        <v>13.429</v>
      </c>
      <c r="P3121" s="12">
        <v>5</v>
      </c>
      <c r="Q3121" s="12">
        <v>5</v>
      </c>
      <c r="R3121" s="12">
        <v>5</v>
      </c>
    </row>
    <row r="3122" spans="1:18" ht="17" customHeight="1" x14ac:dyDescent="0.15">
      <c r="A3122" s="8" t="s">
        <v>16760</v>
      </c>
      <c r="B3122" s="9" t="s">
        <v>16761</v>
      </c>
      <c r="C3122" s="8" t="s">
        <v>16762</v>
      </c>
      <c r="D3122" s="8" t="s">
        <v>16762</v>
      </c>
      <c r="E3122" s="8" t="s">
        <v>16763</v>
      </c>
      <c r="F3122" s="8" t="s">
        <v>16661</v>
      </c>
      <c r="G3122" s="8" t="s">
        <v>16764</v>
      </c>
      <c r="H3122" s="8" t="s">
        <v>16765</v>
      </c>
      <c r="I3122" s="8" t="str">
        <f>HYPERLINK("http://www.ilmalteselab.com/","www.ilmalteselab.com")</f>
        <v>www.ilmalteselab.com</v>
      </c>
      <c r="J3122" s="10">
        <v>807.44</v>
      </c>
      <c r="K3122" s="10">
        <v>807.44</v>
      </c>
      <c r="L3122" s="10">
        <v>915.97</v>
      </c>
      <c r="M3122" s="10">
        <v>7.4820000000000002</v>
      </c>
      <c r="N3122" s="10">
        <v>7.4820000000000002</v>
      </c>
      <c r="O3122" s="10">
        <v>1.7290000000000001</v>
      </c>
      <c r="P3122" s="10">
        <v>4</v>
      </c>
      <c r="Q3122" s="10">
        <v>4</v>
      </c>
      <c r="R3122" s="10">
        <v>7</v>
      </c>
    </row>
    <row r="3123" spans="1:18" ht="17" customHeight="1" x14ac:dyDescent="0.15">
      <c r="A3123" s="11" t="s">
        <v>16766</v>
      </c>
      <c r="B3123" s="1" t="s">
        <v>16767</v>
      </c>
      <c r="C3123" s="11" t="s">
        <v>16768</v>
      </c>
      <c r="D3123" s="11" t="s">
        <v>16768</v>
      </c>
      <c r="E3123" s="11" t="s">
        <v>16769</v>
      </c>
      <c r="F3123" s="11" t="s">
        <v>16720</v>
      </c>
      <c r="G3123" s="11" t="s">
        <v>16696</v>
      </c>
      <c r="H3123" s="11" t="s">
        <v>16669</v>
      </c>
      <c r="I3123" s="11" t="str">
        <f>HYPERLINK("http://www.arcadiashirt.com/","www.arcadiashirt.com")</f>
        <v>www.arcadiashirt.com</v>
      </c>
      <c r="J3123" s="12">
        <v>846.40700000000004</v>
      </c>
      <c r="K3123" s="12">
        <v>846.40700000000004</v>
      </c>
      <c r="L3123" s="13">
        <v>915.82799999999997</v>
      </c>
      <c r="M3123" s="12">
        <v>3.68</v>
      </c>
      <c r="N3123" s="12">
        <v>3.68</v>
      </c>
      <c r="O3123" s="12">
        <v>16.783999999999999</v>
      </c>
      <c r="P3123" s="12">
        <v>15</v>
      </c>
      <c r="Q3123" s="12">
        <v>15</v>
      </c>
      <c r="R3123" s="12">
        <v>14</v>
      </c>
    </row>
    <row r="3124" spans="1:18" ht="17" customHeight="1" x14ac:dyDescent="0.15">
      <c r="A3124" s="8" t="s">
        <v>16770</v>
      </c>
      <c r="B3124" s="9" t="s">
        <v>16771</v>
      </c>
      <c r="C3124" s="8" t="s">
        <v>16772</v>
      </c>
      <c r="D3124" s="8" t="s">
        <v>16772</v>
      </c>
      <c r="E3124" s="8" t="s">
        <v>16773</v>
      </c>
      <c r="F3124" s="8" t="s">
        <v>16695</v>
      </c>
      <c r="G3124" s="8" t="s">
        <v>16774</v>
      </c>
      <c r="H3124" s="8" t="s">
        <v>16739</v>
      </c>
      <c r="I3124" s="8" t="str">
        <f>HYPERLINK("http://www.farfalla.it/","www.farfalla.it")</f>
        <v>www.farfalla.it</v>
      </c>
      <c r="J3124" s="10">
        <v>912.88199999999995</v>
      </c>
      <c r="K3124" s="10">
        <v>912.88199999999995</v>
      </c>
      <c r="L3124" s="10">
        <v>915.21900000000005</v>
      </c>
      <c r="M3124" s="10">
        <v>47.593000000000004</v>
      </c>
      <c r="N3124" s="10">
        <v>47.593000000000004</v>
      </c>
      <c r="O3124" s="10">
        <v>-12.103</v>
      </c>
      <c r="P3124" s="10">
        <v>10</v>
      </c>
      <c r="Q3124" s="10">
        <v>10</v>
      </c>
      <c r="R3124" s="10">
        <v>11</v>
      </c>
    </row>
    <row r="3125" spans="1:18" ht="17" customHeight="1" x14ac:dyDescent="0.15">
      <c r="A3125" s="11" t="s">
        <v>16775</v>
      </c>
      <c r="B3125" s="1" t="s">
        <v>16776</v>
      </c>
      <c r="C3125" s="11" t="s">
        <v>16777</v>
      </c>
      <c r="D3125" s="11" t="s">
        <v>16777</v>
      </c>
      <c r="E3125" s="11" t="s">
        <v>16778</v>
      </c>
      <c r="F3125" s="11" t="s">
        <v>16674</v>
      </c>
      <c r="G3125" s="11" t="s">
        <v>16727</v>
      </c>
      <c r="H3125" s="11" t="s">
        <v>16676</v>
      </c>
      <c r="I3125" s="11" t="str">
        <f>HYPERLINK("http://www.abbigliamentolavoromilano.com/","www.abbigliamentolavoromilano.com")</f>
        <v>www.abbigliamentolavoromilano.com</v>
      </c>
      <c r="J3125" s="12">
        <v>888.08399999999995</v>
      </c>
      <c r="K3125" s="12">
        <v>888.08399999999995</v>
      </c>
      <c r="L3125" s="13">
        <v>914.99599999999998</v>
      </c>
      <c r="M3125" s="12">
        <v>81.197999999999993</v>
      </c>
      <c r="N3125" s="12">
        <v>81.197999999999993</v>
      </c>
      <c r="O3125" s="12">
        <v>79.929000000000002</v>
      </c>
      <c r="P3125" s="12">
        <v>6</v>
      </c>
      <c r="Q3125" s="12">
        <v>6</v>
      </c>
      <c r="R3125" s="12">
        <v>5</v>
      </c>
    </row>
    <row r="3126" spans="1:18" ht="17" customHeight="1" x14ac:dyDescent="0.15">
      <c r="A3126" s="8" t="s">
        <v>16779</v>
      </c>
      <c r="B3126" s="9" t="s">
        <v>16780</v>
      </c>
      <c r="C3126" s="8" t="s">
        <v>16781</v>
      </c>
      <c r="D3126" s="8" t="s">
        <v>16781</v>
      </c>
      <c r="E3126" s="8" t="s">
        <v>16782</v>
      </c>
      <c r="F3126" s="8" t="s">
        <v>16695</v>
      </c>
      <c r="G3126" s="8" t="s">
        <v>16783</v>
      </c>
      <c r="H3126" s="8" t="s">
        <v>16759</v>
      </c>
      <c r="I3126" s="8" t="str">
        <f>HYPERLINK("http://www.errepisrl.it/","www.errepisrl.it")</f>
        <v>www.errepisrl.it</v>
      </c>
      <c r="J3126" s="10">
        <v>421.07</v>
      </c>
      <c r="K3126" s="10">
        <v>421.07</v>
      </c>
      <c r="L3126" s="10">
        <v>914.93100000000004</v>
      </c>
      <c r="M3126" s="10">
        <v>-2.6850000000000001</v>
      </c>
      <c r="N3126" s="10">
        <v>-2.6850000000000001</v>
      </c>
      <c r="O3126" s="10">
        <v>6.0359999999999996</v>
      </c>
      <c r="P3126" s="15" t="s">
        <v>16697</v>
      </c>
      <c r="Q3126" s="15" t="s">
        <v>16697</v>
      </c>
      <c r="R3126" s="10">
        <v>5</v>
      </c>
    </row>
    <row r="3127" spans="1:18" ht="29.5" customHeight="1" x14ac:dyDescent="0.15">
      <c r="A3127" s="11" t="s">
        <v>16784</v>
      </c>
      <c r="B3127" s="1" t="s">
        <v>16785</v>
      </c>
      <c r="C3127" s="11" t="s">
        <v>16786</v>
      </c>
      <c r="D3127" s="11" t="s">
        <v>16786</v>
      </c>
      <c r="E3127" s="11" t="s">
        <v>16787</v>
      </c>
      <c r="F3127" s="11" t="s">
        <v>16788</v>
      </c>
      <c r="G3127" s="11" t="s">
        <v>16703</v>
      </c>
      <c r="H3127" s="11" t="s">
        <v>16704</v>
      </c>
      <c r="I3127" s="11" t="str">
        <f>HYPERLINK("http://www.davidenada.it/","www.davidenada.it")</f>
        <v>www.davidenada.it</v>
      </c>
      <c r="J3127" s="12">
        <v>730.89499999999998</v>
      </c>
      <c r="K3127" s="12">
        <v>730.89499999999998</v>
      </c>
      <c r="L3127" s="13">
        <v>913.54100000000005</v>
      </c>
      <c r="M3127" s="12">
        <v>2.2890000000000001</v>
      </c>
      <c r="N3127" s="12">
        <v>2.2890000000000001</v>
      </c>
      <c r="O3127" s="12">
        <v>18.050999999999998</v>
      </c>
      <c r="P3127" s="12">
        <v>20</v>
      </c>
      <c r="Q3127" s="12">
        <v>20</v>
      </c>
      <c r="R3127" s="12">
        <v>25</v>
      </c>
    </row>
    <row r="3128" spans="1:18" ht="17" customHeight="1" x14ac:dyDescent="0.15">
      <c r="A3128" s="8" t="s">
        <v>16789</v>
      </c>
      <c r="B3128" s="9" t="s">
        <v>16790</v>
      </c>
      <c r="C3128" s="8" t="s">
        <v>16791</v>
      </c>
      <c r="D3128" s="8" t="s">
        <v>16791</v>
      </c>
      <c r="E3128" s="8" t="s">
        <v>16792</v>
      </c>
      <c r="F3128" s="8" t="s">
        <v>16793</v>
      </c>
      <c r="G3128" s="8" t="s">
        <v>16744</v>
      </c>
      <c r="H3128" s="8" t="s">
        <v>16669</v>
      </c>
      <c r="I3128" s="8" t="str">
        <f>HYPERLINK("http://www.mattshoes.it/","www.mattshoes.it")</f>
        <v>www.mattshoes.it</v>
      </c>
      <c r="J3128" s="10">
        <v>1120.336</v>
      </c>
      <c r="K3128" s="10">
        <v>1120.336</v>
      </c>
      <c r="L3128" s="10">
        <v>912.90700000000004</v>
      </c>
      <c r="M3128" s="10">
        <v>46.7</v>
      </c>
      <c r="N3128" s="10">
        <v>46.7</v>
      </c>
      <c r="O3128" s="10">
        <v>2.5619999999999998</v>
      </c>
      <c r="P3128" s="10">
        <v>24</v>
      </c>
      <c r="Q3128" s="10">
        <v>24</v>
      </c>
      <c r="R3128" s="10">
        <v>27</v>
      </c>
    </row>
    <row r="3129" spans="1:18" ht="17" customHeight="1" x14ac:dyDescent="0.15">
      <c r="A3129" s="11" t="s">
        <v>16794</v>
      </c>
      <c r="B3129" s="1" t="s">
        <v>16795</v>
      </c>
      <c r="C3129" s="11" t="s">
        <v>16796</v>
      </c>
      <c r="D3129" s="11" t="s">
        <v>16796</v>
      </c>
      <c r="E3129" s="11" t="s">
        <v>16797</v>
      </c>
      <c r="F3129" s="11" t="s">
        <v>16695</v>
      </c>
      <c r="G3129" s="11" t="s">
        <v>16798</v>
      </c>
      <c r="H3129" s="11" t="s">
        <v>16739</v>
      </c>
      <c r="I3129" s="11" t="str">
        <f>HYPERLINK("http://www.timarshoes.it/","www.timarshoes.it")</f>
        <v>www.timarshoes.it</v>
      </c>
      <c r="J3129" s="12">
        <v>720.91899999999998</v>
      </c>
      <c r="K3129" s="12">
        <v>720.91899999999998</v>
      </c>
      <c r="L3129" s="13">
        <v>912.65499999999997</v>
      </c>
      <c r="M3129" s="12">
        <v>-99.703000000000003</v>
      </c>
      <c r="N3129" s="12">
        <v>-99.703000000000003</v>
      </c>
      <c r="O3129" s="12">
        <v>-51.508000000000003</v>
      </c>
      <c r="P3129" s="12">
        <v>8</v>
      </c>
      <c r="Q3129" s="12">
        <v>8</v>
      </c>
      <c r="R3129" s="12">
        <v>8</v>
      </c>
    </row>
    <row r="3130" spans="1:18" ht="17" customHeight="1" x14ac:dyDescent="0.15">
      <c r="A3130" s="8" t="s">
        <v>16799</v>
      </c>
      <c r="B3130" s="9" t="s">
        <v>16800</v>
      </c>
      <c r="C3130" s="8" t="s">
        <v>16801</v>
      </c>
      <c r="D3130" s="8" t="s">
        <v>16801</v>
      </c>
      <c r="E3130" s="8" t="s">
        <v>16802</v>
      </c>
      <c r="F3130" s="8" t="s">
        <v>16688</v>
      </c>
      <c r="G3130" s="8" t="s">
        <v>16703</v>
      </c>
      <c r="H3130" s="8" t="s">
        <v>16704</v>
      </c>
      <c r="I3130" s="8" t="str">
        <f>HYPERLINK("http://www.ritamode.store/","www.ritamode.store")</f>
        <v>www.ritamode.store</v>
      </c>
      <c r="J3130" s="10">
        <v>938.56</v>
      </c>
      <c r="K3130" s="10">
        <v>938.56</v>
      </c>
      <c r="L3130" s="10">
        <v>912.423</v>
      </c>
      <c r="M3130" s="10">
        <v>18.63</v>
      </c>
      <c r="N3130" s="10">
        <v>18.63</v>
      </c>
      <c r="O3130" s="10">
        <v>58.831000000000003</v>
      </c>
      <c r="P3130" s="15" t="s">
        <v>16697</v>
      </c>
      <c r="Q3130" s="15" t="s">
        <v>16697</v>
      </c>
      <c r="R3130" s="10">
        <v>14</v>
      </c>
    </row>
    <row r="3131" spans="1:18" ht="17" customHeight="1" x14ac:dyDescent="0.15">
      <c r="A3131" s="11" t="s">
        <v>16803</v>
      </c>
      <c r="B3131" s="1" t="s">
        <v>16804</v>
      </c>
      <c r="C3131" s="11" t="s">
        <v>16805</v>
      </c>
      <c r="D3131" s="11" t="s">
        <v>16805</v>
      </c>
      <c r="E3131" s="11" t="s">
        <v>16806</v>
      </c>
      <c r="F3131" s="11" t="s">
        <v>16688</v>
      </c>
      <c r="G3131" s="11" t="s">
        <v>16727</v>
      </c>
      <c r="H3131" s="11" t="s">
        <v>16676</v>
      </c>
      <c r="I3131" s="11" t="str">
        <f>HYPERLINK("http://shop.iltrenino.it/","shop.iltrenino.it")</f>
        <v>shop.iltrenino.it</v>
      </c>
      <c r="J3131" s="12">
        <v>926.822</v>
      </c>
      <c r="K3131" s="12">
        <v>926.822</v>
      </c>
      <c r="L3131" s="13">
        <v>911.60299999999995</v>
      </c>
      <c r="M3131" s="12">
        <v>15.593999999999999</v>
      </c>
      <c r="N3131" s="12">
        <v>15.593999999999999</v>
      </c>
      <c r="O3131" s="12">
        <v>10.489000000000001</v>
      </c>
      <c r="P3131" s="12">
        <v>8</v>
      </c>
      <c r="Q3131" s="12">
        <v>8</v>
      </c>
      <c r="R3131" s="12">
        <v>8</v>
      </c>
    </row>
    <row r="3132" spans="1:18" ht="17" customHeight="1" x14ac:dyDescent="0.15">
      <c r="A3132" s="8" t="s">
        <v>16807</v>
      </c>
      <c r="B3132" s="9" t="s">
        <v>16808</v>
      </c>
      <c r="C3132" s="8" t="s">
        <v>16809</v>
      </c>
      <c r="D3132" s="8" t="s">
        <v>16809</v>
      </c>
      <c r="E3132" s="8" t="s">
        <v>16810</v>
      </c>
      <c r="F3132" s="8" t="s">
        <v>16811</v>
      </c>
      <c r="G3132" s="8" t="s">
        <v>16812</v>
      </c>
      <c r="H3132" s="8" t="s">
        <v>16813</v>
      </c>
      <c r="I3132" s="8" t="str">
        <f>HYPERLINK("http://www.joeyejohn.it/","www.joeyejohn.it")</f>
        <v>www.joeyejohn.it</v>
      </c>
      <c r="J3132" s="10">
        <v>978.65599999999995</v>
      </c>
      <c r="K3132" s="10">
        <v>978.65599999999995</v>
      </c>
      <c r="L3132" s="10">
        <v>910.94500000000005</v>
      </c>
      <c r="M3132" s="10">
        <v>63.432000000000002</v>
      </c>
      <c r="N3132" s="10">
        <v>63.432000000000002</v>
      </c>
      <c r="O3132" s="10">
        <v>28.498999999999999</v>
      </c>
      <c r="P3132" s="15" t="s">
        <v>16697</v>
      </c>
      <c r="Q3132" s="15" t="s">
        <v>16697</v>
      </c>
      <c r="R3132" s="10">
        <v>21</v>
      </c>
    </row>
    <row r="3133" spans="1:18" ht="17" customHeight="1" x14ac:dyDescent="0.15">
      <c r="A3133" s="11" t="s">
        <v>16814</v>
      </c>
      <c r="B3133" s="1" t="s">
        <v>16815</v>
      </c>
      <c r="C3133" s="11" t="s">
        <v>16816</v>
      </c>
      <c r="D3133" s="11" t="s">
        <v>16816</v>
      </c>
      <c r="E3133" s="11" t="s">
        <v>16817</v>
      </c>
      <c r="F3133" s="11" t="s">
        <v>16688</v>
      </c>
      <c r="G3133" s="11" t="s">
        <v>16818</v>
      </c>
      <c r="H3133" s="11" t="s">
        <v>16759</v>
      </c>
      <c r="I3133" s="11" t="str">
        <f>HYPERLINK("http://www.allynil.com/","www.allynil.com")</f>
        <v>www.allynil.com</v>
      </c>
      <c r="J3133" s="12">
        <v>808.14499999999998</v>
      </c>
      <c r="K3133" s="12">
        <v>808.14499999999998</v>
      </c>
      <c r="L3133" s="13">
        <v>909.93799999999999</v>
      </c>
      <c r="M3133" s="12">
        <v>14.595000000000001</v>
      </c>
      <c r="N3133" s="12">
        <v>14.595000000000001</v>
      </c>
      <c r="O3133" s="12">
        <v>1.4490000000000001</v>
      </c>
      <c r="P3133" s="12">
        <v>4</v>
      </c>
      <c r="Q3133" s="12">
        <v>4</v>
      </c>
      <c r="R3133" s="12">
        <v>5</v>
      </c>
    </row>
    <row r="3134" spans="1:18" ht="17" customHeight="1" x14ac:dyDescent="0.15">
      <c r="A3134" s="8" t="s">
        <v>16819</v>
      </c>
      <c r="B3134" s="9" t="s">
        <v>16820</v>
      </c>
      <c r="C3134" s="8" t="s">
        <v>16821</v>
      </c>
      <c r="D3134" s="8" t="s">
        <v>16821</v>
      </c>
      <c r="E3134" s="8" t="s">
        <v>16822</v>
      </c>
      <c r="F3134" s="8" t="s">
        <v>16823</v>
      </c>
      <c r="G3134" s="8" t="s">
        <v>16824</v>
      </c>
      <c r="H3134" s="8" t="s">
        <v>16765</v>
      </c>
      <c r="I3134" s="8" t="str">
        <f>HYPERLINK("http://rada.it/","rada.it")</f>
        <v>rada.it</v>
      </c>
      <c r="J3134" s="10">
        <v>896.22299999999996</v>
      </c>
      <c r="K3134" s="10">
        <v>896.22299999999996</v>
      </c>
      <c r="L3134" s="10">
        <v>909.01499999999999</v>
      </c>
      <c r="M3134" s="10">
        <v>-15.917</v>
      </c>
      <c r="N3134" s="10">
        <v>-15.917</v>
      </c>
      <c r="O3134" s="10">
        <v>-165.125</v>
      </c>
      <c r="P3134" s="15" t="s">
        <v>16697</v>
      </c>
      <c r="Q3134" s="15" t="s">
        <v>16697</v>
      </c>
      <c r="R3134" s="10">
        <v>15</v>
      </c>
    </row>
    <row r="3135" spans="1:18" ht="17" customHeight="1" x14ac:dyDescent="0.15">
      <c r="A3135" s="11" t="s">
        <v>16825</v>
      </c>
      <c r="B3135" s="1" t="s">
        <v>16826</v>
      </c>
      <c r="C3135" s="11" t="s">
        <v>16827</v>
      </c>
      <c r="D3135" s="11" t="s">
        <v>16827</v>
      </c>
      <c r="E3135" s="11" t="s">
        <v>16828</v>
      </c>
      <c r="F3135" s="11" t="s">
        <v>16695</v>
      </c>
      <c r="G3135" s="11" t="s">
        <v>16798</v>
      </c>
      <c r="H3135" s="11" t="s">
        <v>16739</v>
      </c>
      <c r="I3135" s="11" t="str">
        <f>HYPERLINK("http://www.greatbear.it/","www.greatbear.it")</f>
        <v>www.greatbear.it</v>
      </c>
      <c r="J3135" s="12">
        <v>887.90899999999999</v>
      </c>
      <c r="K3135" s="12">
        <v>887.90899999999999</v>
      </c>
      <c r="L3135" s="13">
        <v>907.60199999999998</v>
      </c>
      <c r="M3135" s="12">
        <v>7.0780000000000003</v>
      </c>
      <c r="N3135" s="12">
        <v>7.0780000000000003</v>
      </c>
      <c r="O3135" s="12">
        <v>6.8079999999999998</v>
      </c>
      <c r="P3135" s="12">
        <v>17</v>
      </c>
      <c r="Q3135" s="12">
        <v>17</v>
      </c>
      <c r="R3135" s="12">
        <v>17</v>
      </c>
    </row>
    <row r="3136" spans="1:18" ht="29.5" customHeight="1" x14ac:dyDescent="0.15">
      <c r="A3136" s="8" t="s">
        <v>16829</v>
      </c>
      <c r="B3136" s="9" t="s">
        <v>16830</v>
      </c>
      <c r="C3136" s="8" t="s">
        <v>16831</v>
      </c>
      <c r="D3136" s="8" t="s">
        <v>16832</v>
      </c>
      <c r="E3136" s="8" t="s">
        <v>16833</v>
      </c>
      <c r="F3136" s="8" t="s">
        <v>16688</v>
      </c>
      <c r="G3136" s="8" t="s">
        <v>16834</v>
      </c>
      <c r="H3136" s="8" t="s">
        <v>16690</v>
      </c>
      <c r="I3136" s="8" t="str">
        <f>HYPERLINK("http://pezzetti.it/","pezzetti.it")</f>
        <v>pezzetti.it</v>
      </c>
      <c r="J3136" s="10">
        <v>894.06700000000001</v>
      </c>
      <c r="K3136" s="10">
        <v>894.06700000000001</v>
      </c>
      <c r="L3136" s="10">
        <v>906.37400000000002</v>
      </c>
      <c r="M3136" s="10">
        <v>31.126000000000001</v>
      </c>
      <c r="N3136" s="10">
        <v>31.126000000000001</v>
      </c>
      <c r="O3136" s="10">
        <v>36.36</v>
      </c>
      <c r="P3136" s="10">
        <v>11</v>
      </c>
      <c r="Q3136" s="10">
        <v>11</v>
      </c>
      <c r="R3136" s="10">
        <v>10</v>
      </c>
    </row>
    <row r="3137" spans="1:18" ht="17" customHeight="1" x14ac:dyDescent="0.15">
      <c r="A3137" s="11" t="s">
        <v>16835</v>
      </c>
      <c r="B3137" s="1" t="s">
        <v>16836</v>
      </c>
      <c r="C3137" s="11" t="s">
        <v>16837</v>
      </c>
      <c r="D3137" s="11" t="s">
        <v>16837</v>
      </c>
      <c r="E3137" s="11" t="s">
        <v>16838</v>
      </c>
      <c r="F3137" s="11" t="s">
        <v>16839</v>
      </c>
      <c r="G3137" s="11" t="s">
        <v>16840</v>
      </c>
      <c r="H3137" s="11" t="s">
        <v>16841</v>
      </c>
      <c r="I3137" s="11" t="str">
        <f>HYPERLINK("http://peterflowers.it/","peterflowers.it")</f>
        <v>peterflowers.it</v>
      </c>
      <c r="J3137" s="12">
        <v>680.21699999999998</v>
      </c>
      <c r="K3137" s="12">
        <v>680.21699999999998</v>
      </c>
      <c r="L3137" s="13">
        <v>906.41300000000001</v>
      </c>
      <c r="M3137" s="12">
        <v>41.12</v>
      </c>
      <c r="N3137" s="12">
        <v>41.12</v>
      </c>
      <c r="O3137" s="12">
        <v>60.015000000000001</v>
      </c>
      <c r="P3137" s="12">
        <v>9</v>
      </c>
      <c r="Q3137" s="12">
        <v>9</v>
      </c>
      <c r="R3137" s="12">
        <v>7</v>
      </c>
    </row>
    <row r="3138" spans="1:18" ht="17" customHeight="1" x14ac:dyDescent="0.15">
      <c r="A3138" s="8" t="s">
        <v>16842</v>
      </c>
      <c r="B3138" s="9" t="s">
        <v>16843</v>
      </c>
      <c r="C3138" s="8" t="s">
        <v>16844</v>
      </c>
      <c r="D3138" s="8" t="s">
        <v>16844</v>
      </c>
      <c r="E3138" s="8" t="s">
        <v>16845</v>
      </c>
      <c r="F3138" s="8" t="s">
        <v>16846</v>
      </c>
      <c r="G3138" s="8" t="s">
        <v>16847</v>
      </c>
      <c r="H3138" s="8" t="s">
        <v>16848</v>
      </c>
      <c r="I3138" s="8" t="str">
        <f>HYPERLINK("http://www.nemen.it/","www.nemen.it")</f>
        <v>www.nemen.it</v>
      </c>
      <c r="J3138" s="10">
        <v>263.93099999999998</v>
      </c>
      <c r="K3138" s="10">
        <v>263.93099999999998</v>
      </c>
      <c r="L3138" s="10">
        <v>906.4</v>
      </c>
      <c r="M3138" s="10">
        <v>-65.031999999999996</v>
      </c>
      <c r="N3138" s="10">
        <v>-65.031999999999996</v>
      </c>
      <c r="O3138" s="10">
        <v>50.521000000000001</v>
      </c>
      <c r="P3138" s="10">
        <v>0</v>
      </c>
      <c r="Q3138" s="10">
        <v>0</v>
      </c>
      <c r="R3138" s="10">
        <v>0</v>
      </c>
    </row>
    <row r="3139" spans="1:18" ht="17" customHeight="1" x14ac:dyDescent="0.15">
      <c r="A3139" s="11" t="s">
        <v>16849</v>
      </c>
      <c r="B3139" s="1" t="s">
        <v>16850</v>
      </c>
      <c r="C3139" s="11" t="s">
        <v>16851</v>
      </c>
      <c r="D3139" s="11" t="s">
        <v>16851</v>
      </c>
      <c r="E3139" s="11" t="s">
        <v>16852</v>
      </c>
      <c r="F3139" s="11" t="s">
        <v>16853</v>
      </c>
      <c r="G3139" s="11" t="s">
        <v>16854</v>
      </c>
      <c r="H3139" s="11" t="s">
        <v>16848</v>
      </c>
      <c r="I3139" s="11" t="str">
        <f>HYPERLINK("http://vittoriasedici.com/","vittoriasedici.com")</f>
        <v>vittoriasedici.com</v>
      </c>
      <c r="J3139" s="12">
        <v>1041.73</v>
      </c>
      <c r="K3139" s="12">
        <v>1041.73</v>
      </c>
      <c r="L3139" s="13">
        <v>906.12800000000004</v>
      </c>
      <c r="M3139" s="12">
        <v>61.548999999999999</v>
      </c>
      <c r="N3139" s="12">
        <v>61.548999999999999</v>
      </c>
      <c r="O3139" s="12">
        <v>-66.361000000000004</v>
      </c>
      <c r="P3139" s="12">
        <v>18</v>
      </c>
      <c r="Q3139" s="12">
        <v>18</v>
      </c>
      <c r="R3139" s="12">
        <v>19</v>
      </c>
    </row>
    <row r="3140" spans="1:18" ht="17" customHeight="1" x14ac:dyDescent="0.15">
      <c r="A3140" s="8" t="s">
        <v>16855</v>
      </c>
      <c r="B3140" s="9" t="s">
        <v>16856</v>
      </c>
      <c r="C3140" s="8" t="s">
        <v>16857</v>
      </c>
      <c r="D3140" s="8" t="s">
        <v>16857</v>
      </c>
      <c r="E3140" s="8" t="s">
        <v>16858</v>
      </c>
      <c r="F3140" s="8" t="s">
        <v>16846</v>
      </c>
      <c r="G3140" s="8" t="s">
        <v>16859</v>
      </c>
      <c r="H3140" s="8" t="s">
        <v>16860</v>
      </c>
      <c r="I3140" s="8" t="str">
        <f>HYPERLINK("http://www.gigliorosso.com/","www.gigliorosso.com")</f>
        <v>www.gigliorosso.com</v>
      </c>
      <c r="J3140" s="10">
        <v>773.38900000000001</v>
      </c>
      <c r="K3140" s="10">
        <v>773.38900000000001</v>
      </c>
      <c r="L3140" s="10">
        <v>904.05899999999997</v>
      </c>
      <c r="M3140" s="10">
        <v>1.478</v>
      </c>
      <c r="N3140" s="10">
        <v>1.478</v>
      </c>
      <c r="O3140" s="10">
        <v>1.3640000000000001</v>
      </c>
      <c r="P3140" s="10">
        <v>3</v>
      </c>
      <c r="Q3140" s="10">
        <v>3</v>
      </c>
      <c r="R3140" s="10">
        <v>5</v>
      </c>
    </row>
    <row r="3141" spans="1:18" ht="17" customHeight="1" x14ac:dyDescent="0.15">
      <c r="A3141" s="11" t="s">
        <v>16861</v>
      </c>
      <c r="B3141" s="1" t="s">
        <v>16862</v>
      </c>
      <c r="C3141" s="11" t="s">
        <v>16863</v>
      </c>
      <c r="D3141" s="11" t="s">
        <v>16863</v>
      </c>
      <c r="E3141" s="11" t="s">
        <v>16864</v>
      </c>
      <c r="F3141" s="11" t="s">
        <v>16846</v>
      </c>
      <c r="G3141" s="11" t="s">
        <v>16865</v>
      </c>
      <c r="H3141" s="11" t="s">
        <v>16866</v>
      </c>
      <c r="I3141" s="11" t="str">
        <f>HYPERLINK("http://opiummilano.it/","opiummilano.it")</f>
        <v>opiummilano.it</v>
      </c>
      <c r="J3141" s="12">
        <v>912.41600000000005</v>
      </c>
      <c r="K3141" s="12">
        <v>912.41600000000005</v>
      </c>
      <c r="L3141" s="13">
        <v>902.73900000000003</v>
      </c>
      <c r="M3141" s="12">
        <v>1.76</v>
      </c>
      <c r="N3141" s="12">
        <v>1.76</v>
      </c>
      <c r="O3141" s="12">
        <v>3.6429999999999998</v>
      </c>
      <c r="P3141" s="12">
        <v>1</v>
      </c>
      <c r="Q3141" s="12">
        <v>1</v>
      </c>
      <c r="R3141" s="12">
        <v>1</v>
      </c>
    </row>
    <row r="3142" spans="1:18" ht="17" customHeight="1" x14ac:dyDescent="0.15">
      <c r="A3142" s="8" t="s">
        <v>16867</v>
      </c>
      <c r="B3142" s="9" t="s">
        <v>16868</v>
      </c>
      <c r="C3142" s="8" t="s">
        <v>16869</v>
      </c>
      <c r="D3142" s="8" t="s">
        <v>16869</v>
      </c>
      <c r="E3142" s="8" t="s">
        <v>16870</v>
      </c>
      <c r="F3142" s="8" t="s">
        <v>16871</v>
      </c>
      <c r="G3142" s="8" t="s">
        <v>16840</v>
      </c>
      <c r="H3142" s="8" t="s">
        <v>16841</v>
      </c>
      <c r="I3142" s="8" t="str">
        <f>HYPERLINK("http://www.diagosmanifatture.it/","www.diagosmanifatture.it")</f>
        <v>www.diagosmanifatture.it</v>
      </c>
      <c r="J3142" s="10">
        <v>1921.4590000000001</v>
      </c>
      <c r="K3142" s="10">
        <v>1539.2149999999999</v>
      </c>
      <c r="L3142" s="10">
        <v>902.53</v>
      </c>
      <c r="M3142" s="10">
        <v>87.98</v>
      </c>
      <c r="N3142" s="10">
        <v>57.326000000000001</v>
      </c>
      <c r="O3142" s="10">
        <v>1.069</v>
      </c>
      <c r="P3142" s="15" t="s">
        <v>16872</v>
      </c>
      <c r="Q3142" s="15" t="s">
        <v>16872</v>
      </c>
      <c r="R3142" s="10">
        <v>9</v>
      </c>
    </row>
    <row r="3143" spans="1:18" ht="17" customHeight="1" x14ac:dyDescent="0.15">
      <c r="A3143" s="11" t="s">
        <v>16873</v>
      </c>
      <c r="B3143" s="1" t="s">
        <v>16874</v>
      </c>
      <c r="C3143" s="11" t="s">
        <v>16875</v>
      </c>
      <c r="D3143" s="11" t="s">
        <v>16875</v>
      </c>
      <c r="E3143" s="11" t="s">
        <v>16876</v>
      </c>
      <c r="F3143" s="11" t="s">
        <v>16877</v>
      </c>
      <c r="G3143" s="11" t="s">
        <v>16878</v>
      </c>
      <c r="H3143" s="11" t="s">
        <v>16879</v>
      </c>
      <c r="I3143" s="11" t="str">
        <f>HYPERLINK("http://www.camiceriafiorentinareggello.com/","www.camiceriafiorentinareggello.com")</f>
        <v>www.camiceriafiorentinareggello.com</v>
      </c>
      <c r="J3143" s="12">
        <v>930.702</v>
      </c>
      <c r="K3143" s="12">
        <v>930.702</v>
      </c>
      <c r="L3143" s="13">
        <v>901.06100000000004</v>
      </c>
      <c r="M3143" s="12">
        <v>-301.02499999999998</v>
      </c>
      <c r="N3143" s="12">
        <v>-301.02499999999998</v>
      </c>
      <c r="O3143" s="12">
        <v>15.031000000000001</v>
      </c>
      <c r="P3143" s="12">
        <v>19</v>
      </c>
      <c r="Q3143" s="12">
        <v>19</v>
      </c>
      <c r="R3143" s="12">
        <v>18</v>
      </c>
    </row>
    <row r="3144" spans="1:18" ht="17" customHeight="1" x14ac:dyDescent="0.15">
      <c r="A3144" s="8" t="s">
        <v>16880</v>
      </c>
      <c r="B3144" s="9" t="s">
        <v>16881</v>
      </c>
      <c r="C3144" s="8" t="s">
        <v>16882</v>
      </c>
      <c r="D3144" s="8" t="s">
        <v>16882</v>
      </c>
      <c r="E3144" s="8" t="s">
        <v>16883</v>
      </c>
      <c r="F3144" s="8" t="s">
        <v>16884</v>
      </c>
      <c r="G3144" s="8" t="s">
        <v>16885</v>
      </c>
      <c r="H3144" s="8" t="s">
        <v>16879</v>
      </c>
      <c r="I3144" s="8" t="str">
        <f>HYPERLINK("http://ballanza.it/","ballanza.it")</f>
        <v>ballanza.it</v>
      </c>
      <c r="J3144" s="10">
        <v>948.44500000000005</v>
      </c>
      <c r="K3144" s="10">
        <v>948.44500000000005</v>
      </c>
      <c r="L3144" s="10">
        <v>899.67200000000003</v>
      </c>
      <c r="M3144" s="10">
        <v>141.84399999999999</v>
      </c>
      <c r="N3144" s="10">
        <v>141.84399999999999</v>
      </c>
      <c r="O3144" s="10">
        <v>161.179</v>
      </c>
      <c r="P3144" s="15" t="s">
        <v>16872</v>
      </c>
      <c r="Q3144" s="15" t="s">
        <v>16872</v>
      </c>
      <c r="R3144" s="10">
        <v>9</v>
      </c>
    </row>
    <row r="3145" spans="1:18" ht="17" customHeight="1" x14ac:dyDescent="0.15">
      <c r="A3145" s="11" t="s">
        <v>16886</v>
      </c>
      <c r="B3145" s="1" t="s">
        <v>16887</v>
      </c>
      <c r="C3145" s="11" t="s">
        <v>16888</v>
      </c>
      <c r="D3145" s="11" t="s">
        <v>16888</v>
      </c>
      <c r="E3145" s="11" t="s">
        <v>16889</v>
      </c>
      <c r="F3145" s="11" t="s">
        <v>16884</v>
      </c>
      <c r="G3145" s="11" t="s">
        <v>16847</v>
      </c>
      <c r="H3145" s="11" t="s">
        <v>16848</v>
      </c>
      <c r="I3145" s="11" t="str">
        <f>HYPERLINK("http://bougeotte.it/","bougeotte.it")</f>
        <v>bougeotte.it</v>
      </c>
      <c r="J3145" s="12">
        <v>1156.3889999999999</v>
      </c>
      <c r="K3145" s="12">
        <v>1156.3889999999999</v>
      </c>
      <c r="L3145" s="13">
        <v>899.28</v>
      </c>
      <c r="M3145" s="12">
        <v>359.26600000000002</v>
      </c>
      <c r="N3145" s="12">
        <v>359.26600000000002</v>
      </c>
      <c r="O3145" s="12">
        <v>-294.40699999999998</v>
      </c>
      <c r="P3145" s="12">
        <v>2</v>
      </c>
      <c r="Q3145" s="12">
        <v>2</v>
      </c>
      <c r="R3145" s="12">
        <v>1</v>
      </c>
    </row>
    <row r="3146" spans="1:18" ht="17" customHeight="1" x14ac:dyDescent="0.15">
      <c r="A3146" s="8" t="s">
        <v>16890</v>
      </c>
      <c r="B3146" s="9" t="s">
        <v>16891</v>
      </c>
      <c r="C3146" s="8" t="s">
        <v>16892</v>
      </c>
      <c r="D3146" s="8" t="s">
        <v>16892</v>
      </c>
      <c r="E3146" s="8" t="s">
        <v>16893</v>
      </c>
      <c r="F3146" s="8" t="s">
        <v>16871</v>
      </c>
      <c r="G3146" s="8" t="s">
        <v>16894</v>
      </c>
      <c r="H3146" s="8" t="s">
        <v>16895</v>
      </c>
      <c r="I3146" s="8" t="str">
        <f>HYPERLINK("http://www.fratellicucco.it/","www.fratellicucco.it")</f>
        <v>www.fratellicucco.it</v>
      </c>
      <c r="J3146" s="10">
        <v>803.66099999999994</v>
      </c>
      <c r="K3146" s="10">
        <v>803.66099999999994</v>
      </c>
      <c r="L3146" s="10">
        <v>898.072</v>
      </c>
      <c r="M3146" s="10">
        <v>-0.40500000000000003</v>
      </c>
      <c r="N3146" s="10">
        <v>-0.40500000000000003</v>
      </c>
      <c r="O3146" s="10">
        <v>9.8719999999999999</v>
      </c>
      <c r="P3146" s="10">
        <v>11</v>
      </c>
      <c r="Q3146" s="10">
        <v>11</v>
      </c>
      <c r="R3146" s="10">
        <v>11</v>
      </c>
    </row>
    <row r="3147" spans="1:18" ht="17" customHeight="1" x14ac:dyDescent="0.15">
      <c r="A3147" s="11" t="s">
        <v>16896</v>
      </c>
      <c r="B3147" s="1" t="s">
        <v>16897</v>
      </c>
      <c r="C3147" s="11" t="s">
        <v>16898</v>
      </c>
      <c r="D3147" s="11" t="s">
        <v>16898</v>
      </c>
      <c r="E3147" s="11" t="s">
        <v>16899</v>
      </c>
      <c r="F3147" s="11" t="s">
        <v>16900</v>
      </c>
      <c r="G3147" s="11" t="s">
        <v>16847</v>
      </c>
      <c r="H3147" s="11" t="s">
        <v>16848</v>
      </c>
      <c r="I3147" s="11" t="str">
        <f>HYPERLINK("http://www.lip-srl.it/","www.lip-srl.it")</f>
        <v>www.lip-srl.it</v>
      </c>
      <c r="J3147" s="12">
        <v>794.13300000000004</v>
      </c>
      <c r="K3147" s="12">
        <v>794.13300000000004</v>
      </c>
      <c r="L3147" s="13">
        <v>896.74199999999996</v>
      </c>
      <c r="M3147" s="12">
        <v>5.5149999999999997</v>
      </c>
      <c r="N3147" s="12">
        <v>5.5149999999999997</v>
      </c>
      <c r="O3147" s="12">
        <v>0.314</v>
      </c>
      <c r="P3147" s="12">
        <v>3</v>
      </c>
      <c r="Q3147" s="12">
        <v>3</v>
      </c>
      <c r="R3147" s="12">
        <v>3</v>
      </c>
    </row>
    <row r="3148" spans="1:18" ht="17" customHeight="1" x14ac:dyDescent="0.15">
      <c r="A3148" s="8" t="s">
        <v>16901</v>
      </c>
      <c r="B3148" s="9" t="s">
        <v>16902</v>
      </c>
      <c r="C3148" s="8" t="s">
        <v>16903</v>
      </c>
      <c r="D3148" s="8" t="s">
        <v>16903</v>
      </c>
      <c r="E3148" s="8" t="s">
        <v>16904</v>
      </c>
      <c r="F3148" s="8" t="s">
        <v>16884</v>
      </c>
      <c r="G3148" s="8" t="s">
        <v>16905</v>
      </c>
      <c r="H3148" s="8" t="s">
        <v>16848</v>
      </c>
      <c r="I3148" s="8" t="str">
        <f>HYPERLINK("http://www.arttextile.it/","www.arttextile.it")</f>
        <v>www.arttextile.it</v>
      </c>
      <c r="J3148" s="10">
        <v>970.39</v>
      </c>
      <c r="K3148" s="10">
        <v>970.39</v>
      </c>
      <c r="L3148" s="10">
        <v>896.52599999999995</v>
      </c>
      <c r="M3148" s="10">
        <v>1.103</v>
      </c>
      <c r="N3148" s="10">
        <v>1.103</v>
      </c>
      <c r="O3148" s="10">
        <v>1.849</v>
      </c>
      <c r="P3148" s="15" t="s">
        <v>16872</v>
      </c>
      <c r="Q3148" s="15" t="s">
        <v>16872</v>
      </c>
      <c r="R3148" s="10">
        <v>7</v>
      </c>
    </row>
    <row r="3149" spans="1:18" ht="43" customHeight="1" x14ac:dyDescent="0.15">
      <c r="A3149" s="11" t="s">
        <v>16906</v>
      </c>
      <c r="B3149" s="1" t="s">
        <v>16907</v>
      </c>
      <c r="C3149" s="11" t="s">
        <v>16908</v>
      </c>
      <c r="D3149" s="11" t="s">
        <v>16908</v>
      </c>
      <c r="E3149" s="11" t="s">
        <v>16909</v>
      </c>
      <c r="F3149" s="11" t="s">
        <v>16839</v>
      </c>
      <c r="G3149" s="11" t="s">
        <v>16910</v>
      </c>
      <c r="H3149" s="11" t="s">
        <v>16895</v>
      </c>
      <c r="I3149" s="11" t="str">
        <f>HYPERLINK("http://formulashoes.com/","formulashoes.com")</f>
        <v>formulashoes.com</v>
      </c>
      <c r="J3149" s="12">
        <v>918.798</v>
      </c>
      <c r="K3149" s="12">
        <v>918.798</v>
      </c>
      <c r="L3149" s="13">
        <v>896.32299999999998</v>
      </c>
      <c r="M3149" s="12">
        <v>1.4159999999999999</v>
      </c>
      <c r="N3149" s="12">
        <v>1.4159999999999999</v>
      </c>
      <c r="O3149" s="12">
        <v>9.2390000000000008</v>
      </c>
      <c r="P3149" s="14" t="s">
        <v>16872</v>
      </c>
      <c r="Q3149" s="14" t="s">
        <v>16872</v>
      </c>
      <c r="R3149" s="12">
        <v>8</v>
      </c>
    </row>
    <row r="3150" spans="1:18" ht="17" customHeight="1" x14ac:dyDescent="0.15">
      <c r="A3150" s="8" t="s">
        <v>16911</v>
      </c>
      <c r="B3150" s="9" t="s">
        <v>16912</v>
      </c>
      <c r="C3150" s="8" t="s">
        <v>16913</v>
      </c>
      <c r="D3150" s="8" t="s">
        <v>16913</v>
      </c>
      <c r="E3150" s="8" t="s">
        <v>16914</v>
      </c>
      <c r="F3150" s="8" t="s">
        <v>16884</v>
      </c>
      <c r="G3150" s="8" t="s">
        <v>16905</v>
      </c>
      <c r="H3150" s="8" t="s">
        <v>16848</v>
      </c>
      <c r="I3150" s="8" t="str">
        <f>HYPERLINK("http://www.effegproduzionecravatteecamicie.it/","www.effegproduzionecravatteecamicie.it")</f>
        <v>www.effegproduzionecravatteecamicie.it</v>
      </c>
      <c r="J3150" s="10">
        <v>720.71600000000001</v>
      </c>
      <c r="K3150" s="10">
        <v>720.71600000000001</v>
      </c>
      <c r="L3150" s="10">
        <v>895.03899999999999</v>
      </c>
      <c r="M3150" s="10">
        <v>12.609</v>
      </c>
      <c r="N3150" s="10">
        <v>12.609</v>
      </c>
      <c r="O3150" s="10">
        <v>16.617000000000001</v>
      </c>
      <c r="P3150" s="15" t="s">
        <v>16872</v>
      </c>
      <c r="Q3150" s="15" t="s">
        <v>16872</v>
      </c>
      <c r="R3150" s="10">
        <v>1</v>
      </c>
    </row>
    <row r="3151" spans="1:18" ht="17" customHeight="1" x14ac:dyDescent="0.15">
      <c r="A3151" s="11" t="s">
        <v>16915</v>
      </c>
      <c r="B3151" s="1" t="s">
        <v>16916</v>
      </c>
      <c r="C3151" s="11" t="s">
        <v>16917</v>
      </c>
      <c r="D3151" s="11" t="s">
        <v>16917</v>
      </c>
      <c r="E3151" s="11" t="s">
        <v>16918</v>
      </c>
      <c r="F3151" s="11" t="s">
        <v>16871</v>
      </c>
      <c r="G3151" s="11" t="s">
        <v>16910</v>
      </c>
      <c r="H3151" s="11" t="s">
        <v>16895</v>
      </c>
      <c r="I3151" s="11" t="str">
        <f>HYPERLINK("http://www.sandagroup.it/","http://www.sandagroup.it/")</f>
        <v>http://www.sandagroup.it/</v>
      </c>
      <c r="J3151" s="12">
        <v>589.048</v>
      </c>
      <c r="K3151" s="12">
        <v>589.048</v>
      </c>
      <c r="L3151" s="13">
        <v>894.53800000000001</v>
      </c>
      <c r="M3151" s="12">
        <v>4.5039999999999996</v>
      </c>
      <c r="N3151" s="12">
        <v>4.5039999999999996</v>
      </c>
      <c r="O3151" s="12">
        <v>7.74</v>
      </c>
      <c r="P3151" s="14" t="s">
        <v>16872</v>
      </c>
      <c r="Q3151" s="14" t="s">
        <v>16872</v>
      </c>
      <c r="R3151" s="12">
        <v>7</v>
      </c>
    </row>
    <row r="3152" spans="1:18" ht="29.5" customHeight="1" x14ac:dyDescent="0.15">
      <c r="A3152" s="8" t="s">
        <v>16919</v>
      </c>
      <c r="B3152" s="9" t="s">
        <v>16920</v>
      </c>
      <c r="C3152" s="8" t="s">
        <v>16921</v>
      </c>
      <c r="D3152" s="8" t="s">
        <v>16921</v>
      </c>
      <c r="E3152" s="8" t="s">
        <v>16922</v>
      </c>
      <c r="F3152" s="8" t="s">
        <v>16923</v>
      </c>
      <c r="G3152" s="8" t="s">
        <v>16924</v>
      </c>
      <c r="H3152" s="8" t="s">
        <v>16848</v>
      </c>
      <c r="I3152" s="8" t="str">
        <f>HYPERLINK("http://www.confezionisalvalaglio.it/","www.confezionisalvalaglio.it")</f>
        <v>www.confezionisalvalaglio.it</v>
      </c>
      <c r="J3152" s="10">
        <v>954.755</v>
      </c>
      <c r="K3152" s="10">
        <v>954.755</v>
      </c>
      <c r="L3152" s="10">
        <v>893.55100000000004</v>
      </c>
      <c r="M3152" s="10">
        <v>19.73</v>
      </c>
      <c r="N3152" s="10">
        <v>19.73</v>
      </c>
      <c r="O3152" s="10">
        <v>6.8540000000000001</v>
      </c>
      <c r="P3152" s="10">
        <v>12</v>
      </c>
      <c r="Q3152" s="10">
        <v>12</v>
      </c>
      <c r="R3152" s="10">
        <v>9</v>
      </c>
    </row>
    <row r="3153" spans="1:18" ht="17" customHeight="1" x14ac:dyDescent="0.15">
      <c r="A3153" s="11" t="s">
        <v>16925</v>
      </c>
      <c r="B3153" s="1" t="s">
        <v>16926</v>
      </c>
      <c r="C3153" s="11" t="s">
        <v>16927</v>
      </c>
      <c r="D3153" s="11" t="s">
        <v>16927</v>
      </c>
      <c r="E3153" s="11" t="s">
        <v>16928</v>
      </c>
      <c r="F3153" s="11" t="s">
        <v>16877</v>
      </c>
      <c r="G3153" s="11" t="s">
        <v>16929</v>
      </c>
      <c r="H3153" s="11" t="s">
        <v>16848</v>
      </c>
      <c r="I3153" s="11" t="str">
        <f>HYPERLINK("http://www.ceresolialbina.it/","www.ceresolialbina.it")</f>
        <v>www.ceresolialbina.it</v>
      </c>
      <c r="J3153" s="12">
        <v>994.476</v>
      </c>
      <c r="K3153" s="12">
        <v>994.476</v>
      </c>
      <c r="L3153" s="13">
        <v>890.43899999999996</v>
      </c>
      <c r="M3153" s="12">
        <v>254.53800000000001</v>
      </c>
      <c r="N3153" s="12">
        <v>254.53800000000001</v>
      </c>
      <c r="O3153" s="12">
        <v>170.13300000000001</v>
      </c>
      <c r="P3153" s="14" t="s">
        <v>16872</v>
      </c>
      <c r="Q3153" s="14" t="s">
        <v>16872</v>
      </c>
      <c r="R3153" s="12">
        <v>15</v>
      </c>
    </row>
    <row r="3154" spans="1:18" ht="29.5" customHeight="1" x14ac:dyDescent="0.15">
      <c r="A3154" s="8" t="s">
        <v>16930</v>
      </c>
      <c r="B3154" s="9" t="s">
        <v>16931</v>
      </c>
      <c r="C3154" s="8" t="s">
        <v>16932</v>
      </c>
      <c r="D3154" s="8" t="s">
        <v>16932</v>
      </c>
      <c r="E3154" s="8" t="s">
        <v>16933</v>
      </c>
      <c r="F3154" s="8" t="s">
        <v>16846</v>
      </c>
      <c r="G3154" s="8" t="s">
        <v>16878</v>
      </c>
      <c r="H3154" s="8" t="s">
        <v>16879</v>
      </c>
      <c r="I3154" s="8" t="str">
        <f>HYPERLINK("http://www.ibert.it/","www.ibert.it")</f>
        <v>www.ibert.it</v>
      </c>
      <c r="J3154" s="10">
        <v>692.904</v>
      </c>
      <c r="K3154" s="10">
        <v>692.904</v>
      </c>
      <c r="L3154" s="10">
        <v>890.44200000000001</v>
      </c>
      <c r="M3154" s="10">
        <v>17.843</v>
      </c>
      <c r="N3154" s="10">
        <v>17.843</v>
      </c>
      <c r="O3154" s="10">
        <v>15.917</v>
      </c>
      <c r="P3154" s="10">
        <v>1</v>
      </c>
      <c r="Q3154" s="10">
        <v>1</v>
      </c>
      <c r="R3154" s="10">
        <v>2</v>
      </c>
    </row>
    <row r="3155" spans="1:18" ht="17" customHeight="1" x14ac:dyDescent="0.15">
      <c r="A3155" s="11" t="s">
        <v>16934</v>
      </c>
      <c r="B3155" s="1" t="s">
        <v>16935</v>
      </c>
      <c r="C3155" s="11" t="s">
        <v>16936</v>
      </c>
      <c r="D3155" s="11" t="s">
        <v>16936</v>
      </c>
      <c r="E3155" s="11" t="s">
        <v>16937</v>
      </c>
      <c r="F3155" s="11" t="s">
        <v>16853</v>
      </c>
      <c r="G3155" s="11" t="s">
        <v>16859</v>
      </c>
      <c r="H3155" s="11" t="s">
        <v>16860</v>
      </c>
      <c r="I3155" s="11" t="str">
        <f>HYPERLINK("http://www.wool-street.it/","www.wool-street.it")</f>
        <v>www.wool-street.it</v>
      </c>
      <c r="J3155" s="12">
        <v>1000.122</v>
      </c>
      <c r="K3155" s="12">
        <v>1000.122</v>
      </c>
      <c r="L3155" s="13">
        <v>890.14499999999998</v>
      </c>
      <c r="M3155" s="12">
        <v>39.380000000000003</v>
      </c>
      <c r="N3155" s="12">
        <v>39.380000000000003</v>
      </c>
      <c r="O3155" s="12">
        <v>3.7450000000000001</v>
      </c>
      <c r="P3155" s="14" t="s">
        <v>16872</v>
      </c>
      <c r="Q3155" s="14" t="s">
        <v>16872</v>
      </c>
      <c r="R3155" s="12">
        <v>0</v>
      </c>
    </row>
    <row r="3156" spans="1:18" ht="17" customHeight="1" x14ac:dyDescent="0.15">
      <c r="A3156" s="8" t="s">
        <v>16938</v>
      </c>
      <c r="B3156" s="9" t="s">
        <v>16939</v>
      </c>
      <c r="C3156" s="8" t="s">
        <v>16940</v>
      </c>
      <c r="D3156" s="8" t="s">
        <v>16940</v>
      </c>
      <c r="E3156" s="8" t="s">
        <v>16941</v>
      </c>
      <c r="F3156" s="8" t="s">
        <v>16942</v>
      </c>
      <c r="G3156" s="8" t="s">
        <v>16943</v>
      </c>
      <c r="H3156" s="8" t="s">
        <v>16860</v>
      </c>
      <c r="I3156" s="8" t="str">
        <f>HYPERLINK("http://www.robertagandolfi.com/","www.robertagandolfi.com")</f>
        <v>www.robertagandolfi.com</v>
      </c>
      <c r="J3156" s="10">
        <v>1107.33</v>
      </c>
      <c r="K3156" s="10">
        <v>1107.33</v>
      </c>
      <c r="L3156" s="10">
        <v>888.86400000000003</v>
      </c>
      <c r="M3156" s="10">
        <v>-84.742999999999995</v>
      </c>
      <c r="N3156" s="10">
        <v>-84.742999999999995</v>
      </c>
      <c r="O3156" s="10">
        <v>-76.013000000000005</v>
      </c>
      <c r="P3156" s="10">
        <v>4</v>
      </c>
      <c r="Q3156" s="10">
        <v>4</v>
      </c>
      <c r="R3156" s="10">
        <v>5</v>
      </c>
    </row>
    <row r="3157" spans="1:18" ht="17" customHeight="1" x14ac:dyDescent="0.15">
      <c r="A3157" s="11" t="s">
        <v>16944</v>
      </c>
      <c r="B3157" s="1" t="s">
        <v>16945</v>
      </c>
      <c r="C3157" s="11" t="s">
        <v>16946</v>
      </c>
      <c r="D3157" s="11" t="s">
        <v>16946</v>
      </c>
      <c r="E3157" s="11" t="s">
        <v>16947</v>
      </c>
      <c r="F3157" s="11" t="s">
        <v>16923</v>
      </c>
      <c r="G3157" s="11" t="s">
        <v>16948</v>
      </c>
      <c r="H3157" s="11" t="s">
        <v>16848</v>
      </c>
      <c r="I3157" s="11" t="str">
        <f>HYPERLINK("http://www.nicaonline.it/","www.nicaonline.it")</f>
        <v>www.nicaonline.it</v>
      </c>
      <c r="J3157" s="12">
        <v>978.66200000000003</v>
      </c>
      <c r="K3157" s="12">
        <v>978.66200000000003</v>
      </c>
      <c r="L3157" s="13">
        <v>886.97699999999998</v>
      </c>
      <c r="M3157" s="12">
        <v>3.2829999999999999</v>
      </c>
      <c r="N3157" s="12">
        <v>3.2829999999999999</v>
      </c>
      <c r="O3157" s="12">
        <v>0.88</v>
      </c>
      <c r="P3157" s="12">
        <v>11</v>
      </c>
      <c r="Q3157" s="12">
        <v>11</v>
      </c>
      <c r="R3157" s="12">
        <v>12</v>
      </c>
    </row>
    <row r="3158" spans="1:18" ht="17" customHeight="1" x14ac:dyDescent="0.15">
      <c r="A3158" s="8" t="s">
        <v>16949</v>
      </c>
      <c r="B3158" s="9" t="s">
        <v>16950</v>
      </c>
      <c r="C3158" s="8" t="s">
        <v>16951</v>
      </c>
      <c r="D3158" s="8" t="s">
        <v>16951</v>
      </c>
      <c r="E3158" s="8" t="s">
        <v>16952</v>
      </c>
      <c r="F3158" s="8" t="s">
        <v>16846</v>
      </c>
      <c r="G3158" s="8" t="s">
        <v>16948</v>
      </c>
      <c r="H3158" s="8" t="s">
        <v>16848</v>
      </c>
      <c r="I3158" s="8" t="str">
        <f>HYPERLINK("http://www.maestriaitaliana.it/","www.maestriaitaliana.it")</f>
        <v>www.maestriaitaliana.it</v>
      </c>
      <c r="J3158" s="10">
        <v>792.20299999999997</v>
      </c>
      <c r="K3158" s="10">
        <v>792.20299999999997</v>
      </c>
      <c r="L3158" s="10">
        <v>885.976</v>
      </c>
      <c r="M3158" s="10">
        <v>32.286000000000001</v>
      </c>
      <c r="N3158" s="10">
        <v>32.286000000000001</v>
      </c>
      <c r="O3158" s="10">
        <v>-73.703999999999994</v>
      </c>
      <c r="P3158" s="10">
        <v>9</v>
      </c>
      <c r="Q3158" s="10">
        <v>9</v>
      </c>
      <c r="R3158" s="10">
        <v>9</v>
      </c>
    </row>
    <row r="3159" spans="1:18" ht="17" customHeight="1" x14ac:dyDescent="0.15">
      <c r="A3159" s="11" t="s">
        <v>16953</v>
      </c>
      <c r="B3159" s="1" t="s">
        <v>16954</v>
      </c>
      <c r="C3159" s="11" t="s">
        <v>16955</v>
      </c>
      <c r="D3159" s="11" t="s">
        <v>16955</v>
      </c>
      <c r="E3159" s="11" t="s">
        <v>16956</v>
      </c>
      <c r="F3159" s="11" t="s">
        <v>16846</v>
      </c>
      <c r="G3159" s="11" t="s">
        <v>16957</v>
      </c>
      <c r="H3159" s="11" t="s">
        <v>16958</v>
      </c>
      <c r="I3159" s="11" t="str">
        <f>HYPERLINK("http://www.atlasmaterassi.it/","www.atlasmaterassi.it")</f>
        <v>www.atlasmaterassi.it</v>
      </c>
      <c r="J3159" s="12">
        <v>1219.873</v>
      </c>
      <c r="K3159" s="12">
        <v>1219.873</v>
      </c>
      <c r="L3159" s="13">
        <v>885.15099999999995</v>
      </c>
      <c r="M3159" s="12">
        <v>37.93</v>
      </c>
      <c r="N3159" s="12">
        <v>37.93</v>
      </c>
      <c r="O3159" s="12">
        <v>38.612000000000002</v>
      </c>
      <c r="P3159" s="12">
        <v>1</v>
      </c>
      <c r="Q3159" s="12">
        <v>1</v>
      </c>
      <c r="R3159" s="12">
        <v>1</v>
      </c>
    </row>
    <row r="3160" spans="1:18" ht="17" customHeight="1" x14ac:dyDescent="0.15">
      <c r="A3160" s="8" t="s">
        <v>16959</v>
      </c>
      <c r="B3160" s="9" t="s">
        <v>16960</v>
      </c>
      <c r="C3160" s="8" t="s">
        <v>16961</v>
      </c>
      <c r="D3160" s="8" t="s">
        <v>16961</v>
      </c>
      <c r="E3160" s="8" t="s">
        <v>16962</v>
      </c>
      <c r="F3160" s="8" t="s">
        <v>16846</v>
      </c>
      <c r="G3160" s="8" t="s">
        <v>16847</v>
      </c>
      <c r="H3160" s="8" t="s">
        <v>16848</v>
      </c>
      <c r="I3160" s="8" t="str">
        <f>HYPERLINK("http://gr10k.com/","gr10k.com")</f>
        <v>gr10k.com</v>
      </c>
      <c r="J3160" s="10">
        <v>1374.4369999999999</v>
      </c>
      <c r="K3160" s="10">
        <v>1374.4369999999999</v>
      </c>
      <c r="L3160" s="10">
        <v>884.72</v>
      </c>
      <c r="M3160" s="10">
        <v>1.333</v>
      </c>
      <c r="N3160" s="10">
        <v>1.333</v>
      </c>
      <c r="O3160" s="10">
        <v>-33.402000000000001</v>
      </c>
      <c r="P3160" s="10">
        <v>3</v>
      </c>
      <c r="Q3160" s="10">
        <v>3</v>
      </c>
      <c r="R3160" s="10">
        <v>3</v>
      </c>
    </row>
    <row r="3161" spans="1:18" ht="29.5" customHeight="1" x14ac:dyDescent="0.15">
      <c r="A3161" s="11" t="s">
        <v>16963</v>
      </c>
      <c r="B3161" s="1" t="s">
        <v>16964</v>
      </c>
      <c r="C3161" s="11" t="s">
        <v>16965</v>
      </c>
      <c r="D3161" s="11" t="s">
        <v>16965</v>
      </c>
      <c r="E3161" s="11" t="s">
        <v>16966</v>
      </c>
      <c r="F3161" s="11" t="s">
        <v>16942</v>
      </c>
      <c r="G3161" s="11" t="s">
        <v>16967</v>
      </c>
      <c r="H3161" s="11" t="s">
        <v>16958</v>
      </c>
      <c r="I3161" s="11" t="str">
        <f>HYPERLINK("http://www.partenope.it/","www.partenope.it")</f>
        <v>www.partenope.it</v>
      </c>
      <c r="J3161" s="12">
        <v>883.51199999999994</v>
      </c>
      <c r="K3161" s="14" t="s">
        <v>16872</v>
      </c>
      <c r="L3161" s="13">
        <v>883.51199999999994</v>
      </c>
      <c r="M3161" s="12">
        <v>19.648</v>
      </c>
      <c r="N3161" s="14" t="s">
        <v>16872</v>
      </c>
      <c r="O3161" s="12">
        <v>19.648</v>
      </c>
      <c r="P3161" s="12">
        <v>37</v>
      </c>
      <c r="Q3161" s="14" t="s">
        <v>16872</v>
      </c>
      <c r="R3161" s="12">
        <v>37</v>
      </c>
    </row>
    <row r="3162" spans="1:18" ht="29.5" customHeight="1" x14ac:dyDescent="0.15">
      <c r="A3162" s="8" t="s">
        <v>16968</v>
      </c>
      <c r="B3162" s="9" t="s">
        <v>16969</v>
      </c>
      <c r="C3162" s="8" t="s">
        <v>16970</v>
      </c>
      <c r="D3162" s="8" t="s">
        <v>16970</v>
      </c>
      <c r="E3162" s="8" t="s">
        <v>16971</v>
      </c>
      <c r="F3162" s="8" t="s">
        <v>16942</v>
      </c>
      <c r="G3162" s="8" t="s">
        <v>16859</v>
      </c>
      <c r="H3162" s="8" t="s">
        <v>16860</v>
      </c>
      <c r="I3162" s="8" t="str">
        <f>HYPERLINK("http://www.jessycinturificio.it/","www.jessycinturificio.it")</f>
        <v>www.jessycinturificio.it</v>
      </c>
      <c r="J3162" s="10">
        <v>563.84900000000005</v>
      </c>
      <c r="K3162" s="10">
        <v>563.84900000000005</v>
      </c>
      <c r="L3162" s="10">
        <v>883.50699999999995</v>
      </c>
      <c r="M3162" s="10">
        <v>0.314</v>
      </c>
      <c r="N3162" s="10">
        <v>0.314</v>
      </c>
      <c r="O3162" s="10">
        <v>1.3</v>
      </c>
      <c r="P3162" s="15" t="s">
        <v>16872</v>
      </c>
      <c r="Q3162" s="15" t="s">
        <v>16872</v>
      </c>
      <c r="R3162" s="10">
        <v>7</v>
      </c>
    </row>
    <row r="3163" spans="1:18" ht="43" customHeight="1" x14ac:dyDescent="0.15">
      <c r="A3163" s="11" t="s">
        <v>16972</v>
      </c>
      <c r="B3163" s="1" t="s">
        <v>16973</v>
      </c>
      <c r="C3163" s="11" t="s">
        <v>16974</v>
      </c>
      <c r="D3163" s="11" t="s">
        <v>16974</v>
      </c>
      <c r="E3163" s="11" t="s">
        <v>16975</v>
      </c>
      <c r="F3163" s="11" t="s">
        <v>16839</v>
      </c>
      <c r="G3163" s="11" t="s">
        <v>16910</v>
      </c>
      <c r="H3163" s="11" t="s">
        <v>16895</v>
      </c>
      <c r="I3163" s="11" t="str">
        <f>HYPERLINK("http://newswing.it/","newswing.it")</f>
        <v>newswing.it</v>
      </c>
      <c r="J3163" s="12">
        <v>855.98</v>
      </c>
      <c r="K3163" s="12">
        <v>855.98</v>
      </c>
      <c r="L3163" s="13">
        <v>883.39700000000005</v>
      </c>
      <c r="M3163" s="12">
        <v>6.4349999999999996</v>
      </c>
      <c r="N3163" s="12">
        <v>6.4349999999999996</v>
      </c>
      <c r="O3163" s="12">
        <v>47.082000000000001</v>
      </c>
      <c r="P3163" s="12">
        <v>8</v>
      </c>
      <c r="Q3163" s="12">
        <v>8</v>
      </c>
      <c r="R3163" s="12">
        <v>9</v>
      </c>
    </row>
    <row r="3164" spans="1:18" ht="17" customHeight="1" x14ac:dyDescent="0.15">
      <c r="A3164" s="8" t="s">
        <v>16976</v>
      </c>
      <c r="B3164" s="9" t="s">
        <v>16977</v>
      </c>
      <c r="C3164" s="8" t="s">
        <v>16978</v>
      </c>
      <c r="D3164" s="8" t="s">
        <v>16978</v>
      </c>
      <c r="E3164" s="8" t="s">
        <v>16979</v>
      </c>
      <c r="F3164" s="8" t="s">
        <v>16980</v>
      </c>
      <c r="G3164" s="8" t="s">
        <v>16981</v>
      </c>
      <c r="H3164" s="8" t="s">
        <v>16879</v>
      </c>
      <c r="I3164" s="8" t="str">
        <f>HYPERLINK("http://www.maglificiolgtoscana.com/","www.maglificiolgtoscana.com")</f>
        <v>www.maglificiolgtoscana.com</v>
      </c>
      <c r="J3164" s="10">
        <v>861.84299999999996</v>
      </c>
      <c r="K3164" s="10">
        <v>861.84299999999996</v>
      </c>
      <c r="L3164" s="10">
        <v>883.25800000000004</v>
      </c>
      <c r="M3164" s="10">
        <v>18.248000000000001</v>
      </c>
      <c r="N3164" s="10">
        <v>18.248000000000001</v>
      </c>
      <c r="O3164" s="10">
        <v>26.484999999999999</v>
      </c>
      <c r="P3164" s="10">
        <v>4</v>
      </c>
      <c r="Q3164" s="10">
        <v>4</v>
      </c>
      <c r="R3164" s="10">
        <v>4</v>
      </c>
    </row>
    <row r="3165" spans="1:18" ht="17" customHeight="1" x14ac:dyDescent="0.15">
      <c r="A3165" s="11" t="s">
        <v>16982</v>
      </c>
      <c r="B3165" s="1" t="s">
        <v>16983</v>
      </c>
      <c r="C3165" s="11" t="s">
        <v>16984</v>
      </c>
      <c r="D3165" s="11" t="s">
        <v>16984</v>
      </c>
      <c r="E3165" s="11" t="s">
        <v>16985</v>
      </c>
      <c r="F3165" s="11" t="s">
        <v>16853</v>
      </c>
      <c r="G3165" s="11" t="s">
        <v>16986</v>
      </c>
      <c r="H3165" s="11" t="s">
        <v>16987</v>
      </c>
      <c r="I3165" s="11" t="str">
        <f>HYPERLINK("http://shop.mivania.it/","shop.mivania.it")</f>
        <v>shop.mivania.it</v>
      </c>
      <c r="J3165" s="12">
        <v>1149.03</v>
      </c>
      <c r="K3165" s="12">
        <v>1149.03</v>
      </c>
      <c r="L3165" s="13">
        <v>882.79100000000005</v>
      </c>
      <c r="M3165" s="12">
        <v>-10.705</v>
      </c>
      <c r="N3165" s="12">
        <v>-10.705</v>
      </c>
      <c r="O3165" s="12">
        <v>-18.509</v>
      </c>
      <c r="P3165" s="12">
        <v>5</v>
      </c>
      <c r="Q3165" s="12">
        <v>5</v>
      </c>
      <c r="R3165" s="12">
        <v>2</v>
      </c>
    </row>
    <row r="3166" spans="1:18" ht="17" customHeight="1" x14ac:dyDescent="0.15">
      <c r="A3166" s="8" t="s">
        <v>16988</v>
      </c>
      <c r="B3166" s="9" t="s">
        <v>16989</v>
      </c>
      <c r="C3166" s="8" t="s">
        <v>16990</v>
      </c>
      <c r="D3166" s="8" t="s">
        <v>16990</v>
      </c>
      <c r="E3166" s="8" t="s">
        <v>16991</v>
      </c>
      <c r="F3166" s="8" t="s">
        <v>16992</v>
      </c>
      <c r="G3166" s="8" t="s">
        <v>16993</v>
      </c>
      <c r="H3166" s="8" t="s">
        <v>16848</v>
      </c>
      <c r="I3166" s="8" t="str">
        <f>HYPERLINK("http://www.baldrighi.it/","www.baldrighi.it")</f>
        <v>www.baldrighi.it</v>
      </c>
      <c r="J3166" s="10">
        <v>928.24699999999996</v>
      </c>
      <c r="K3166" s="10">
        <v>928.24699999999996</v>
      </c>
      <c r="L3166" s="10">
        <v>882.62800000000004</v>
      </c>
      <c r="M3166" s="10">
        <v>7.3609999999999998</v>
      </c>
      <c r="N3166" s="10">
        <v>7.3609999999999998</v>
      </c>
      <c r="O3166" s="10">
        <v>15.298999999999999</v>
      </c>
      <c r="P3166" s="10">
        <v>7</v>
      </c>
      <c r="Q3166" s="10">
        <v>7</v>
      </c>
      <c r="R3166" s="10">
        <v>6</v>
      </c>
    </row>
    <row r="3167" spans="1:18" ht="17" customHeight="1" x14ac:dyDescent="0.15">
      <c r="A3167" s="11" t="s">
        <v>16994</v>
      </c>
      <c r="B3167" s="1" t="s">
        <v>16995</v>
      </c>
      <c r="C3167" s="11" t="s">
        <v>16996</v>
      </c>
      <c r="D3167" s="11" t="s">
        <v>16996</v>
      </c>
      <c r="E3167" s="11" t="s">
        <v>16997</v>
      </c>
      <c r="F3167" s="11" t="s">
        <v>16877</v>
      </c>
      <c r="G3167" s="11" t="s">
        <v>16998</v>
      </c>
      <c r="H3167" s="11" t="s">
        <v>16866</v>
      </c>
      <c r="I3167" s="11" t="str">
        <f>HYPERLINK("http://www.roelcamiceria.it/","www.roelcamiceria.it")</f>
        <v>www.roelcamiceria.it</v>
      </c>
      <c r="J3167" s="12">
        <v>966.90099999999995</v>
      </c>
      <c r="K3167" s="12">
        <v>966.90099999999995</v>
      </c>
      <c r="L3167" s="13">
        <v>881.70100000000002</v>
      </c>
      <c r="M3167" s="12">
        <v>102.184</v>
      </c>
      <c r="N3167" s="12">
        <v>102.184</v>
      </c>
      <c r="O3167" s="12">
        <v>87.254999999999995</v>
      </c>
      <c r="P3167" s="12">
        <v>14</v>
      </c>
      <c r="Q3167" s="12">
        <v>14</v>
      </c>
      <c r="R3167" s="12">
        <v>15</v>
      </c>
    </row>
    <row r="3168" spans="1:18" ht="17" customHeight="1" x14ac:dyDescent="0.15">
      <c r="A3168" s="8" t="s">
        <v>16999</v>
      </c>
      <c r="B3168" s="9" t="s">
        <v>17000</v>
      </c>
      <c r="C3168" s="8" t="s">
        <v>17001</v>
      </c>
      <c r="D3168" s="8" t="s">
        <v>17001</v>
      </c>
      <c r="E3168" s="8" t="s">
        <v>17002</v>
      </c>
      <c r="F3168" s="8" t="s">
        <v>16923</v>
      </c>
      <c r="G3168" s="8" t="s">
        <v>16878</v>
      </c>
      <c r="H3168" s="8" t="s">
        <v>16879</v>
      </c>
      <c r="I3168" s="8" t="str">
        <f>HYPERLINK("http://www.coolfarm.it/","www.coolfarm.it")</f>
        <v>www.coolfarm.it</v>
      </c>
      <c r="J3168" s="10">
        <v>674.36099999999999</v>
      </c>
      <c r="K3168" s="10">
        <v>674.36099999999999</v>
      </c>
      <c r="L3168" s="10">
        <v>880.86099999999999</v>
      </c>
      <c r="M3168" s="10">
        <v>-587.95299999999997</v>
      </c>
      <c r="N3168" s="10">
        <v>-587.95299999999997</v>
      </c>
      <c r="O3168" s="10">
        <v>-96.918999999999997</v>
      </c>
      <c r="P3168" s="10">
        <v>8</v>
      </c>
      <c r="Q3168" s="10">
        <v>8</v>
      </c>
      <c r="R3168" s="10">
        <v>8</v>
      </c>
    </row>
    <row r="3169" spans="1:18" ht="17" customHeight="1" x14ac:dyDescent="0.15">
      <c r="A3169" s="11" t="s">
        <v>17003</v>
      </c>
      <c r="B3169" s="1" t="s">
        <v>17004</v>
      </c>
      <c r="C3169" s="11" t="s">
        <v>17005</v>
      </c>
      <c r="D3169" s="11" t="s">
        <v>17005</v>
      </c>
      <c r="E3169" s="11" t="s">
        <v>17006</v>
      </c>
      <c r="F3169" s="11" t="s">
        <v>17007</v>
      </c>
      <c r="G3169" s="11" t="s">
        <v>17008</v>
      </c>
      <c r="H3169" s="11" t="s">
        <v>17009</v>
      </c>
      <c r="I3169" s="11" t="str">
        <f>HYPERLINK("http://xaviersrl.com/","xaviersrl.com")</f>
        <v>xaviersrl.com</v>
      </c>
      <c r="J3169" s="12">
        <v>829.803</v>
      </c>
      <c r="K3169" s="12">
        <v>829.803</v>
      </c>
      <c r="L3169" s="13">
        <v>879.21100000000001</v>
      </c>
      <c r="M3169" s="12">
        <v>-2563.328</v>
      </c>
      <c r="N3169" s="12">
        <v>-2563.328</v>
      </c>
      <c r="O3169" s="12">
        <v>-1445.835</v>
      </c>
      <c r="P3169" s="12">
        <v>60</v>
      </c>
      <c r="Q3169" s="12">
        <v>60</v>
      </c>
      <c r="R3169" s="12">
        <v>50</v>
      </c>
    </row>
    <row r="3170" spans="1:18" ht="17" customHeight="1" x14ac:dyDescent="0.15">
      <c r="A3170" s="8" t="s">
        <v>17010</v>
      </c>
      <c r="B3170" s="9" t="s">
        <v>17011</v>
      </c>
      <c r="C3170" s="8" t="s">
        <v>17012</v>
      </c>
      <c r="D3170" s="8" t="s">
        <v>17012</v>
      </c>
      <c r="E3170" s="8" t="s">
        <v>17013</v>
      </c>
      <c r="F3170" s="8" t="s">
        <v>17014</v>
      </c>
      <c r="G3170" s="8" t="s">
        <v>17015</v>
      </c>
      <c r="H3170" s="8" t="s">
        <v>17016</v>
      </c>
      <c r="I3170" s="8" t="str">
        <f>HYPERLINK("http://www.kasucci.com/","www.kasucci.com")</f>
        <v>www.kasucci.com</v>
      </c>
      <c r="J3170" s="10">
        <v>818.63699999999994</v>
      </c>
      <c r="K3170" s="10">
        <v>818.63699999999994</v>
      </c>
      <c r="L3170" s="10">
        <v>878.25300000000004</v>
      </c>
      <c r="M3170" s="10">
        <v>-103.907</v>
      </c>
      <c r="N3170" s="10">
        <v>-103.907</v>
      </c>
      <c r="O3170" s="10">
        <v>-76.718000000000004</v>
      </c>
      <c r="P3170" s="10">
        <v>17</v>
      </c>
      <c r="Q3170" s="10">
        <v>17</v>
      </c>
      <c r="R3170" s="10">
        <v>17</v>
      </c>
    </row>
    <row r="3171" spans="1:18" ht="17" customHeight="1" x14ac:dyDescent="0.15">
      <c r="A3171" s="11" t="s">
        <v>17017</v>
      </c>
      <c r="B3171" s="1" t="s">
        <v>17018</v>
      </c>
      <c r="C3171" s="11" t="s">
        <v>17019</v>
      </c>
      <c r="D3171" s="11" t="s">
        <v>17019</v>
      </c>
      <c r="E3171" s="11" t="s">
        <v>17020</v>
      </c>
      <c r="F3171" s="11" t="s">
        <v>17021</v>
      </c>
      <c r="G3171" s="11" t="s">
        <v>17022</v>
      </c>
      <c r="H3171" s="11" t="s">
        <v>17023</v>
      </c>
      <c r="I3171" s="11" t="str">
        <f>HYPERLINK("http://www.madeinbogranarolo.it/","www.madeinbogranarolo.it")</f>
        <v>www.madeinbogranarolo.it</v>
      </c>
      <c r="J3171" s="12">
        <v>873.38599999999997</v>
      </c>
      <c r="K3171" s="12">
        <v>873.38599999999997</v>
      </c>
      <c r="L3171" s="13">
        <v>877.99599999999998</v>
      </c>
      <c r="M3171" s="12">
        <v>1.9</v>
      </c>
      <c r="N3171" s="12">
        <v>1.9</v>
      </c>
      <c r="O3171" s="12">
        <v>0.22500000000000001</v>
      </c>
      <c r="P3171" s="14" t="s">
        <v>17024</v>
      </c>
      <c r="Q3171" s="14" t="s">
        <v>17024</v>
      </c>
      <c r="R3171" s="12">
        <v>6</v>
      </c>
    </row>
    <row r="3172" spans="1:18" ht="43" customHeight="1" x14ac:dyDescent="0.15">
      <c r="A3172" s="8" t="s">
        <v>17025</v>
      </c>
      <c r="B3172" s="9" t="s">
        <v>17026</v>
      </c>
      <c r="C3172" s="8" t="s">
        <v>17027</v>
      </c>
      <c r="D3172" s="8" t="s">
        <v>17027</v>
      </c>
      <c r="E3172" s="8" t="s">
        <v>17028</v>
      </c>
      <c r="F3172" s="8" t="s">
        <v>17021</v>
      </c>
      <c r="G3172" s="8" t="s">
        <v>17029</v>
      </c>
      <c r="H3172" s="8" t="s">
        <v>17030</v>
      </c>
      <c r="I3172" s="8" t="str">
        <f>HYPERLINK("http://www.icsdivise.com/","www.icsdivise.com")</f>
        <v>www.icsdivise.com</v>
      </c>
      <c r="J3172" s="10">
        <v>1008.116</v>
      </c>
      <c r="K3172" s="10">
        <v>1008.116</v>
      </c>
      <c r="L3172" s="10">
        <v>877.27099999999996</v>
      </c>
      <c r="M3172" s="10">
        <v>-26.542999999999999</v>
      </c>
      <c r="N3172" s="10">
        <v>-26.542999999999999</v>
      </c>
      <c r="O3172" s="10">
        <v>9.859</v>
      </c>
      <c r="P3172" s="15" t="s">
        <v>17024</v>
      </c>
      <c r="Q3172" s="15" t="s">
        <v>17024</v>
      </c>
      <c r="R3172" s="10">
        <v>3</v>
      </c>
    </row>
    <row r="3173" spans="1:18" ht="17" customHeight="1" x14ac:dyDescent="0.15">
      <c r="A3173" s="11" t="s">
        <v>17031</v>
      </c>
      <c r="B3173" s="1" t="s">
        <v>17032</v>
      </c>
      <c r="C3173" s="11" t="s">
        <v>17033</v>
      </c>
      <c r="D3173" s="11" t="s">
        <v>17033</v>
      </c>
      <c r="E3173" s="11" t="s">
        <v>17034</v>
      </c>
      <c r="F3173" s="11" t="s">
        <v>17021</v>
      </c>
      <c r="G3173" s="11" t="s">
        <v>17035</v>
      </c>
      <c r="H3173" s="11" t="s">
        <v>17036</v>
      </c>
      <c r="I3173" s="11" t="str">
        <f>HYPERLINK("http://saralanzi.it/","saralanzi.it")</f>
        <v>saralanzi.it</v>
      </c>
      <c r="J3173" s="12">
        <v>576.91</v>
      </c>
      <c r="K3173" s="12">
        <v>576.91</v>
      </c>
      <c r="L3173" s="13">
        <v>876.93</v>
      </c>
      <c r="M3173" s="12">
        <v>-37.521999999999998</v>
      </c>
      <c r="N3173" s="12">
        <v>-37.521999999999998</v>
      </c>
      <c r="O3173" s="12">
        <v>-28.178999999999998</v>
      </c>
      <c r="P3173" s="12">
        <v>4</v>
      </c>
      <c r="Q3173" s="12">
        <v>4</v>
      </c>
      <c r="R3173" s="12">
        <v>4</v>
      </c>
    </row>
    <row r="3174" spans="1:18" ht="17" customHeight="1" x14ac:dyDescent="0.15">
      <c r="A3174" s="8" t="s">
        <v>17037</v>
      </c>
      <c r="B3174" s="9" t="s">
        <v>17038</v>
      </c>
      <c r="C3174" s="8" t="s">
        <v>17039</v>
      </c>
      <c r="D3174" s="8" t="s">
        <v>17039</v>
      </c>
      <c r="E3174" s="8" t="s">
        <v>17040</v>
      </c>
      <c r="F3174" s="8" t="s">
        <v>17041</v>
      </c>
      <c r="G3174" s="8" t="s">
        <v>17042</v>
      </c>
      <c r="H3174" s="8" t="s">
        <v>17016</v>
      </c>
      <c r="I3174" s="8" t="str">
        <f>HYPERLINK("http://www.bullish.it/","www.bullish.it")</f>
        <v>www.bullish.it</v>
      </c>
      <c r="J3174" s="10">
        <v>223.221</v>
      </c>
      <c r="K3174" s="10">
        <v>223.221</v>
      </c>
      <c r="L3174" s="10">
        <v>876.90800000000002</v>
      </c>
      <c r="M3174" s="10">
        <v>-39.396000000000001</v>
      </c>
      <c r="N3174" s="10">
        <v>-39.396000000000001</v>
      </c>
      <c r="O3174" s="10">
        <v>4.4809999999999999</v>
      </c>
      <c r="P3174" s="15" t="s">
        <v>17024</v>
      </c>
      <c r="Q3174" s="15" t="s">
        <v>17024</v>
      </c>
      <c r="R3174" s="10">
        <v>9</v>
      </c>
    </row>
    <row r="3175" spans="1:18" ht="17" customHeight="1" x14ac:dyDescent="0.15">
      <c r="A3175" s="11" t="s">
        <v>17043</v>
      </c>
      <c r="B3175" s="1" t="s">
        <v>17044</v>
      </c>
      <c r="C3175" s="11" t="s">
        <v>17045</v>
      </c>
      <c r="D3175" s="11" t="s">
        <v>17045</v>
      </c>
      <c r="E3175" s="11" t="s">
        <v>17046</v>
      </c>
      <c r="F3175" s="11" t="s">
        <v>17047</v>
      </c>
      <c r="G3175" s="11" t="s">
        <v>17048</v>
      </c>
      <c r="H3175" s="11" t="s">
        <v>17023</v>
      </c>
      <c r="I3175" s="11" t="str">
        <f>HYPERLINK("http://www.tacchificio-atlantide.it/","www.tacchificio-atlantide.it")</f>
        <v>www.tacchificio-atlantide.it</v>
      </c>
      <c r="J3175" s="12">
        <v>716.66800000000001</v>
      </c>
      <c r="K3175" s="12">
        <v>716.66800000000001</v>
      </c>
      <c r="L3175" s="13">
        <v>876.81600000000003</v>
      </c>
      <c r="M3175" s="12">
        <v>1.0640000000000001</v>
      </c>
      <c r="N3175" s="12">
        <v>1.0640000000000001</v>
      </c>
      <c r="O3175" s="12">
        <v>7.9240000000000004</v>
      </c>
      <c r="P3175" s="12">
        <v>19</v>
      </c>
      <c r="Q3175" s="12">
        <v>19</v>
      </c>
      <c r="R3175" s="12">
        <v>20</v>
      </c>
    </row>
    <row r="3176" spans="1:18" ht="17" customHeight="1" x14ac:dyDescent="0.15">
      <c r="A3176" s="8" t="s">
        <v>17049</v>
      </c>
      <c r="B3176" s="9" t="s">
        <v>17050</v>
      </c>
      <c r="C3176" s="8" t="s">
        <v>17051</v>
      </c>
      <c r="D3176" s="8" t="s">
        <v>17051</v>
      </c>
      <c r="E3176" s="8" t="s">
        <v>17052</v>
      </c>
      <c r="F3176" s="8" t="s">
        <v>17021</v>
      </c>
      <c r="G3176" s="8" t="s">
        <v>17053</v>
      </c>
      <c r="H3176" s="8" t="s">
        <v>17054</v>
      </c>
      <c r="I3176" s="8" t="str">
        <f>HYPERLINK("http://www.tiemmeconf.it/","www.tiemmeconf.it")</f>
        <v>www.tiemmeconf.it</v>
      </c>
      <c r="J3176" s="10">
        <v>921.5</v>
      </c>
      <c r="K3176" s="10">
        <v>921.5</v>
      </c>
      <c r="L3176" s="10">
        <v>875.24199999999996</v>
      </c>
      <c r="M3176" s="10">
        <v>41.488999999999997</v>
      </c>
      <c r="N3176" s="10">
        <v>41.488999999999997</v>
      </c>
      <c r="O3176" s="10">
        <v>18.036000000000001</v>
      </c>
      <c r="P3176" s="10">
        <v>11</v>
      </c>
      <c r="Q3176" s="10">
        <v>11</v>
      </c>
      <c r="R3176" s="10">
        <v>10</v>
      </c>
    </row>
    <row r="3177" spans="1:18" ht="17" customHeight="1" x14ac:dyDescent="0.15">
      <c r="A3177" s="11" t="s">
        <v>17055</v>
      </c>
      <c r="B3177" s="1" t="s">
        <v>17056</v>
      </c>
      <c r="C3177" s="11" t="s">
        <v>17057</v>
      </c>
      <c r="D3177" s="11" t="s">
        <v>17057</v>
      </c>
      <c r="E3177" s="11" t="s">
        <v>17058</v>
      </c>
      <c r="F3177" s="11" t="s">
        <v>17059</v>
      </c>
      <c r="G3177" s="11" t="s">
        <v>17048</v>
      </c>
      <c r="H3177" s="11" t="s">
        <v>17023</v>
      </c>
      <c r="I3177" s="11" t="str">
        <f>HYPERLINK("http://anaconda.it/","anaconda.it/")</f>
        <v>anaconda.it/</v>
      </c>
      <c r="J3177" s="12">
        <v>1116.0719999999999</v>
      </c>
      <c r="K3177" s="12">
        <v>1116.0719999999999</v>
      </c>
      <c r="L3177" s="13">
        <v>875.12199999999996</v>
      </c>
      <c r="M3177" s="12">
        <v>10.081</v>
      </c>
      <c r="N3177" s="12">
        <v>10.081</v>
      </c>
      <c r="O3177" s="12">
        <v>23.241</v>
      </c>
      <c r="P3177" s="14" t="s">
        <v>17024</v>
      </c>
      <c r="Q3177" s="14" t="s">
        <v>17024</v>
      </c>
      <c r="R3177" s="12">
        <v>6</v>
      </c>
    </row>
    <row r="3178" spans="1:18" ht="17" customHeight="1" x14ac:dyDescent="0.15">
      <c r="A3178" s="8" t="s">
        <v>17060</v>
      </c>
      <c r="B3178" s="9" t="s">
        <v>17061</v>
      </c>
      <c r="C3178" s="8" t="s">
        <v>17062</v>
      </c>
      <c r="D3178" s="8" t="s">
        <v>17062</v>
      </c>
      <c r="E3178" s="8" t="s">
        <v>17063</v>
      </c>
      <c r="F3178" s="8" t="s">
        <v>17064</v>
      </c>
      <c r="G3178" s="8" t="s">
        <v>17065</v>
      </c>
      <c r="H3178" s="8" t="s">
        <v>17023</v>
      </c>
      <c r="I3178" s="8" t="str">
        <f>HYPERLINK("http://www.myjobwear.it/","www.myjobwear.it")</f>
        <v>www.myjobwear.it</v>
      </c>
      <c r="J3178" s="10">
        <v>846.88900000000001</v>
      </c>
      <c r="K3178" s="10">
        <v>846.88900000000001</v>
      </c>
      <c r="L3178" s="10">
        <v>874.90700000000004</v>
      </c>
      <c r="M3178" s="10">
        <v>8.6430000000000007</v>
      </c>
      <c r="N3178" s="10">
        <v>8.6430000000000007</v>
      </c>
      <c r="O3178" s="10">
        <v>27.591999999999999</v>
      </c>
      <c r="P3178" s="10">
        <v>9</v>
      </c>
      <c r="Q3178" s="10">
        <v>9</v>
      </c>
      <c r="R3178" s="10">
        <v>9</v>
      </c>
    </row>
    <row r="3179" spans="1:18" ht="17" customHeight="1" x14ac:dyDescent="0.15">
      <c r="A3179" s="11" t="s">
        <v>17066</v>
      </c>
      <c r="B3179" s="1" t="s">
        <v>17067</v>
      </c>
      <c r="C3179" s="11" t="s">
        <v>17068</v>
      </c>
      <c r="D3179" s="11" t="s">
        <v>17068</v>
      </c>
      <c r="E3179" s="11" t="s">
        <v>17069</v>
      </c>
      <c r="F3179" s="11" t="s">
        <v>17014</v>
      </c>
      <c r="G3179" s="11" t="s">
        <v>17070</v>
      </c>
      <c r="H3179" s="11" t="s">
        <v>17071</v>
      </c>
      <c r="I3179" s="11" t="str">
        <f>HYPERLINK("http://www.marenz.it/","www.marenz.it")</f>
        <v>www.marenz.it</v>
      </c>
      <c r="J3179" s="12">
        <v>719.96699999999998</v>
      </c>
      <c r="K3179" s="12">
        <v>719.96699999999998</v>
      </c>
      <c r="L3179" s="13">
        <v>871.12099999999998</v>
      </c>
      <c r="M3179" s="12">
        <v>55.573999999999998</v>
      </c>
      <c r="N3179" s="12">
        <v>55.573999999999998</v>
      </c>
      <c r="O3179" s="12">
        <v>31.631</v>
      </c>
      <c r="P3179" s="12">
        <v>3</v>
      </c>
      <c r="Q3179" s="12">
        <v>3</v>
      </c>
      <c r="R3179" s="12">
        <v>1</v>
      </c>
    </row>
    <row r="3180" spans="1:18" ht="17" customHeight="1" x14ac:dyDescent="0.15">
      <c r="A3180" s="8" t="s">
        <v>17072</v>
      </c>
      <c r="B3180" s="9" t="s">
        <v>17073</v>
      </c>
      <c r="C3180" s="8" t="s">
        <v>17074</v>
      </c>
      <c r="D3180" s="8" t="s">
        <v>17074</v>
      </c>
      <c r="E3180" s="8" t="s">
        <v>17075</v>
      </c>
      <c r="F3180" s="8" t="s">
        <v>17076</v>
      </c>
      <c r="G3180" s="8" t="s">
        <v>17065</v>
      </c>
      <c r="H3180" s="8" t="s">
        <v>17023</v>
      </c>
      <c r="I3180" s="8" t="str">
        <f>HYPERLINK("http://www.progettomaglia.com/","www.progettomaglia.com")</f>
        <v>www.progettomaglia.com</v>
      </c>
      <c r="J3180" s="10">
        <v>1230.126</v>
      </c>
      <c r="K3180" s="10">
        <v>1230.126</v>
      </c>
      <c r="L3180" s="10">
        <v>870.55700000000002</v>
      </c>
      <c r="M3180" s="10">
        <v>18.628</v>
      </c>
      <c r="N3180" s="10">
        <v>18.628</v>
      </c>
      <c r="O3180" s="10">
        <v>16.010999999999999</v>
      </c>
      <c r="P3180" s="15" t="s">
        <v>17024</v>
      </c>
      <c r="Q3180" s="15" t="s">
        <v>17024</v>
      </c>
      <c r="R3180" s="10">
        <v>9</v>
      </c>
    </row>
    <row r="3181" spans="1:18" ht="17" customHeight="1" x14ac:dyDescent="0.15">
      <c r="A3181" s="11" t="s">
        <v>17077</v>
      </c>
      <c r="B3181" s="1" t="s">
        <v>17078</v>
      </c>
      <c r="C3181" s="11" t="s">
        <v>17079</v>
      </c>
      <c r="D3181" s="11" t="s">
        <v>17079</v>
      </c>
      <c r="E3181" s="11" t="s">
        <v>17080</v>
      </c>
      <c r="F3181" s="11" t="s">
        <v>17021</v>
      </c>
      <c r="G3181" s="11" t="s">
        <v>17053</v>
      </c>
      <c r="H3181" s="11" t="s">
        <v>17054</v>
      </c>
      <c r="I3181" s="11" t="str">
        <f>HYPERLINK("http://www.camiceriamirach.it/","www.camiceriamirach.it")</f>
        <v>www.camiceriamirach.it</v>
      </c>
      <c r="J3181" s="12">
        <v>870.63699999999994</v>
      </c>
      <c r="K3181" s="14" t="s">
        <v>17024</v>
      </c>
      <c r="L3181" s="13">
        <v>870.63699999999994</v>
      </c>
      <c r="M3181" s="12">
        <v>64.498000000000005</v>
      </c>
      <c r="N3181" s="14" t="s">
        <v>17024</v>
      </c>
      <c r="O3181" s="12">
        <v>64.498000000000005</v>
      </c>
      <c r="P3181" s="12">
        <v>17</v>
      </c>
      <c r="Q3181" s="14" t="s">
        <v>17024</v>
      </c>
      <c r="R3181" s="12">
        <v>17</v>
      </c>
    </row>
    <row r="3182" spans="1:18" ht="17" customHeight="1" x14ac:dyDescent="0.15">
      <c r="A3182" s="8" t="s">
        <v>17081</v>
      </c>
      <c r="B3182" s="9" t="s">
        <v>17082</v>
      </c>
      <c r="C3182" s="8" t="s">
        <v>17083</v>
      </c>
      <c r="D3182" s="8" t="s">
        <v>17083</v>
      </c>
      <c r="E3182" s="8" t="s">
        <v>17084</v>
      </c>
      <c r="F3182" s="8" t="s">
        <v>17014</v>
      </c>
      <c r="G3182" s="8" t="s">
        <v>17070</v>
      </c>
      <c r="H3182" s="8" t="s">
        <v>17071</v>
      </c>
      <c r="I3182" s="8" t="str">
        <f>HYPERLINK("http://lea-gu.com/","lea-gu.com")</f>
        <v>lea-gu.com</v>
      </c>
      <c r="J3182" s="10">
        <v>655.88300000000004</v>
      </c>
      <c r="K3182" s="10">
        <v>655.88300000000004</v>
      </c>
      <c r="L3182" s="10">
        <v>870.39800000000002</v>
      </c>
      <c r="M3182" s="10">
        <v>-12.772</v>
      </c>
      <c r="N3182" s="10">
        <v>-12.772</v>
      </c>
      <c r="O3182" s="10">
        <v>29.390999999999998</v>
      </c>
      <c r="P3182" s="10">
        <v>2</v>
      </c>
      <c r="Q3182" s="10">
        <v>2</v>
      </c>
      <c r="R3182" s="10">
        <v>2</v>
      </c>
    </row>
    <row r="3183" spans="1:18" ht="29.5" customHeight="1" x14ac:dyDescent="0.15">
      <c r="A3183" s="11" t="s">
        <v>17085</v>
      </c>
      <c r="B3183" s="1" t="s">
        <v>17086</v>
      </c>
      <c r="C3183" s="11" t="s">
        <v>17087</v>
      </c>
      <c r="D3183" s="11" t="s">
        <v>17087</v>
      </c>
      <c r="E3183" s="11" t="s">
        <v>17088</v>
      </c>
      <c r="F3183" s="11" t="s">
        <v>17014</v>
      </c>
      <c r="G3183" s="11" t="s">
        <v>17065</v>
      </c>
      <c r="H3183" s="11" t="s">
        <v>17023</v>
      </c>
      <c r="I3183" s="11" t="str">
        <f>HYPERLINK("http://www.rugiati.com/","www.rugiati.com")</f>
        <v>www.rugiati.com</v>
      </c>
      <c r="J3183" s="12">
        <v>605.54100000000005</v>
      </c>
      <c r="K3183" s="12">
        <v>605.54100000000005</v>
      </c>
      <c r="L3183" s="13">
        <v>870.25599999999997</v>
      </c>
      <c r="M3183" s="12">
        <v>-16.658000000000001</v>
      </c>
      <c r="N3183" s="12">
        <v>-16.658000000000001</v>
      </c>
      <c r="O3183" s="12">
        <v>-1.1140000000000001</v>
      </c>
      <c r="P3183" s="12">
        <v>10</v>
      </c>
      <c r="Q3183" s="12">
        <v>10</v>
      </c>
      <c r="R3183" s="12">
        <v>10</v>
      </c>
    </row>
    <row r="3184" spans="1:18" ht="17" customHeight="1" x14ac:dyDescent="0.15">
      <c r="A3184" s="8" t="s">
        <v>17089</v>
      </c>
      <c r="B3184" s="9" t="s">
        <v>17090</v>
      </c>
      <c r="C3184" s="8" t="s">
        <v>17091</v>
      </c>
      <c r="D3184" s="8" t="s">
        <v>17091</v>
      </c>
      <c r="E3184" s="8" t="s">
        <v>17092</v>
      </c>
      <c r="F3184" s="8" t="s">
        <v>17014</v>
      </c>
      <c r="G3184" s="8" t="s">
        <v>17093</v>
      </c>
      <c r="H3184" s="8" t="s">
        <v>17094</v>
      </c>
      <c r="I3184" s="8" t="str">
        <f>HYPERLINK("http://www.lellabaldi.com/","www.lellabaldi.com")</f>
        <v>www.lellabaldi.com</v>
      </c>
      <c r="J3184" s="10">
        <v>1198.498</v>
      </c>
      <c r="K3184" s="10">
        <v>1198.498</v>
      </c>
      <c r="L3184" s="10">
        <v>869.66300000000001</v>
      </c>
      <c r="M3184" s="10">
        <v>17.524000000000001</v>
      </c>
      <c r="N3184" s="10">
        <v>17.524000000000001</v>
      </c>
      <c r="O3184" s="10">
        <v>81.043999999999997</v>
      </c>
      <c r="P3184" s="10">
        <v>0</v>
      </c>
      <c r="Q3184" s="10">
        <v>0</v>
      </c>
      <c r="R3184" s="10">
        <v>0</v>
      </c>
    </row>
    <row r="3185" spans="1:18" ht="17" customHeight="1" x14ac:dyDescent="0.15">
      <c r="A3185" s="11" t="s">
        <v>17095</v>
      </c>
      <c r="B3185" s="1" t="s">
        <v>17096</v>
      </c>
      <c r="C3185" s="11" t="s">
        <v>17097</v>
      </c>
      <c r="D3185" s="11" t="s">
        <v>17097</v>
      </c>
      <c r="E3185" s="11" t="s">
        <v>17098</v>
      </c>
      <c r="F3185" s="11" t="s">
        <v>17099</v>
      </c>
      <c r="G3185" s="11" t="s">
        <v>17100</v>
      </c>
      <c r="H3185" s="11" t="s">
        <v>17023</v>
      </c>
      <c r="I3185" s="11" t="str">
        <f>HYPERLINK("http://www.didree.it/","www.didree.it")</f>
        <v>www.didree.it</v>
      </c>
      <c r="J3185" s="12">
        <v>758.923</v>
      </c>
      <c r="K3185" s="12">
        <v>758.923</v>
      </c>
      <c r="L3185" s="13">
        <v>868.53300000000002</v>
      </c>
      <c r="M3185" s="12">
        <v>2.6850000000000001</v>
      </c>
      <c r="N3185" s="12">
        <v>2.6850000000000001</v>
      </c>
      <c r="O3185" s="12">
        <v>0.155</v>
      </c>
      <c r="P3185" s="12">
        <v>4</v>
      </c>
      <c r="Q3185" s="12">
        <v>4</v>
      </c>
      <c r="R3185" s="12">
        <v>4</v>
      </c>
    </row>
    <row r="3186" spans="1:18" ht="17" customHeight="1" x14ac:dyDescent="0.15">
      <c r="A3186" s="8" t="s">
        <v>17101</v>
      </c>
      <c r="B3186" s="9" t="s">
        <v>17102</v>
      </c>
      <c r="C3186" s="8" t="s">
        <v>17103</v>
      </c>
      <c r="D3186" s="8" t="s">
        <v>17103</v>
      </c>
      <c r="E3186" s="8" t="s">
        <v>17104</v>
      </c>
      <c r="F3186" s="8" t="s">
        <v>17076</v>
      </c>
      <c r="G3186" s="8" t="s">
        <v>17105</v>
      </c>
      <c r="H3186" s="8" t="s">
        <v>17106</v>
      </c>
      <c r="I3186" s="8" t="str">
        <f>HYPERLINK("http://www.enne-elle.it/","www.enne-elle.it")</f>
        <v>www.enne-elle.it</v>
      </c>
      <c r="J3186" s="10">
        <v>1159.21</v>
      </c>
      <c r="K3186" s="10">
        <v>1159.21</v>
      </c>
      <c r="L3186" s="10">
        <v>867.80700000000002</v>
      </c>
      <c r="M3186" s="10">
        <v>10.209</v>
      </c>
      <c r="N3186" s="10">
        <v>10.209</v>
      </c>
      <c r="O3186" s="10">
        <v>3.7869999999999999</v>
      </c>
      <c r="P3186" s="10">
        <v>11</v>
      </c>
      <c r="Q3186" s="10">
        <v>11</v>
      </c>
      <c r="R3186" s="10">
        <v>9</v>
      </c>
    </row>
    <row r="3187" spans="1:18" ht="68" customHeight="1" x14ac:dyDescent="0.15">
      <c r="A3187" s="11" t="s">
        <v>17107</v>
      </c>
      <c r="B3187" s="1" t="s">
        <v>17108</v>
      </c>
      <c r="C3187" s="11" t="s">
        <v>17109</v>
      </c>
      <c r="D3187" s="11" t="s">
        <v>17109</v>
      </c>
      <c r="E3187" s="11" t="s">
        <v>17110</v>
      </c>
      <c r="F3187" s="11" t="s">
        <v>17099</v>
      </c>
      <c r="G3187" s="11" t="s">
        <v>17065</v>
      </c>
      <c r="H3187" s="11" t="s">
        <v>17023</v>
      </c>
      <c r="I3187" s="11" t="str">
        <f>HYPERLINK("http://www.ldsshop.it/","www.ldsshop.it")</f>
        <v>www.ldsshop.it</v>
      </c>
      <c r="J3187" s="12">
        <v>876.47400000000005</v>
      </c>
      <c r="K3187" s="12">
        <v>876.47400000000005</v>
      </c>
      <c r="L3187" s="13">
        <v>867.78</v>
      </c>
      <c r="M3187" s="12">
        <v>12.901</v>
      </c>
      <c r="N3187" s="12">
        <v>12.901</v>
      </c>
      <c r="O3187" s="12">
        <v>40.109000000000002</v>
      </c>
      <c r="P3187" s="12">
        <v>8</v>
      </c>
      <c r="Q3187" s="12">
        <v>8</v>
      </c>
      <c r="R3187" s="12">
        <v>8</v>
      </c>
    </row>
    <row r="3188" spans="1:18" ht="17" customHeight="1" x14ac:dyDescent="0.15">
      <c r="A3188" s="8" t="s">
        <v>17111</v>
      </c>
      <c r="B3188" s="9" t="s">
        <v>17112</v>
      </c>
      <c r="C3188" s="8" t="s">
        <v>17113</v>
      </c>
      <c r="D3188" s="8" t="s">
        <v>17113</v>
      </c>
      <c r="E3188" s="8" t="s">
        <v>17114</v>
      </c>
      <c r="F3188" s="8" t="s">
        <v>17007</v>
      </c>
      <c r="G3188" s="8" t="s">
        <v>17115</v>
      </c>
      <c r="H3188" s="8" t="s">
        <v>17054</v>
      </c>
      <c r="I3188" s="8" t="str">
        <f>HYPERLINK("http://future-service.net/","future-service.net")</f>
        <v>future-service.net</v>
      </c>
      <c r="J3188" s="10">
        <v>671.75</v>
      </c>
      <c r="K3188" s="10">
        <v>671.75</v>
      </c>
      <c r="L3188" s="10">
        <v>867.56299999999999</v>
      </c>
      <c r="M3188" s="10">
        <v>23.013999999999999</v>
      </c>
      <c r="N3188" s="10">
        <v>23.013999999999999</v>
      </c>
      <c r="O3188" s="10">
        <v>5.7329999999999997</v>
      </c>
      <c r="P3188" s="10">
        <v>5</v>
      </c>
      <c r="Q3188" s="10">
        <v>5</v>
      </c>
      <c r="R3188" s="10">
        <v>5</v>
      </c>
    </row>
    <row r="3189" spans="1:18" ht="17" customHeight="1" x14ac:dyDescent="0.15">
      <c r="A3189" s="11" t="s">
        <v>17116</v>
      </c>
      <c r="B3189" s="1" t="s">
        <v>17117</v>
      </c>
      <c r="C3189" s="11" t="s">
        <v>17118</v>
      </c>
      <c r="D3189" s="11" t="s">
        <v>17118</v>
      </c>
      <c r="E3189" s="11" t="s">
        <v>17119</v>
      </c>
      <c r="F3189" s="11" t="s">
        <v>17014</v>
      </c>
      <c r="G3189" s="11" t="s">
        <v>17065</v>
      </c>
      <c r="H3189" s="11" t="s">
        <v>17023</v>
      </c>
      <c r="I3189" s="11" t="str">
        <f>HYPERLINK("http://stefanobemer.com/","stefanobemer.com")</f>
        <v>stefanobemer.com</v>
      </c>
      <c r="J3189" s="12">
        <v>1137.029</v>
      </c>
      <c r="K3189" s="12">
        <v>1137.029</v>
      </c>
      <c r="L3189" s="13">
        <v>865.51900000000001</v>
      </c>
      <c r="M3189" s="12">
        <v>8.6929999999999996</v>
      </c>
      <c r="N3189" s="12">
        <v>8.6929999999999996</v>
      </c>
      <c r="O3189" s="12">
        <v>24.167000000000002</v>
      </c>
      <c r="P3189" s="12">
        <v>10</v>
      </c>
      <c r="Q3189" s="12">
        <v>10</v>
      </c>
      <c r="R3189" s="12">
        <v>8</v>
      </c>
    </row>
    <row r="3190" spans="1:18" ht="17" customHeight="1" x14ac:dyDescent="0.15">
      <c r="A3190" s="8" t="s">
        <v>17120</v>
      </c>
      <c r="B3190" s="9" t="s">
        <v>17121</v>
      </c>
      <c r="C3190" s="8" t="s">
        <v>17122</v>
      </c>
      <c r="D3190" s="8" t="s">
        <v>17122</v>
      </c>
      <c r="E3190" s="8" t="s">
        <v>17123</v>
      </c>
      <c r="F3190" s="8" t="s">
        <v>17014</v>
      </c>
      <c r="G3190" s="8" t="s">
        <v>17124</v>
      </c>
      <c r="H3190" s="8" t="s">
        <v>17071</v>
      </c>
      <c r="I3190" s="8" t="str">
        <f>HYPERLINK("http://www.tranceriaitalyshoes.it/","www.tranceriaitalyshoes.it")</f>
        <v>www.tranceriaitalyshoes.it</v>
      </c>
      <c r="J3190" s="10">
        <v>1419.694</v>
      </c>
      <c r="K3190" s="10">
        <v>1419.694</v>
      </c>
      <c r="L3190" s="10">
        <v>865.25699999999995</v>
      </c>
      <c r="M3190" s="10">
        <v>86.143000000000001</v>
      </c>
      <c r="N3190" s="10">
        <v>86.143000000000001</v>
      </c>
      <c r="O3190" s="10">
        <v>57.728999999999999</v>
      </c>
      <c r="P3190" s="15" t="s">
        <v>17024</v>
      </c>
      <c r="Q3190" s="15" t="s">
        <v>17024</v>
      </c>
      <c r="R3190" s="10">
        <v>15</v>
      </c>
    </row>
    <row r="3191" spans="1:18" ht="17" customHeight="1" x14ac:dyDescent="0.15">
      <c r="A3191" s="11" t="s">
        <v>17125</v>
      </c>
      <c r="B3191" s="1" t="s">
        <v>17126</v>
      </c>
      <c r="C3191" s="11" t="s">
        <v>17127</v>
      </c>
      <c r="D3191" s="11" t="s">
        <v>17127</v>
      </c>
      <c r="E3191" s="11" t="s">
        <v>17128</v>
      </c>
      <c r="F3191" s="11" t="s">
        <v>17007</v>
      </c>
      <c r="G3191" s="11" t="s">
        <v>17115</v>
      </c>
      <c r="H3191" s="11" t="s">
        <v>17054</v>
      </c>
      <c r="I3191" s="11" t="str">
        <f>HYPERLINK("http://www.confezionibarbon.it/","www.confezionibarbon.it")</f>
        <v>www.confezionibarbon.it</v>
      </c>
      <c r="J3191" s="12">
        <v>1113.876</v>
      </c>
      <c r="K3191" s="12">
        <v>1113.876</v>
      </c>
      <c r="L3191" s="13">
        <v>863.42200000000003</v>
      </c>
      <c r="M3191" s="12">
        <v>10.986000000000001</v>
      </c>
      <c r="N3191" s="12">
        <v>10.986000000000001</v>
      </c>
      <c r="O3191" s="12">
        <v>-16.591999999999999</v>
      </c>
      <c r="P3191" s="12">
        <v>19</v>
      </c>
      <c r="Q3191" s="12">
        <v>19</v>
      </c>
      <c r="R3191" s="12">
        <v>15</v>
      </c>
    </row>
    <row r="3192" spans="1:18" ht="17" customHeight="1" x14ac:dyDescent="0.15">
      <c r="A3192" s="8" t="s">
        <v>17129</v>
      </c>
      <c r="B3192" s="9" t="s">
        <v>17130</v>
      </c>
      <c r="C3192" s="8" t="s">
        <v>17131</v>
      </c>
      <c r="D3192" s="8" t="s">
        <v>17131</v>
      </c>
      <c r="E3192" s="8" t="s">
        <v>17132</v>
      </c>
      <c r="F3192" s="8" t="s">
        <v>17021</v>
      </c>
      <c r="G3192" s="8" t="s">
        <v>17015</v>
      </c>
      <c r="H3192" s="8" t="s">
        <v>17016</v>
      </c>
      <c r="I3192" s="8" t="str">
        <f>HYPERLINK("http://pflmoda.wylit.it/","pflmoda.wylit.it")</f>
        <v>pflmoda.wylit.it</v>
      </c>
      <c r="J3192" s="10">
        <v>918.49</v>
      </c>
      <c r="K3192" s="10">
        <v>918.49</v>
      </c>
      <c r="L3192" s="10">
        <v>863.31100000000004</v>
      </c>
      <c r="M3192" s="10">
        <v>10.619</v>
      </c>
      <c r="N3192" s="10">
        <v>10.619</v>
      </c>
      <c r="O3192" s="10">
        <v>-1.673</v>
      </c>
      <c r="P3192" s="10">
        <v>14</v>
      </c>
      <c r="Q3192" s="10">
        <v>14</v>
      </c>
      <c r="R3192" s="10">
        <v>13</v>
      </c>
    </row>
    <row r="3193" spans="1:18" ht="43" customHeight="1" x14ac:dyDescent="0.15">
      <c r="A3193" s="11" t="s">
        <v>17133</v>
      </c>
      <c r="B3193" s="1" t="s">
        <v>17134</v>
      </c>
      <c r="C3193" s="11" t="s">
        <v>17135</v>
      </c>
      <c r="D3193" s="11" t="s">
        <v>17135</v>
      </c>
      <c r="E3193" s="11" t="s">
        <v>17136</v>
      </c>
      <c r="F3193" s="11" t="s">
        <v>17007</v>
      </c>
      <c r="G3193" s="11" t="s">
        <v>17035</v>
      </c>
      <c r="H3193" s="11" t="s">
        <v>17036</v>
      </c>
      <c r="I3193" s="11" t="str">
        <f>HYPERLINK("http://www.contessa3c.it/","www.contessa3c.it")</f>
        <v>www.contessa3c.it</v>
      </c>
      <c r="J3193" s="12">
        <v>929.16700000000003</v>
      </c>
      <c r="K3193" s="12">
        <v>929.16700000000003</v>
      </c>
      <c r="L3193" s="13">
        <v>861.76099999999997</v>
      </c>
      <c r="M3193" s="12">
        <v>8.702</v>
      </c>
      <c r="N3193" s="12">
        <v>8.702</v>
      </c>
      <c r="O3193" s="12">
        <v>-13.254</v>
      </c>
      <c r="P3193" s="12">
        <v>30</v>
      </c>
      <c r="Q3193" s="12">
        <v>30</v>
      </c>
      <c r="R3193" s="12">
        <v>33</v>
      </c>
    </row>
    <row r="3194" spans="1:18" ht="17" customHeight="1" x14ac:dyDescent="0.15">
      <c r="A3194" s="8" t="s">
        <v>17137</v>
      </c>
      <c r="B3194" s="9" t="s">
        <v>17138</v>
      </c>
      <c r="C3194" s="8" t="s">
        <v>17139</v>
      </c>
      <c r="D3194" s="8" t="s">
        <v>17139</v>
      </c>
      <c r="E3194" s="8" t="s">
        <v>17140</v>
      </c>
      <c r="F3194" s="8" t="s">
        <v>17141</v>
      </c>
      <c r="G3194" s="8" t="s">
        <v>17042</v>
      </c>
      <c r="H3194" s="8" t="s">
        <v>17016</v>
      </c>
      <c r="I3194" s="8" t="str">
        <f>HYPERLINK("http://www.calzificiobiasco.it/","www.calzificiobiasco.it")</f>
        <v>www.calzificiobiasco.it</v>
      </c>
      <c r="J3194" s="10">
        <v>916.00099999999998</v>
      </c>
      <c r="K3194" s="10">
        <v>916.00099999999998</v>
      </c>
      <c r="L3194" s="10">
        <v>861.26900000000001</v>
      </c>
      <c r="M3194" s="10">
        <v>9.8260000000000005</v>
      </c>
      <c r="N3194" s="10">
        <v>9.8260000000000005</v>
      </c>
      <c r="O3194" s="10">
        <v>31.527999999999999</v>
      </c>
      <c r="P3194" s="10">
        <v>8</v>
      </c>
      <c r="Q3194" s="10">
        <v>8</v>
      </c>
      <c r="R3194" s="10">
        <v>8</v>
      </c>
    </row>
    <row r="3195" spans="1:18" ht="17" customHeight="1" x14ac:dyDescent="0.15">
      <c r="A3195" s="11" t="s">
        <v>17142</v>
      </c>
      <c r="B3195" s="1" t="s">
        <v>17143</v>
      </c>
      <c r="C3195" s="11" t="s">
        <v>17144</v>
      </c>
      <c r="D3195" s="11" t="s">
        <v>17144</v>
      </c>
      <c r="E3195" s="11" t="s">
        <v>17145</v>
      </c>
      <c r="F3195" s="11" t="s">
        <v>17146</v>
      </c>
      <c r="G3195" s="11" t="s">
        <v>17048</v>
      </c>
      <c r="H3195" s="11" t="s">
        <v>17023</v>
      </c>
      <c r="I3195" s="11" t="str">
        <f>HYPERLINK("http://www.poggianti.it/","www.poggianti.it")</f>
        <v>www.poggianti.it</v>
      </c>
      <c r="J3195" s="12">
        <v>844.03200000000004</v>
      </c>
      <c r="K3195" s="12">
        <v>844.03200000000004</v>
      </c>
      <c r="L3195" s="13">
        <v>861.33900000000006</v>
      </c>
      <c r="M3195" s="12">
        <v>5.899</v>
      </c>
      <c r="N3195" s="12">
        <v>5.899</v>
      </c>
      <c r="O3195" s="12">
        <v>11.412000000000001</v>
      </c>
      <c r="P3195" s="14" t="s">
        <v>17024</v>
      </c>
      <c r="Q3195" s="14" t="s">
        <v>17024</v>
      </c>
      <c r="R3195" s="12">
        <v>15</v>
      </c>
    </row>
    <row r="3196" spans="1:18" ht="17" customHeight="1" x14ac:dyDescent="0.15">
      <c r="A3196" s="8" t="s">
        <v>17147</v>
      </c>
      <c r="B3196" s="9" t="s">
        <v>17148</v>
      </c>
      <c r="C3196" s="8" t="s">
        <v>17149</v>
      </c>
      <c r="D3196" s="8" t="s">
        <v>17149</v>
      </c>
      <c r="E3196" s="8" t="s">
        <v>17150</v>
      </c>
      <c r="F3196" s="8" t="s">
        <v>17014</v>
      </c>
      <c r="G3196" s="8" t="s">
        <v>17151</v>
      </c>
      <c r="H3196" s="8" t="s">
        <v>17152</v>
      </c>
      <c r="I3196" s="8" t="str">
        <f>HYPERLINK("http://www.francesco.it/","www.francesco.it")</f>
        <v>www.francesco.it</v>
      </c>
      <c r="J3196" s="10">
        <v>873.53099999999995</v>
      </c>
      <c r="K3196" s="10">
        <v>873.53099999999995</v>
      </c>
      <c r="L3196" s="10">
        <v>860.75400000000002</v>
      </c>
      <c r="M3196" s="10">
        <v>33.046999999999997</v>
      </c>
      <c r="N3196" s="10">
        <v>33.046999999999997</v>
      </c>
      <c r="O3196" s="10">
        <v>45.252000000000002</v>
      </c>
      <c r="P3196" s="10">
        <v>5</v>
      </c>
      <c r="Q3196" s="10">
        <v>5</v>
      </c>
      <c r="R3196" s="10">
        <v>8</v>
      </c>
    </row>
    <row r="3197" spans="1:18" ht="29.5" customHeight="1" x14ac:dyDescent="0.15">
      <c r="A3197" s="11" t="s">
        <v>17153</v>
      </c>
      <c r="B3197" s="1" t="s">
        <v>17154</v>
      </c>
      <c r="C3197" s="11" t="s">
        <v>17155</v>
      </c>
      <c r="D3197" s="11" t="s">
        <v>17156</v>
      </c>
      <c r="E3197" s="11" t="s">
        <v>17157</v>
      </c>
      <c r="F3197" s="11" t="s">
        <v>17099</v>
      </c>
      <c r="G3197" s="11" t="s">
        <v>17158</v>
      </c>
      <c r="H3197" s="11" t="s">
        <v>17009</v>
      </c>
      <c r="I3197" s="11" t="str">
        <f>HYPERLINK("http://pelletteriepalazzolesi.it/","pelletteriepalazzolesi.it")</f>
        <v>pelletteriepalazzolesi.it</v>
      </c>
      <c r="J3197" s="12">
        <v>728.23699999999997</v>
      </c>
      <c r="K3197" s="12">
        <v>728.23699999999997</v>
      </c>
      <c r="L3197" s="13">
        <v>859.42899999999997</v>
      </c>
      <c r="M3197" s="12">
        <v>11.287000000000001</v>
      </c>
      <c r="N3197" s="12">
        <v>11.287000000000001</v>
      </c>
      <c r="O3197" s="12">
        <v>-54.835000000000001</v>
      </c>
      <c r="P3197" s="12">
        <v>15</v>
      </c>
      <c r="Q3197" s="12">
        <v>15</v>
      </c>
      <c r="R3197" s="12">
        <v>14</v>
      </c>
    </row>
    <row r="3198" spans="1:18" ht="17" customHeight="1" x14ac:dyDescent="0.15">
      <c r="A3198" s="8" t="s">
        <v>17159</v>
      </c>
      <c r="B3198" s="9" t="s">
        <v>17160</v>
      </c>
      <c r="C3198" s="8" t="s">
        <v>17161</v>
      </c>
      <c r="D3198" s="8" t="s">
        <v>17161</v>
      </c>
      <c r="E3198" s="8" t="s">
        <v>17162</v>
      </c>
      <c r="F3198" s="8" t="s">
        <v>17014</v>
      </c>
      <c r="G3198" s="8" t="s">
        <v>17163</v>
      </c>
      <c r="H3198" s="8" t="s">
        <v>17071</v>
      </c>
      <c r="I3198" s="8" t="str">
        <f>HYPERLINK("http://www.perronecalzature.it/","www.perronecalzature.it")</f>
        <v>www.perronecalzature.it</v>
      </c>
      <c r="J3198" s="10">
        <v>766.04100000000005</v>
      </c>
      <c r="K3198" s="10">
        <v>766.04100000000005</v>
      </c>
      <c r="L3198" s="10">
        <v>858.19600000000003</v>
      </c>
      <c r="M3198" s="10">
        <v>8.4239999999999995</v>
      </c>
      <c r="N3198" s="10">
        <v>8.4239999999999995</v>
      </c>
      <c r="O3198" s="10">
        <v>29.35</v>
      </c>
      <c r="P3198" s="15" t="s">
        <v>17024</v>
      </c>
      <c r="Q3198" s="15" t="s">
        <v>17024</v>
      </c>
      <c r="R3198" s="10">
        <v>14</v>
      </c>
    </row>
    <row r="3199" spans="1:18" ht="17" customHeight="1" x14ac:dyDescent="0.15">
      <c r="A3199" s="11" t="s">
        <v>17164</v>
      </c>
      <c r="B3199" s="1" t="s">
        <v>17165</v>
      </c>
      <c r="C3199" s="11" t="s">
        <v>17166</v>
      </c>
      <c r="D3199" s="11" t="s">
        <v>17166</v>
      </c>
      <c r="E3199" s="11" t="s">
        <v>17167</v>
      </c>
      <c r="F3199" s="11" t="s">
        <v>17021</v>
      </c>
      <c r="G3199" s="11" t="s">
        <v>17042</v>
      </c>
      <c r="H3199" s="11" t="s">
        <v>17016</v>
      </c>
      <c r="I3199" s="11" t="str">
        <f>HYPERLINK("http://maamistore.com/","maamistore.com")</f>
        <v>maamistore.com</v>
      </c>
      <c r="J3199" s="12">
        <v>918.08199999999999</v>
      </c>
      <c r="K3199" s="12">
        <v>918.08199999999999</v>
      </c>
      <c r="L3199" s="13">
        <v>857.84199999999998</v>
      </c>
      <c r="M3199" s="12">
        <v>14.164999999999999</v>
      </c>
      <c r="N3199" s="12">
        <v>14.164999999999999</v>
      </c>
      <c r="O3199" s="12">
        <v>24.457999999999998</v>
      </c>
      <c r="P3199" s="12">
        <v>6</v>
      </c>
      <c r="Q3199" s="12">
        <v>6</v>
      </c>
      <c r="R3199" s="12">
        <v>5</v>
      </c>
    </row>
    <row r="3200" spans="1:18" ht="17" customHeight="1" x14ac:dyDescent="0.15">
      <c r="A3200" s="8" t="s">
        <v>17168</v>
      </c>
      <c r="B3200" s="9" t="s">
        <v>17169</v>
      </c>
      <c r="C3200" s="8" t="s">
        <v>17170</v>
      </c>
      <c r="D3200" s="8" t="s">
        <v>17170</v>
      </c>
      <c r="E3200" s="8" t="s">
        <v>17171</v>
      </c>
      <c r="F3200" s="8" t="s">
        <v>17099</v>
      </c>
      <c r="G3200" s="8" t="s">
        <v>17065</v>
      </c>
      <c r="H3200" s="8" t="s">
        <v>17023</v>
      </c>
      <c r="I3200" s="8" t="str">
        <f>HYPERLINK("http://spallinificiotoscano.com/","spallinificiotoscano.com")</f>
        <v>spallinificiotoscano.com</v>
      </c>
      <c r="J3200" s="10">
        <v>747.88900000000001</v>
      </c>
      <c r="K3200" s="10">
        <v>747.88900000000001</v>
      </c>
      <c r="L3200" s="10">
        <v>857.26400000000001</v>
      </c>
      <c r="M3200" s="10">
        <v>61.55</v>
      </c>
      <c r="N3200" s="10">
        <v>61.55</v>
      </c>
      <c r="O3200" s="10">
        <v>77.45</v>
      </c>
      <c r="P3200" s="10">
        <v>3</v>
      </c>
      <c r="Q3200" s="10">
        <v>3</v>
      </c>
      <c r="R3200" s="10">
        <v>5</v>
      </c>
    </row>
    <row r="3201" spans="1:18" ht="17" customHeight="1" x14ac:dyDescent="0.15">
      <c r="A3201" s="11" t="s">
        <v>17172</v>
      </c>
      <c r="B3201" s="1" t="s">
        <v>17173</v>
      </c>
      <c r="C3201" s="11" t="s">
        <v>17174</v>
      </c>
      <c r="D3201" s="11" t="s">
        <v>17174</v>
      </c>
      <c r="E3201" s="11" t="s">
        <v>17175</v>
      </c>
      <c r="F3201" s="11" t="s">
        <v>17176</v>
      </c>
      <c r="G3201" s="11" t="s">
        <v>17177</v>
      </c>
      <c r="H3201" s="11" t="s">
        <v>17178</v>
      </c>
      <c r="I3201" s="11" t="str">
        <f>HYPERLINK("http://www.simonab.it/","www.simonab.it")</f>
        <v>www.simonab.it</v>
      </c>
      <c r="J3201" s="12">
        <v>1060.463</v>
      </c>
      <c r="K3201" s="12">
        <v>1060.463</v>
      </c>
      <c r="L3201" s="13">
        <v>856.54100000000005</v>
      </c>
      <c r="M3201" s="12">
        <v>2.198</v>
      </c>
      <c r="N3201" s="12">
        <v>2.198</v>
      </c>
      <c r="O3201" s="12">
        <v>21.358000000000001</v>
      </c>
      <c r="P3201" s="12">
        <v>6</v>
      </c>
      <c r="Q3201" s="12">
        <v>6</v>
      </c>
      <c r="R3201" s="12">
        <v>6</v>
      </c>
    </row>
    <row r="3202" spans="1:18" ht="17" customHeight="1" x14ac:dyDescent="0.15">
      <c r="A3202" s="8" t="s">
        <v>17179</v>
      </c>
      <c r="B3202" s="9" t="s">
        <v>17180</v>
      </c>
      <c r="C3202" s="8" t="s">
        <v>17181</v>
      </c>
      <c r="D3202" s="8" t="s">
        <v>17181</v>
      </c>
      <c r="E3202" s="8" t="s">
        <v>17182</v>
      </c>
      <c r="F3202" s="8" t="s">
        <v>17183</v>
      </c>
      <c r="G3202" s="8" t="s">
        <v>17184</v>
      </c>
      <c r="H3202" s="8" t="s">
        <v>17185</v>
      </c>
      <c r="I3202" s="8" t="str">
        <f>HYPERLINK("http://www.cesarebaroli.it/","www.cesarebaroli.it")</f>
        <v>www.cesarebaroli.it</v>
      </c>
      <c r="J3202" s="10">
        <v>855.57899999999995</v>
      </c>
      <c r="K3202" s="10">
        <v>855.57899999999995</v>
      </c>
      <c r="L3202" s="10">
        <v>856.255</v>
      </c>
      <c r="M3202" s="10">
        <v>62.036999999999999</v>
      </c>
      <c r="N3202" s="10">
        <v>62.036999999999999</v>
      </c>
      <c r="O3202" s="10">
        <v>66.105000000000004</v>
      </c>
      <c r="P3202" s="10">
        <v>7</v>
      </c>
      <c r="Q3202" s="10">
        <v>7</v>
      </c>
      <c r="R3202" s="10">
        <v>13</v>
      </c>
    </row>
    <row r="3203" spans="1:18" ht="17" customHeight="1" x14ac:dyDescent="0.15">
      <c r="A3203" s="11" t="s">
        <v>17186</v>
      </c>
      <c r="B3203" s="1" t="s">
        <v>17187</v>
      </c>
      <c r="C3203" s="11" t="s">
        <v>17188</v>
      </c>
      <c r="D3203" s="11" t="s">
        <v>17188</v>
      </c>
      <c r="E3203" s="11" t="s">
        <v>17189</v>
      </c>
      <c r="F3203" s="11" t="s">
        <v>17190</v>
      </c>
      <c r="G3203" s="11" t="s">
        <v>17191</v>
      </c>
      <c r="H3203" s="11" t="s">
        <v>17192</v>
      </c>
      <c r="I3203" s="11" t="str">
        <f>HYPERLINK("http://www.italian-brands.it/","www.italian-brands.it")</f>
        <v>www.italian-brands.it</v>
      </c>
      <c r="J3203" s="12">
        <v>1033.6980000000001</v>
      </c>
      <c r="K3203" s="12">
        <v>1033.6980000000001</v>
      </c>
      <c r="L3203" s="13">
        <v>853.76099999999997</v>
      </c>
      <c r="M3203" s="12">
        <v>-178.01499999999999</v>
      </c>
      <c r="N3203" s="12">
        <v>-178.01499999999999</v>
      </c>
      <c r="O3203" s="12">
        <v>-188.79499999999999</v>
      </c>
      <c r="P3203" s="12">
        <v>7</v>
      </c>
      <c r="Q3203" s="12">
        <v>7</v>
      </c>
      <c r="R3203" s="12">
        <v>13</v>
      </c>
    </row>
    <row r="3204" spans="1:18" ht="17" customHeight="1" x14ac:dyDescent="0.15">
      <c r="A3204" s="8" t="s">
        <v>17193</v>
      </c>
      <c r="B3204" s="9" t="s">
        <v>17194</v>
      </c>
      <c r="C3204" s="8" t="s">
        <v>17195</v>
      </c>
      <c r="D3204" s="8" t="s">
        <v>17195</v>
      </c>
      <c r="E3204" s="8" t="s">
        <v>17196</v>
      </c>
      <c r="F3204" s="8" t="s">
        <v>17197</v>
      </c>
      <c r="G3204" s="8" t="s">
        <v>17198</v>
      </c>
      <c r="H3204" s="8" t="s">
        <v>17199</v>
      </c>
      <c r="I3204" s="8" t="str">
        <f>HYPERLINK("http://www.suolificiogalmsrl.it/","www.suolificiogalmsrl.it")</f>
        <v>www.suolificiogalmsrl.it</v>
      </c>
      <c r="J3204" s="10">
        <v>986.22500000000002</v>
      </c>
      <c r="K3204" s="10">
        <v>986.22500000000002</v>
      </c>
      <c r="L3204" s="10">
        <v>852.71400000000006</v>
      </c>
      <c r="M3204" s="10">
        <v>-0.45900000000000002</v>
      </c>
      <c r="N3204" s="10">
        <v>-0.45900000000000002</v>
      </c>
      <c r="O3204" s="10">
        <v>64.162000000000006</v>
      </c>
      <c r="P3204" s="10">
        <v>4</v>
      </c>
      <c r="Q3204" s="10">
        <v>4</v>
      </c>
      <c r="R3204" s="10">
        <v>5</v>
      </c>
    </row>
    <row r="3205" spans="1:18" ht="17" customHeight="1" x14ac:dyDescent="0.15">
      <c r="A3205" s="11" t="s">
        <v>17200</v>
      </c>
      <c r="B3205" s="1" t="s">
        <v>17201</v>
      </c>
      <c r="C3205" s="11" t="s">
        <v>17202</v>
      </c>
      <c r="D3205" s="11" t="s">
        <v>17202</v>
      </c>
      <c r="E3205" s="11" t="s">
        <v>17203</v>
      </c>
      <c r="F3205" s="11" t="s">
        <v>17183</v>
      </c>
      <c r="G3205" s="11" t="s">
        <v>17198</v>
      </c>
      <c r="H3205" s="11" t="s">
        <v>17199</v>
      </c>
      <c r="I3205" s="11" t="str">
        <f>HYPERLINK("http://www.acciarrinazzareno.it/","www.acciarrinazzareno.it")</f>
        <v>www.acciarrinazzareno.it</v>
      </c>
      <c r="J3205" s="12">
        <v>1078.347</v>
      </c>
      <c r="K3205" s="12">
        <v>1078.347</v>
      </c>
      <c r="L3205" s="13">
        <v>852.61</v>
      </c>
      <c r="M3205" s="12">
        <v>2.3660000000000001</v>
      </c>
      <c r="N3205" s="12">
        <v>2.3660000000000001</v>
      </c>
      <c r="O3205" s="12">
        <v>14.712</v>
      </c>
      <c r="P3205" s="12">
        <v>8</v>
      </c>
      <c r="Q3205" s="12">
        <v>8</v>
      </c>
      <c r="R3205" s="12">
        <v>8</v>
      </c>
    </row>
    <row r="3206" spans="1:18" ht="17" customHeight="1" x14ac:dyDescent="0.15">
      <c r="A3206" s="8" t="s">
        <v>17204</v>
      </c>
      <c r="B3206" s="9" t="s">
        <v>17205</v>
      </c>
      <c r="C3206" s="8" t="s">
        <v>17206</v>
      </c>
      <c r="D3206" s="8" t="s">
        <v>17206</v>
      </c>
      <c r="E3206" s="8" t="s">
        <v>17207</v>
      </c>
      <c r="F3206" s="8" t="s">
        <v>17208</v>
      </c>
      <c r="G3206" s="8" t="s">
        <v>17177</v>
      </c>
      <c r="H3206" s="8" t="s">
        <v>17178</v>
      </c>
      <c r="I3206" s="8" t="str">
        <f>HYPERLINK("http://www.confezionidebora.com/","www.confezionidebora.com")</f>
        <v>www.confezionidebora.com</v>
      </c>
      <c r="J3206" s="10">
        <v>824.45</v>
      </c>
      <c r="K3206" s="10">
        <v>824.45</v>
      </c>
      <c r="L3206" s="10">
        <v>848.976</v>
      </c>
      <c r="M3206" s="10">
        <v>72.989000000000004</v>
      </c>
      <c r="N3206" s="10">
        <v>72.989000000000004</v>
      </c>
      <c r="O3206" s="10">
        <v>21.747</v>
      </c>
      <c r="P3206" s="10">
        <v>4</v>
      </c>
      <c r="Q3206" s="10">
        <v>4</v>
      </c>
      <c r="R3206" s="10">
        <v>4</v>
      </c>
    </row>
    <row r="3207" spans="1:18" ht="17" customHeight="1" x14ac:dyDescent="0.15">
      <c r="A3207" s="11" t="s">
        <v>17209</v>
      </c>
      <c r="B3207" s="1" t="s">
        <v>17210</v>
      </c>
      <c r="C3207" s="11" t="s">
        <v>17211</v>
      </c>
      <c r="D3207" s="11" t="s">
        <v>17211</v>
      </c>
      <c r="E3207" s="11" t="s">
        <v>17212</v>
      </c>
      <c r="F3207" s="11" t="s">
        <v>17213</v>
      </c>
      <c r="G3207" s="11" t="s">
        <v>17214</v>
      </c>
      <c r="H3207" s="11" t="s">
        <v>17215</v>
      </c>
      <c r="I3207" s="11" t="str">
        <f>HYPERLINK("http://www.gallipelletterie.it/","www.gallipelletterie.it")</f>
        <v>www.gallipelletterie.it</v>
      </c>
      <c r="J3207" s="12">
        <v>857.30499999999995</v>
      </c>
      <c r="K3207" s="12">
        <v>857.30499999999995</v>
      </c>
      <c r="L3207" s="13">
        <v>848.68299999999999</v>
      </c>
      <c r="M3207" s="12">
        <v>14.706</v>
      </c>
      <c r="N3207" s="12">
        <v>14.706</v>
      </c>
      <c r="O3207" s="12">
        <v>-206.04900000000001</v>
      </c>
      <c r="P3207" s="12">
        <v>6</v>
      </c>
      <c r="Q3207" s="12">
        <v>6</v>
      </c>
      <c r="R3207" s="12">
        <v>7</v>
      </c>
    </row>
    <row r="3208" spans="1:18" ht="17" customHeight="1" x14ac:dyDescent="0.15">
      <c r="A3208" s="8" t="s">
        <v>17216</v>
      </c>
      <c r="B3208" s="9" t="s">
        <v>17217</v>
      </c>
      <c r="C3208" s="8" t="s">
        <v>17218</v>
      </c>
      <c r="D3208" s="8" t="s">
        <v>17218</v>
      </c>
      <c r="E3208" s="8" t="s">
        <v>17219</v>
      </c>
      <c r="F3208" s="8" t="s">
        <v>17220</v>
      </c>
      <c r="G3208" s="8" t="s">
        <v>17221</v>
      </c>
      <c r="H3208" s="8" t="s">
        <v>17222</v>
      </c>
      <c r="I3208" s="8" t="str">
        <f>HYPERLINK("http://www.clara-intimo.it/","www.clara-intimo.it")</f>
        <v>www.clara-intimo.it</v>
      </c>
      <c r="J3208" s="10">
        <v>984.18200000000002</v>
      </c>
      <c r="K3208" s="10">
        <v>984.18200000000002</v>
      </c>
      <c r="L3208" s="10">
        <v>848.64300000000003</v>
      </c>
      <c r="M3208" s="10">
        <v>15.055</v>
      </c>
      <c r="N3208" s="10">
        <v>15.055</v>
      </c>
      <c r="O3208" s="10">
        <v>-144.29599999999999</v>
      </c>
      <c r="P3208" s="15" t="s">
        <v>17223</v>
      </c>
      <c r="Q3208" s="15" t="s">
        <v>17223</v>
      </c>
      <c r="R3208" s="10">
        <v>4</v>
      </c>
    </row>
    <row r="3209" spans="1:18" ht="17" customHeight="1" x14ac:dyDescent="0.15">
      <c r="A3209" s="11" t="s">
        <v>17224</v>
      </c>
      <c r="B3209" s="1" t="s">
        <v>17225</v>
      </c>
      <c r="C3209" s="11" t="s">
        <v>17226</v>
      </c>
      <c r="D3209" s="11" t="s">
        <v>17226</v>
      </c>
      <c r="E3209" s="11" t="s">
        <v>17227</v>
      </c>
      <c r="F3209" s="11" t="s">
        <v>17176</v>
      </c>
      <c r="G3209" s="11" t="s">
        <v>17228</v>
      </c>
      <c r="H3209" s="11" t="s">
        <v>17229</v>
      </c>
      <c r="I3209" s="11" t="str">
        <f>HYPERLINK("http://www.frajor.it/","www.frajor.it")</f>
        <v>www.frajor.it</v>
      </c>
      <c r="J3209" s="12">
        <v>1176.279</v>
      </c>
      <c r="K3209" s="12">
        <v>1176.279</v>
      </c>
      <c r="L3209" s="13">
        <v>847.30899999999997</v>
      </c>
      <c r="M3209" s="12">
        <v>319.30399999999997</v>
      </c>
      <c r="N3209" s="12">
        <v>319.30399999999997</v>
      </c>
      <c r="O3209" s="12">
        <v>200.52</v>
      </c>
      <c r="P3209" s="12">
        <v>19</v>
      </c>
      <c r="Q3209" s="12">
        <v>19</v>
      </c>
      <c r="R3209" s="12">
        <v>19</v>
      </c>
    </row>
    <row r="3210" spans="1:18" ht="17" customHeight="1" x14ac:dyDescent="0.15">
      <c r="A3210" s="8" t="s">
        <v>17230</v>
      </c>
      <c r="B3210" s="9" t="s">
        <v>17231</v>
      </c>
      <c r="C3210" s="8" t="s">
        <v>17232</v>
      </c>
      <c r="D3210" s="8" t="s">
        <v>17232</v>
      </c>
      <c r="E3210" s="8" t="s">
        <v>17233</v>
      </c>
      <c r="F3210" s="8" t="s">
        <v>17213</v>
      </c>
      <c r="G3210" s="8" t="s">
        <v>17234</v>
      </c>
      <c r="H3210" s="8" t="s">
        <v>17235</v>
      </c>
      <c r="I3210" s="8" t="str">
        <f>HYPERLINK("http://www.rossidavinci.it/","www.rossidavinci.it")</f>
        <v>www.rossidavinci.it</v>
      </c>
      <c r="J3210" s="10">
        <v>761.82799999999997</v>
      </c>
      <c r="K3210" s="10">
        <v>761.82799999999997</v>
      </c>
      <c r="L3210" s="10">
        <v>847.01</v>
      </c>
      <c r="M3210" s="10">
        <v>50.192999999999998</v>
      </c>
      <c r="N3210" s="10">
        <v>50.192999999999998</v>
      </c>
      <c r="O3210" s="10">
        <v>35.874000000000002</v>
      </c>
      <c r="P3210" s="10">
        <v>7</v>
      </c>
      <c r="Q3210" s="10">
        <v>7</v>
      </c>
      <c r="R3210" s="10">
        <v>7</v>
      </c>
    </row>
    <row r="3211" spans="1:18" ht="17" customHeight="1" x14ac:dyDescent="0.15">
      <c r="A3211" s="11" t="s">
        <v>17236</v>
      </c>
      <c r="B3211" s="1" t="s">
        <v>17237</v>
      </c>
      <c r="C3211" s="11" t="s">
        <v>17238</v>
      </c>
      <c r="D3211" s="11" t="s">
        <v>17238</v>
      </c>
      <c r="E3211" s="11" t="s">
        <v>17239</v>
      </c>
      <c r="F3211" s="11" t="s">
        <v>17240</v>
      </c>
      <c r="G3211" s="11" t="s">
        <v>17241</v>
      </c>
      <c r="H3211" s="11" t="s">
        <v>17229</v>
      </c>
      <c r="I3211" s="11" t="str">
        <f>HYPERLINK("http://www.3emmme.com/","www.3emmme.com")</f>
        <v>www.3emmme.com</v>
      </c>
      <c r="J3211" s="12">
        <v>582.41600000000005</v>
      </c>
      <c r="K3211" s="12">
        <v>582.41600000000005</v>
      </c>
      <c r="L3211" s="13">
        <v>846.02200000000005</v>
      </c>
      <c r="M3211" s="12">
        <v>-17.602</v>
      </c>
      <c r="N3211" s="12">
        <v>-17.602</v>
      </c>
      <c r="O3211" s="12">
        <v>4.9459999999999997</v>
      </c>
      <c r="P3211" s="12">
        <v>7</v>
      </c>
      <c r="Q3211" s="12">
        <v>7</v>
      </c>
      <c r="R3211" s="12">
        <v>7</v>
      </c>
    </row>
    <row r="3212" spans="1:18" ht="29.5" customHeight="1" x14ac:dyDescent="0.15">
      <c r="A3212" s="8" t="s">
        <v>17242</v>
      </c>
      <c r="B3212" s="9" t="s">
        <v>17243</v>
      </c>
      <c r="C3212" s="8" t="s">
        <v>17244</v>
      </c>
      <c r="D3212" s="8" t="s">
        <v>17244</v>
      </c>
      <c r="E3212" s="8" t="s">
        <v>17245</v>
      </c>
      <c r="F3212" s="8" t="s">
        <v>17246</v>
      </c>
      <c r="G3212" s="8" t="s">
        <v>17247</v>
      </c>
      <c r="H3212" s="8" t="s">
        <v>17185</v>
      </c>
      <c r="I3212" s="8" t="str">
        <f>HYPERLINK("http://www.conceriapieroni.com/","www.conceriapieroni.com")</f>
        <v>www.conceriapieroni.com</v>
      </c>
      <c r="J3212" s="10">
        <v>1104.9770000000001</v>
      </c>
      <c r="K3212" s="10">
        <v>1104.9770000000001</v>
      </c>
      <c r="L3212" s="10">
        <v>845.77599999999995</v>
      </c>
      <c r="M3212" s="10">
        <v>2.1480000000000001</v>
      </c>
      <c r="N3212" s="10">
        <v>2.1480000000000001</v>
      </c>
      <c r="O3212" s="10">
        <v>8.0879999999999992</v>
      </c>
      <c r="P3212" s="15" t="s">
        <v>17223</v>
      </c>
      <c r="Q3212" s="15" t="s">
        <v>17223</v>
      </c>
      <c r="R3212" s="10">
        <v>5</v>
      </c>
    </row>
    <row r="3213" spans="1:18" ht="17" customHeight="1" x14ac:dyDescent="0.15">
      <c r="A3213" s="11" t="s">
        <v>17248</v>
      </c>
      <c r="B3213" s="1" t="s">
        <v>17249</v>
      </c>
      <c r="C3213" s="11" t="s">
        <v>17250</v>
      </c>
      <c r="D3213" s="11" t="s">
        <v>17250</v>
      </c>
      <c r="E3213" s="11" t="s">
        <v>17251</v>
      </c>
      <c r="F3213" s="11" t="s">
        <v>17176</v>
      </c>
      <c r="G3213" s="11" t="s">
        <v>17234</v>
      </c>
      <c r="H3213" s="11" t="s">
        <v>17235</v>
      </c>
      <c r="I3213" s="11" t="str">
        <f>HYPERLINK("http://www.sevenfold.it/","www.sevenfold.it")</f>
        <v>www.sevenfold.it</v>
      </c>
      <c r="J3213" s="12">
        <v>885.41700000000003</v>
      </c>
      <c r="K3213" s="12">
        <v>885.41700000000003</v>
      </c>
      <c r="L3213" s="13">
        <v>845.10699999999997</v>
      </c>
      <c r="M3213" s="12">
        <v>8.3719999999999999</v>
      </c>
      <c r="N3213" s="12">
        <v>8.3719999999999999</v>
      </c>
      <c r="O3213" s="12">
        <v>19.395</v>
      </c>
      <c r="P3213" s="12">
        <v>9</v>
      </c>
      <c r="Q3213" s="12">
        <v>9</v>
      </c>
      <c r="R3213" s="12">
        <v>10</v>
      </c>
    </row>
    <row r="3214" spans="1:18" ht="17" customHeight="1" x14ac:dyDescent="0.15">
      <c r="A3214" s="8" t="s">
        <v>17252</v>
      </c>
      <c r="B3214" s="9" t="s">
        <v>17253</v>
      </c>
      <c r="C3214" s="8" t="s">
        <v>17254</v>
      </c>
      <c r="D3214" s="8" t="s">
        <v>17254</v>
      </c>
      <c r="E3214" s="8" t="s">
        <v>17255</v>
      </c>
      <c r="F3214" s="8" t="s">
        <v>17197</v>
      </c>
      <c r="G3214" s="8" t="s">
        <v>17256</v>
      </c>
      <c r="H3214" s="8" t="s">
        <v>17257</v>
      </c>
      <c r="I3214" s="8" t="str">
        <f>HYPERLINK("http://www.corkline.net/","www.corkline.net")</f>
        <v>www.corkline.net</v>
      </c>
      <c r="J3214" s="10">
        <v>1010.837</v>
      </c>
      <c r="K3214" s="10">
        <v>1010.837</v>
      </c>
      <c r="L3214" s="10">
        <v>844.48099999999999</v>
      </c>
      <c r="M3214" s="10">
        <v>16.369</v>
      </c>
      <c r="N3214" s="10">
        <v>16.369</v>
      </c>
      <c r="O3214" s="10">
        <v>10.685</v>
      </c>
      <c r="P3214" s="15" t="s">
        <v>17223</v>
      </c>
      <c r="Q3214" s="15" t="s">
        <v>17223</v>
      </c>
      <c r="R3214" s="10">
        <v>6</v>
      </c>
    </row>
    <row r="3215" spans="1:18" ht="17" customHeight="1" x14ac:dyDescent="0.15">
      <c r="A3215" s="11" t="s">
        <v>17258</v>
      </c>
      <c r="B3215" s="1" t="s">
        <v>17259</v>
      </c>
      <c r="C3215" s="11" t="s">
        <v>17260</v>
      </c>
      <c r="D3215" s="11" t="s">
        <v>17260</v>
      </c>
      <c r="E3215" s="11" t="s">
        <v>17261</v>
      </c>
      <c r="F3215" s="11" t="s">
        <v>17246</v>
      </c>
      <c r="G3215" s="11" t="s">
        <v>17262</v>
      </c>
      <c r="H3215" s="11" t="s">
        <v>17263</v>
      </c>
      <c r="I3215" s="11" t="str">
        <f>HYPERLINK("http://euronarpell.com/","euronarpell.com")</f>
        <v>euronarpell.com</v>
      </c>
      <c r="J3215" s="12">
        <v>1020.816</v>
      </c>
      <c r="K3215" s="12">
        <v>1020.816</v>
      </c>
      <c r="L3215" s="13">
        <v>844.25099999999998</v>
      </c>
      <c r="M3215" s="12">
        <v>5.4550000000000001</v>
      </c>
      <c r="N3215" s="12">
        <v>5.4550000000000001</v>
      </c>
      <c r="O3215" s="12">
        <v>11.194000000000001</v>
      </c>
      <c r="P3215" s="12">
        <v>3</v>
      </c>
      <c r="Q3215" s="12">
        <v>3</v>
      </c>
      <c r="R3215" s="12">
        <v>4</v>
      </c>
    </row>
    <row r="3216" spans="1:18" ht="17" customHeight="1" x14ac:dyDescent="0.15">
      <c r="A3216" s="8" t="s">
        <v>17264</v>
      </c>
      <c r="B3216" s="9" t="s">
        <v>17265</v>
      </c>
      <c r="C3216" s="8" t="s">
        <v>17266</v>
      </c>
      <c r="D3216" s="8" t="s">
        <v>17266</v>
      </c>
      <c r="E3216" s="8" t="s">
        <v>17267</v>
      </c>
      <c r="F3216" s="8" t="s">
        <v>17268</v>
      </c>
      <c r="G3216" s="8" t="s">
        <v>17269</v>
      </c>
      <c r="H3216" s="8" t="s">
        <v>17263</v>
      </c>
      <c r="I3216" s="8" t="str">
        <f>HYPERLINK("http://www.piheritalia.it/","www.piheritalia.it")</f>
        <v>www.piheritalia.it</v>
      </c>
      <c r="J3216" s="10">
        <v>858.92399999999998</v>
      </c>
      <c r="K3216" s="10">
        <v>858.92399999999998</v>
      </c>
      <c r="L3216" s="10">
        <v>844.19500000000005</v>
      </c>
      <c r="M3216" s="10">
        <v>13.721</v>
      </c>
      <c r="N3216" s="10">
        <v>13.721</v>
      </c>
      <c r="O3216" s="10">
        <v>26.937999999999999</v>
      </c>
      <c r="P3216" s="10">
        <v>3</v>
      </c>
      <c r="Q3216" s="10">
        <v>3</v>
      </c>
      <c r="R3216" s="10">
        <v>3</v>
      </c>
    </row>
    <row r="3217" spans="1:18" ht="17" customHeight="1" x14ac:dyDescent="0.15">
      <c r="A3217" s="11" t="s">
        <v>17270</v>
      </c>
      <c r="B3217" s="1" t="s">
        <v>17271</v>
      </c>
      <c r="C3217" s="11" t="s">
        <v>17272</v>
      </c>
      <c r="D3217" s="11" t="s">
        <v>17272</v>
      </c>
      <c r="E3217" s="11" t="s">
        <v>17273</v>
      </c>
      <c r="F3217" s="11" t="s">
        <v>17208</v>
      </c>
      <c r="G3217" s="11" t="s">
        <v>17274</v>
      </c>
      <c r="H3217" s="11" t="s">
        <v>17235</v>
      </c>
      <c r="I3217" s="11" t="str">
        <f>HYPERLINK("http://www.maglificioesline.it/","http://www.maglificioesline.it")</f>
        <v>http://www.maglificioesline.it</v>
      </c>
      <c r="J3217" s="12">
        <v>1005.995</v>
      </c>
      <c r="K3217" s="12">
        <v>1005.995</v>
      </c>
      <c r="L3217" s="13">
        <v>843.04100000000005</v>
      </c>
      <c r="M3217" s="12">
        <v>1.631</v>
      </c>
      <c r="N3217" s="12">
        <v>1.631</v>
      </c>
      <c r="O3217" s="12">
        <v>4.5410000000000004</v>
      </c>
      <c r="P3217" s="12">
        <v>4</v>
      </c>
      <c r="Q3217" s="12">
        <v>4</v>
      </c>
      <c r="R3217" s="12">
        <v>8</v>
      </c>
    </row>
    <row r="3218" spans="1:18" ht="17" customHeight="1" x14ac:dyDescent="0.15">
      <c r="A3218" s="8" t="s">
        <v>17275</v>
      </c>
      <c r="B3218" s="9" t="s">
        <v>17276</v>
      </c>
      <c r="C3218" s="8" t="s">
        <v>17277</v>
      </c>
      <c r="D3218" s="8" t="s">
        <v>17277</v>
      </c>
      <c r="E3218" s="8" t="s">
        <v>17278</v>
      </c>
      <c r="F3218" s="8" t="s">
        <v>17268</v>
      </c>
      <c r="G3218" s="8" t="s">
        <v>17279</v>
      </c>
      <c r="H3218" s="8" t="s">
        <v>17235</v>
      </c>
      <c r="I3218" s="8" t="str">
        <f>HYPERLINK("http://www.carastyle.it/","www.carastyle.it")</f>
        <v>www.carastyle.it</v>
      </c>
      <c r="J3218" s="10">
        <v>713.68100000000004</v>
      </c>
      <c r="K3218" s="10">
        <v>713.68100000000004</v>
      </c>
      <c r="L3218" s="10">
        <v>842.92700000000002</v>
      </c>
      <c r="M3218" s="10">
        <v>-58.216000000000001</v>
      </c>
      <c r="N3218" s="10">
        <v>-58.216000000000001</v>
      </c>
      <c r="O3218" s="10">
        <v>10.286</v>
      </c>
      <c r="P3218" s="10">
        <v>11</v>
      </c>
      <c r="Q3218" s="10">
        <v>11</v>
      </c>
      <c r="R3218" s="10">
        <v>11</v>
      </c>
    </row>
    <row r="3219" spans="1:18" ht="17" customHeight="1" x14ac:dyDescent="0.15">
      <c r="A3219" s="11" t="s">
        <v>17280</v>
      </c>
      <c r="B3219" s="1" t="s">
        <v>17281</v>
      </c>
      <c r="C3219" s="11" t="s">
        <v>17282</v>
      </c>
      <c r="D3219" s="11" t="s">
        <v>17282</v>
      </c>
      <c r="E3219" s="11" t="s">
        <v>17283</v>
      </c>
      <c r="F3219" s="11" t="s">
        <v>17284</v>
      </c>
      <c r="G3219" s="11" t="s">
        <v>17262</v>
      </c>
      <c r="H3219" s="11" t="s">
        <v>17263</v>
      </c>
      <c r="I3219" s="11" t="str">
        <f>HYPERLINK("http://www.arpel.it/","www.arpel.it")</f>
        <v>www.arpel.it</v>
      </c>
      <c r="J3219" s="12">
        <v>873.25300000000004</v>
      </c>
      <c r="K3219" s="12">
        <v>873.25300000000004</v>
      </c>
      <c r="L3219" s="13">
        <v>842.38599999999997</v>
      </c>
      <c r="M3219" s="12">
        <v>19.652000000000001</v>
      </c>
      <c r="N3219" s="12">
        <v>19.652000000000001</v>
      </c>
      <c r="O3219" s="12">
        <v>-29.183</v>
      </c>
      <c r="P3219" s="12">
        <v>6</v>
      </c>
      <c r="Q3219" s="12">
        <v>6</v>
      </c>
      <c r="R3219" s="12">
        <v>5</v>
      </c>
    </row>
    <row r="3220" spans="1:18" ht="17" customHeight="1" x14ac:dyDescent="0.15">
      <c r="A3220" s="8" t="s">
        <v>17285</v>
      </c>
      <c r="B3220" s="9" t="s">
        <v>17286</v>
      </c>
      <c r="C3220" s="8" t="s">
        <v>17287</v>
      </c>
      <c r="D3220" s="8" t="s">
        <v>17287</v>
      </c>
      <c r="E3220" s="8" t="s">
        <v>17288</v>
      </c>
      <c r="F3220" s="8" t="s">
        <v>17220</v>
      </c>
      <c r="G3220" s="8" t="s">
        <v>17191</v>
      </c>
      <c r="H3220" s="8" t="s">
        <v>17192</v>
      </c>
      <c r="I3220" s="8" t="str">
        <f>HYPERLINK("http://www.acquadicocco.com/","www.acquadicocco.com")</f>
        <v>www.acquadicocco.com</v>
      </c>
      <c r="J3220" s="10">
        <v>1267.7349999999999</v>
      </c>
      <c r="K3220" s="10">
        <v>1267.7349999999999</v>
      </c>
      <c r="L3220" s="10">
        <v>842.33399999999995</v>
      </c>
      <c r="M3220" s="10">
        <v>-356.86599999999999</v>
      </c>
      <c r="N3220" s="10">
        <v>-356.86599999999999</v>
      </c>
      <c r="O3220" s="10">
        <v>-1.302</v>
      </c>
      <c r="P3220" s="15" t="s">
        <v>17223</v>
      </c>
      <c r="Q3220" s="15" t="s">
        <v>17223</v>
      </c>
      <c r="R3220" s="10">
        <v>5</v>
      </c>
    </row>
    <row r="3221" spans="1:18" ht="17" customHeight="1" x14ac:dyDescent="0.15">
      <c r="A3221" s="11" t="s">
        <v>17289</v>
      </c>
      <c r="B3221" s="1" t="s">
        <v>17290</v>
      </c>
      <c r="C3221" s="11" t="s">
        <v>17291</v>
      </c>
      <c r="D3221" s="11" t="s">
        <v>17291</v>
      </c>
      <c r="E3221" s="11" t="s">
        <v>17292</v>
      </c>
      <c r="F3221" s="11" t="s">
        <v>17293</v>
      </c>
      <c r="G3221" s="11" t="s">
        <v>17294</v>
      </c>
      <c r="H3221" s="11" t="s">
        <v>17263</v>
      </c>
      <c r="I3221" s="11" t="str">
        <f>HYPERLINK("http://www.efremsportline.com/","www.efremsportline.com")</f>
        <v>www.efremsportline.com</v>
      </c>
      <c r="J3221" s="12">
        <v>748.15599999999995</v>
      </c>
      <c r="K3221" s="12">
        <v>748.15599999999995</v>
      </c>
      <c r="L3221" s="13">
        <v>841.66200000000003</v>
      </c>
      <c r="M3221" s="12">
        <v>12.304</v>
      </c>
      <c r="N3221" s="12">
        <v>12.304</v>
      </c>
      <c r="O3221" s="12">
        <v>15.654</v>
      </c>
      <c r="P3221" s="12">
        <v>5</v>
      </c>
      <c r="Q3221" s="12">
        <v>5</v>
      </c>
      <c r="R3221" s="12">
        <v>5</v>
      </c>
    </row>
    <row r="3222" spans="1:18" ht="17" customHeight="1" x14ac:dyDescent="0.15">
      <c r="A3222" s="8" t="s">
        <v>17295</v>
      </c>
      <c r="B3222" s="9" t="s">
        <v>17296</v>
      </c>
      <c r="C3222" s="8" t="s">
        <v>17297</v>
      </c>
      <c r="D3222" s="8" t="s">
        <v>17297</v>
      </c>
      <c r="E3222" s="8" t="s">
        <v>17298</v>
      </c>
      <c r="F3222" s="8" t="s">
        <v>17190</v>
      </c>
      <c r="G3222" s="8" t="s">
        <v>17299</v>
      </c>
      <c r="H3222" s="8" t="s">
        <v>17178</v>
      </c>
      <c r="I3222" s="8" t="str">
        <f>HYPERLINK("http://rame.eu/","rame.eu")</f>
        <v>rame.eu</v>
      </c>
      <c r="J3222" s="10">
        <v>928.12800000000004</v>
      </c>
      <c r="K3222" s="10">
        <v>928.12800000000004</v>
      </c>
      <c r="L3222" s="10">
        <v>840.93399999999997</v>
      </c>
      <c r="M3222" s="10">
        <v>0.58099999999999996</v>
      </c>
      <c r="N3222" s="10">
        <v>0.58099999999999996</v>
      </c>
      <c r="O3222" s="10">
        <v>37.207999999999998</v>
      </c>
      <c r="P3222" s="15" t="s">
        <v>17223</v>
      </c>
      <c r="Q3222" s="15" t="s">
        <v>17223</v>
      </c>
      <c r="R3222" s="10">
        <v>4</v>
      </c>
    </row>
    <row r="3223" spans="1:18" ht="17" customHeight="1" x14ac:dyDescent="0.15">
      <c r="A3223" s="11" t="s">
        <v>17300</v>
      </c>
      <c r="B3223" s="1" t="s">
        <v>17301</v>
      </c>
      <c r="C3223" s="11" t="s">
        <v>17302</v>
      </c>
      <c r="D3223" s="11" t="s">
        <v>17302</v>
      </c>
      <c r="E3223" s="11" t="s">
        <v>17303</v>
      </c>
      <c r="F3223" s="11" t="s">
        <v>17293</v>
      </c>
      <c r="G3223" s="11" t="s">
        <v>17304</v>
      </c>
      <c r="H3223" s="11" t="s">
        <v>17222</v>
      </c>
      <c r="I3223" s="11" t="str">
        <f>HYPERLINK("http://www.bikinimania.it/","www.bikinimania.it")</f>
        <v>www.bikinimania.it</v>
      </c>
      <c r="J3223" s="12">
        <v>899.41</v>
      </c>
      <c r="K3223" s="12">
        <v>899.41</v>
      </c>
      <c r="L3223" s="13">
        <v>840.24</v>
      </c>
      <c r="M3223" s="12">
        <v>19.863</v>
      </c>
      <c r="N3223" s="12">
        <v>19.863</v>
      </c>
      <c r="O3223" s="12">
        <v>67.338999999999999</v>
      </c>
      <c r="P3223" s="14" t="s">
        <v>17223</v>
      </c>
      <c r="Q3223" s="14" t="s">
        <v>17223</v>
      </c>
      <c r="R3223" s="12">
        <v>20</v>
      </c>
    </row>
    <row r="3224" spans="1:18" ht="17" customHeight="1" x14ac:dyDescent="0.15">
      <c r="A3224" s="8" t="s">
        <v>17305</v>
      </c>
      <c r="B3224" s="9" t="s">
        <v>17306</v>
      </c>
      <c r="C3224" s="8" t="s">
        <v>17307</v>
      </c>
      <c r="D3224" s="8" t="s">
        <v>17307</v>
      </c>
      <c r="E3224" s="8" t="s">
        <v>17308</v>
      </c>
      <c r="F3224" s="8" t="s">
        <v>17190</v>
      </c>
      <c r="G3224" s="8" t="s">
        <v>17241</v>
      </c>
      <c r="H3224" s="8" t="s">
        <v>17229</v>
      </c>
      <c r="I3224" s="8" t="str">
        <f>HYPERLINK("http://modapara.it/","modapara.it")</f>
        <v>modapara.it</v>
      </c>
      <c r="J3224" s="10">
        <v>664.60900000000004</v>
      </c>
      <c r="K3224" s="10">
        <v>607.51499999999999</v>
      </c>
      <c r="L3224" s="10">
        <v>840.08799999999997</v>
      </c>
      <c r="M3224" s="10">
        <v>100.68899999999999</v>
      </c>
      <c r="N3224" s="10">
        <v>94.393000000000001</v>
      </c>
      <c r="O3224" s="10">
        <v>205.87799999999999</v>
      </c>
      <c r="P3224" s="10">
        <v>7</v>
      </c>
      <c r="Q3224" s="10">
        <v>7</v>
      </c>
      <c r="R3224" s="10">
        <v>7</v>
      </c>
    </row>
    <row r="3225" spans="1:18" ht="17" customHeight="1" x14ac:dyDescent="0.15">
      <c r="A3225" s="11" t="s">
        <v>17309</v>
      </c>
      <c r="B3225" s="1" t="s">
        <v>17310</v>
      </c>
      <c r="C3225" s="11" t="s">
        <v>17311</v>
      </c>
      <c r="D3225" s="11" t="s">
        <v>17311</v>
      </c>
      <c r="E3225" s="11" t="s">
        <v>17312</v>
      </c>
      <c r="F3225" s="11" t="s">
        <v>17183</v>
      </c>
      <c r="G3225" s="11" t="s">
        <v>17313</v>
      </c>
      <c r="H3225" s="11" t="s">
        <v>17199</v>
      </c>
      <c r="I3225" s="11" t="str">
        <f>HYPERLINK("http://www.bottega23.it/","www.bottega23.it")</f>
        <v>www.bottega23.it</v>
      </c>
      <c r="J3225" s="12">
        <v>764.83199999999999</v>
      </c>
      <c r="K3225" s="12">
        <v>764.83199999999999</v>
      </c>
      <c r="L3225" s="13">
        <v>839.75800000000004</v>
      </c>
      <c r="M3225" s="12">
        <v>13.356999999999999</v>
      </c>
      <c r="N3225" s="12">
        <v>13.356999999999999</v>
      </c>
      <c r="O3225" s="12">
        <v>28.785</v>
      </c>
      <c r="P3225" s="14" t="s">
        <v>17223</v>
      </c>
      <c r="Q3225" s="14" t="s">
        <v>17223</v>
      </c>
      <c r="R3225" s="12">
        <v>2</v>
      </c>
    </row>
    <row r="3226" spans="1:18" ht="17" customHeight="1" x14ac:dyDescent="0.15">
      <c r="A3226" s="8" t="s">
        <v>17314</v>
      </c>
      <c r="B3226" s="9" t="s">
        <v>17315</v>
      </c>
      <c r="C3226" s="8" t="s">
        <v>17316</v>
      </c>
      <c r="D3226" s="8" t="s">
        <v>17316</v>
      </c>
      <c r="E3226" s="8" t="s">
        <v>17317</v>
      </c>
      <c r="F3226" s="8" t="s">
        <v>17268</v>
      </c>
      <c r="G3226" s="8" t="s">
        <v>17274</v>
      </c>
      <c r="H3226" s="8" t="s">
        <v>17235</v>
      </c>
      <c r="I3226" s="8" t="str">
        <f>HYPERLINK("http://www.bestleather.it/","www.bestleather.it")</f>
        <v>www.bestleather.it</v>
      </c>
      <c r="J3226" s="10">
        <v>1063.877</v>
      </c>
      <c r="K3226" s="10">
        <v>1063.877</v>
      </c>
      <c r="L3226" s="10">
        <v>838.21500000000003</v>
      </c>
      <c r="M3226" s="10">
        <v>-5.3079999999999998</v>
      </c>
      <c r="N3226" s="10">
        <v>-5.3079999999999998</v>
      </c>
      <c r="O3226" s="10">
        <v>7.2629999999999999</v>
      </c>
      <c r="P3226" s="10">
        <v>24</v>
      </c>
      <c r="Q3226" s="10">
        <v>24</v>
      </c>
      <c r="R3226" s="10">
        <v>15</v>
      </c>
    </row>
    <row r="3227" spans="1:18" ht="43" customHeight="1" x14ac:dyDescent="0.15">
      <c r="A3227" s="11" t="s">
        <v>17318</v>
      </c>
      <c r="B3227" s="1" t="s">
        <v>17319</v>
      </c>
      <c r="C3227" s="11" t="s">
        <v>17320</v>
      </c>
      <c r="D3227" s="11" t="s">
        <v>17320</v>
      </c>
      <c r="E3227" s="11" t="s">
        <v>17321</v>
      </c>
      <c r="F3227" s="11" t="s">
        <v>17208</v>
      </c>
      <c r="G3227" s="11" t="s">
        <v>17322</v>
      </c>
      <c r="H3227" s="11" t="s">
        <v>17178</v>
      </c>
      <c r="I3227" s="11" t="str">
        <f>HYPERLINK("http://www.annabelloni.it/","www.annabelloni.it")</f>
        <v>www.annabelloni.it</v>
      </c>
      <c r="J3227" s="12">
        <v>598.50900000000001</v>
      </c>
      <c r="K3227" s="12">
        <v>598.50900000000001</v>
      </c>
      <c r="L3227" s="13">
        <v>838.04700000000003</v>
      </c>
      <c r="M3227" s="12">
        <v>-54.112000000000002</v>
      </c>
      <c r="N3227" s="12">
        <v>-54.112000000000002</v>
      </c>
      <c r="O3227" s="12">
        <v>33.975000000000001</v>
      </c>
      <c r="P3227" s="12">
        <v>3</v>
      </c>
      <c r="Q3227" s="12">
        <v>3</v>
      </c>
      <c r="R3227" s="12">
        <v>3</v>
      </c>
    </row>
    <row r="3228" spans="1:18" ht="17" customHeight="1" x14ac:dyDescent="0.15">
      <c r="A3228" s="8" t="s">
        <v>17323</v>
      </c>
      <c r="B3228" s="9" t="s">
        <v>17324</v>
      </c>
      <c r="C3228" s="8" t="s">
        <v>17325</v>
      </c>
      <c r="D3228" s="8" t="s">
        <v>17325</v>
      </c>
      <c r="E3228" s="8" t="s">
        <v>17326</v>
      </c>
      <c r="F3228" s="8" t="s">
        <v>17183</v>
      </c>
      <c r="G3228" s="8" t="s">
        <v>17327</v>
      </c>
      <c r="H3228" s="8" t="s">
        <v>17229</v>
      </c>
      <c r="I3228" s="8" t="str">
        <f>HYPERLINK("http://fr.lathuilecalzature.it/","fr.lathuilecalzature.it")</f>
        <v>fr.lathuilecalzature.it</v>
      </c>
      <c r="J3228" s="10">
        <v>649.94899999999996</v>
      </c>
      <c r="K3228" s="10">
        <v>649.94899999999996</v>
      </c>
      <c r="L3228" s="10">
        <v>837.66</v>
      </c>
      <c r="M3228" s="10">
        <v>89.537999999999997</v>
      </c>
      <c r="N3228" s="10">
        <v>89.537999999999997</v>
      </c>
      <c r="O3228" s="10">
        <v>116.086</v>
      </c>
      <c r="P3228" s="10">
        <v>6</v>
      </c>
      <c r="Q3228" s="10">
        <v>6</v>
      </c>
      <c r="R3228" s="10">
        <v>7</v>
      </c>
    </row>
    <row r="3229" spans="1:18" ht="17" customHeight="1" x14ac:dyDescent="0.15">
      <c r="A3229" s="11" t="s">
        <v>17328</v>
      </c>
      <c r="B3229" s="1" t="s">
        <v>17329</v>
      </c>
      <c r="C3229" s="11" t="s">
        <v>17330</v>
      </c>
      <c r="D3229" s="11" t="s">
        <v>17330</v>
      </c>
      <c r="E3229" s="11" t="s">
        <v>17331</v>
      </c>
      <c r="F3229" s="11" t="s">
        <v>17284</v>
      </c>
      <c r="G3229" s="11" t="s">
        <v>17234</v>
      </c>
      <c r="H3229" s="11" t="s">
        <v>17235</v>
      </c>
      <c r="I3229" s="11" t="str">
        <f>HYPERLINK("http://crdal1982.it/","crdal1982.it")</f>
        <v>crdal1982.it</v>
      </c>
      <c r="J3229" s="12">
        <v>1028.011</v>
      </c>
      <c r="K3229" s="12">
        <v>1028.011</v>
      </c>
      <c r="L3229" s="13">
        <v>836.49800000000005</v>
      </c>
      <c r="M3229" s="12">
        <v>2.7370000000000001</v>
      </c>
      <c r="N3229" s="12">
        <v>2.7370000000000001</v>
      </c>
      <c r="O3229" s="12">
        <v>-19.876000000000001</v>
      </c>
      <c r="P3229" s="14" t="s">
        <v>17223</v>
      </c>
      <c r="Q3229" s="14" t="s">
        <v>17223</v>
      </c>
      <c r="R3229" s="12">
        <v>7</v>
      </c>
    </row>
    <row r="3230" spans="1:18" ht="17" customHeight="1" x14ac:dyDescent="0.15">
      <c r="A3230" s="8" t="s">
        <v>17332</v>
      </c>
      <c r="B3230" s="9" t="s">
        <v>17333</v>
      </c>
      <c r="C3230" s="8" t="s">
        <v>17334</v>
      </c>
      <c r="D3230" s="8" t="s">
        <v>17334</v>
      </c>
      <c r="E3230" s="8" t="s">
        <v>17335</v>
      </c>
      <c r="F3230" s="8" t="s">
        <v>17190</v>
      </c>
      <c r="G3230" s="8" t="s">
        <v>17336</v>
      </c>
      <c r="H3230" s="8" t="s">
        <v>17337</v>
      </c>
      <c r="I3230" s="8" t="str">
        <f>HYPERLINK("http://shop.alteregolab.it/","shop.alteregolab.it")</f>
        <v>shop.alteregolab.it</v>
      </c>
      <c r="J3230" s="10">
        <v>843.73800000000006</v>
      </c>
      <c r="K3230" s="10">
        <v>843.73800000000006</v>
      </c>
      <c r="L3230" s="10">
        <v>834.69799999999998</v>
      </c>
      <c r="M3230" s="10">
        <v>20.297999999999998</v>
      </c>
      <c r="N3230" s="10">
        <v>20.297999999999998</v>
      </c>
      <c r="O3230" s="10">
        <v>53.424999999999997</v>
      </c>
      <c r="P3230" s="15" t="s">
        <v>17223</v>
      </c>
      <c r="Q3230" s="15" t="s">
        <v>17223</v>
      </c>
      <c r="R3230" s="10">
        <v>1</v>
      </c>
    </row>
    <row r="3231" spans="1:18" ht="17" customHeight="1" x14ac:dyDescent="0.15">
      <c r="A3231" s="11" t="s">
        <v>17338</v>
      </c>
      <c r="B3231" s="1" t="s">
        <v>17339</v>
      </c>
      <c r="C3231" s="11" t="s">
        <v>17340</v>
      </c>
      <c r="D3231" s="11" t="s">
        <v>17340</v>
      </c>
      <c r="E3231" s="11" t="s">
        <v>17341</v>
      </c>
      <c r="F3231" s="11" t="s">
        <v>17342</v>
      </c>
      <c r="G3231" s="11" t="s">
        <v>17269</v>
      </c>
      <c r="H3231" s="11" t="s">
        <v>17263</v>
      </c>
      <c r="I3231" s="11" t="str">
        <f>HYPERLINK("http://revolutioncompany.it/","revolutioncompany.it")</f>
        <v>revolutioncompany.it</v>
      </c>
      <c r="J3231" s="12">
        <v>858.53</v>
      </c>
      <c r="K3231" s="12">
        <v>858.53</v>
      </c>
      <c r="L3231" s="13">
        <v>834.58299999999997</v>
      </c>
      <c r="M3231" s="12">
        <v>8.3729999999999993</v>
      </c>
      <c r="N3231" s="12">
        <v>8.3729999999999993</v>
      </c>
      <c r="O3231" s="12">
        <v>68.978999999999999</v>
      </c>
      <c r="P3231" s="14" t="s">
        <v>17223</v>
      </c>
      <c r="Q3231" s="14" t="s">
        <v>17223</v>
      </c>
      <c r="R3231" s="14" t="s">
        <v>17223</v>
      </c>
    </row>
    <row r="3232" spans="1:18" ht="29.5" customHeight="1" x14ac:dyDescent="0.15">
      <c r="A3232" s="8" t="s">
        <v>17343</v>
      </c>
      <c r="B3232" s="9" t="s">
        <v>17344</v>
      </c>
      <c r="C3232" s="8" t="s">
        <v>17345</v>
      </c>
      <c r="D3232" s="8" t="s">
        <v>17345</v>
      </c>
      <c r="E3232" s="8" t="s">
        <v>17346</v>
      </c>
      <c r="F3232" s="8" t="s">
        <v>17342</v>
      </c>
      <c r="G3232" s="8" t="s">
        <v>17262</v>
      </c>
      <c r="H3232" s="8" t="s">
        <v>17263</v>
      </c>
      <c r="I3232" s="8" t="str">
        <f>HYPERLINK("http://www.newservice-studiomodellistico.it/","www.newservice-studiomodellistico.it")</f>
        <v>www.newservice-studiomodellistico.it</v>
      </c>
      <c r="J3232" s="10">
        <v>843.6</v>
      </c>
      <c r="K3232" s="10">
        <v>843.6</v>
      </c>
      <c r="L3232" s="10">
        <v>834.34100000000001</v>
      </c>
      <c r="M3232" s="10">
        <v>10.336</v>
      </c>
      <c r="N3232" s="10">
        <v>10.336</v>
      </c>
      <c r="O3232" s="10">
        <v>164.05</v>
      </c>
      <c r="P3232" s="15" t="s">
        <v>17223</v>
      </c>
      <c r="Q3232" s="15" t="s">
        <v>17223</v>
      </c>
      <c r="R3232" s="10">
        <v>7</v>
      </c>
    </row>
    <row r="3233" spans="1:18" ht="17" customHeight="1" x14ac:dyDescent="0.15">
      <c r="A3233" s="11" t="s">
        <v>17347</v>
      </c>
      <c r="B3233" s="1" t="s">
        <v>17348</v>
      </c>
      <c r="C3233" s="11" t="s">
        <v>17349</v>
      </c>
      <c r="D3233" s="11" t="s">
        <v>17349</v>
      </c>
      <c r="E3233" s="11" t="s">
        <v>17350</v>
      </c>
      <c r="F3233" s="11" t="s">
        <v>17351</v>
      </c>
      <c r="G3233" s="11" t="s">
        <v>17352</v>
      </c>
      <c r="H3233" s="11" t="s">
        <v>17353</v>
      </c>
      <c r="I3233" s="11" t="str">
        <f>HYPERLINK("http://www.maglificioghidotti.com/","www.maglificioghidotti.com")</f>
        <v>www.maglificioghidotti.com</v>
      </c>
      <c r="J3233" s="12">
        <v>886.10699999999997</v>
      </c>
      <c r="K3233" s="12">
        <v>886.10699999999997</v>
      </c>
      <c r="L3233" s="13">
        <v>834.21299999999997</v>
      </c>
      <c r="M3233" s="12">
        <v>2.6840000000000002</v>
      </c>
      <c r="N3233" s="12">
        <v>2.6840000000000002</v>
      </c>
      <c r="O3233" s="12">
        <v>9.3260000000000005</v>
      </c>
      <c r="P3233" s="14" t="s">
        <v>17354</v>
      </c>
      <c r="Q3233" s="14" t="s">
        <v>17354</v>
      </c>
      <c r="R3233" s="12">
        <v>16</v>
      </c>
    </row>
    <row r="3234" spans="1:18" ht="17" customHeight="1" x14ac:dyDescent="0.15">
      <c r="A3234" s="8" t="s">
        <v>17355</v>
      </c>
      <c r="B3234" s="9" t="s">
        <v>17356</v>
      </c>
      <c r="C3234" s="8" t="s">
        <v>17357</v>
      </c>
      <c r="D3234" s="8" t="s">
        <v>17357</v>
      </c>
      <c r="E3234" s="8" t="s">
        <v>17358</v>
      </c>
      <c r="F3234" s="8" t="s">
        <v>17359</v>
      </c>
      <c r="G3234" s="8" t="s">
        <v>17360</v>
      </c>
      <c r="H3234" s="8" t="s">
        <v>17361</v>
      </c>
      <c r="I3234" s="8" t="str">
        <f>HYPERLINK("http://www.lamuraclub.com/","www.lamuraclub.com")</f>
        <v>www.lamuraclub.com</v>
      </c>
      <c r="J3234" s="10">
        <v>917.44299999999998</v>
      </c>
      <c r="K3234" s="10">
        <v>917.44299999999998</v>
      </c>
      <c r="L3234" s="10">
        <v>833.84</v>
      </c>
      <c r="M3234" s="10">
        <v>-15.781000000000001</v>
      </c>
      <c r="N3234" s="10">
        <v>-15.781000000000001</v>
      </c>
      <c r="O3234" s="10">
        <v>2.375</v>
      </c>
      <c r="P3234" s="15" t="s">
        <v>17354</v>
      </c>
      <c r="Q3234" s="15" t="s">
        <v>17354</v>
      </c>
      <c r="R3234" s="10">
        <v>16</v>
      </c>
    </row>
    <row r="3235" spans="1:18" ht="17" customHeight="1" x14ac:dyDescent="0.15">
      <c r="A3235" s="11" t="s">
        <v>17362</v>
      </c>
      <c r="B3235" s="1" t="s">
        <v>17363</v>
      </c>
      <c r="C3235" s="11" t="s">
        <v>17364</v>
      </c>
      <c r="D3235" s="11" t="s">
        <v>17364</v>
      </c>
      <c r="E3235" s="11" t="s">
        <v>17365</v>
      </c>
      <c r="F3235" s="11" t="s">
        <v>17366</v>
      </c>
      <c r="G3235" s="11" t="s">
        <v>17367</v>
      </c>
      <c r="H3235" s="11" t="s">
        <v>17368</v>
      </c>
      <c r="I3235" s="11" t="str">
        <f>HYPERLINK("http://www.forniturefabrika.com/","www.forniturefabrika.com")</f>
        <v>www.forniturefabrika.com</v>
      </c>
      <c r="J3235" s="12">
        <v>987.26499999999999</v>
      </c>
      <c r="K3235" s="12">
        <v>987.26499999999999</v>
      </c>
      <c r="L3235" s="13">
        <v>833.34400000000005</v>
      </c>
      <c r="M3235" s="12">
        <v>13.131</v>
      </c>
      <c r="N3235" s="12">
        <v>13.131</v>
      </c>
      <c r="O3235" s="12">
        <v>5.093</v>
      </c>
      <c r="P3235" s="14" t="s">
        <v>17354</v>
      </c>
      <c r="Q3235" s="14" t="s">
        <v>17354</v>
      </c>
      <c r="R3235" s="12">
        <v>8</v>
      </c>
    </row>
    <row r="3236" spans="1:18" ht="17" customHeight="1" x14ac:dyDescent="0.15">
      <c r="A3236" s="8" t="s">
        <v>17369</v>
      </c>
      <c r="B3236" s="9" t="s">
        <v>17370</v>
      </c>
      <c r="C3236" s="8" t="s">
        <v>17371</v>
      </c>
      <c r="D3236" s="8" t="s">
        <v>17371</v>
      </c>
      <c r="E3236" s="8" t="s">
        <v>17372</v>
      </c>
      <c r="F3236" s="8" t="s">
        <v>17359</v>
      </c>
      <c r="G3236" s="8" t="s">
        <v>17373</v>
      </c>
      <c r="H3236" s="8" t="s">
        <v>17374</v>
      </c>
      <c r="I3236" s="8" t="str">
        <f>HYPERLINK("http://www.frameslingerie.it/","www.frameslingerie.it")</f>
        <v>www.frameslingerie.it</v>
      </c>
      <c r="J3236" s="10">
        <v>701.58</v>
      </c>
      <c r="K3236" s="10">
        <v>701.58</v>
      </c>
      <c r="L3236" s="10">
        <v>831.72199999999998</v>
      </c>
      <c r="M3236" s="10">
        <v>20.623999999999999</v>
      </c>
      <c r="N3236" s="10">
        <v>20.623999999999999</v>
      </c>
      <c r="O3236" s="10">
        <v>13.331</v>
      </c>
      <c r="P3236" s="15" t="s">
        <v>17354</v>
      </c>
      <c r="Q3236" s="15" t="s">
        <v>17354</v>
      </c>
      <c r="R3236" s="10">
        <v>3</v>
      </c>
    </row>
    <row r="3237" spans="1:18" ht="17" customHeight="1" x14ac:dyDescent="0.15">
      <c r="A3237" s="11" t="s">
        <v>17375</v>
      </c>
      <c r="B3237" s="1" t="s">
        <v>17376</v>
      </c>
      <c r="C3237" s="11" t="s">
        <v>17377</v>
      </c>
      <c r="D3237" s="11" t="s">
        <v>17378</v>
      </c>
      <c r="E3237" s="11" t="s">
        <v>17379</v>
      </c>
      <c r="F3237" s="11" t="s">
        <v>17380</v>
      </c>
      <c r="G3237" s="11" t="s">
        <v>17381</v>
      </c>
      <c r="H3237" s="11" t="s">
        <v>17353</v>
      </c>
      <c r="I3237" s="11" t="str">
        <f>HYPERLINK("http://www.manifatturamarcal.it/","www.manifatturamarcal.it")</f>
        <v>www.manifatturamarcal.it</v>
      </c>
      <c r="J3237" s="12">
        <v>963.69299999999998</v>
      </c>
      <c r="K3237" s="12">
        <v>963.69299999999998</v>
      </c>
      <c r="L3237" s="13">
        <v>831.25</v>
      </c>
      <c r="M3237" s="12">
        <v>28.724</v>
      </c>
      <c r="N3237" s="12">
        <v>28.724</v>
      </c>
      <c r="O3237" s="12">
        <v>9.5299999999999994</v>
      </c>
      <c r="P3237" s="12">
        <v>0</v>
      </c>
      <c r="Q3237" s="12">
        <v>0</v>
      </c>
      <c r="R3237" s="12">
        <v>0</v>
      </c>
    </row>
    <row r="3238" spans="1:18" ht="17" customHeight="1" x14ac:dyDescent="0.15">
      <c r="A3238" s="8" t="s">
        <v>17382</v>
      </c>
      <c r="B3238" s="9" t="s">
        <v>17383</v>
      </c>
      <c r="C3238" s="8" t="s">
        <v>17384</v>
      </c>
      <c r="D3238" s="8" t="s">
        <v>17384</v>
      </c>
      <c r="E3238" s="8" t="s">
        <v>17385</v>
      </c>
      <c r="F3238" s="8" t="s">
        <v>17366</v>
      </c>
      <c r="G3238" s="8" t="s">
        <v>17386</v>
      </c>
      <c r="H3238" s="8" t="s">
        <v>17387</v>
      </c>
      <c r="I3238" s="8" t="str">
        <f>HYPERLINK("http://b2b.mydaymoda.com/","b2b.mydaymoda.com")</f>
        <v>b2b.mydaymoda.com</v>
      </c>
      <c r="J3238" s="10">
        <v>697.26099999999997</v>
      </c>
      <c r="K3238" s="10">
        <v>697.26099999999997</v>
      </c>
      <c r="L3238" s="10">
        <v>831.13900000000001</v>
      </c>
      <c r="M3238" s="10">
        <v>-28.175000000000001</v>
      </c>
      <c r="N3238" s="10">
        <v>-28.175000000000001</v>
      </c>
      <c r="O3238" s="10">
        <v>25.6</v>
      </c>
      <c r="P3238" s="15" t="s">
        <v>17354</v>
      </c>
      <c r="Q3238" s="15" t="s">
        <v>17354</v>
      </c>
      <c r="R3238" s="10">
        <v>5</v>
      </c>
    </row>
    <row r="3239" spans="1:18" ht="17" customHeight="1" x14ac:dyDescent="0.15">
      <c r="A3239" s="11" t="s">
        <v>17388</v>
      </c>
      <c r="B3239" s="1" t="s">
        <v>17389</v>
      </c>
      <c r="C3239" s="11" t="s">
        <v>17390</v>
      </c>
      <c r="D3239" s="11" t="s">
        <v>17390</v>
      </c>
      <c r="E3239" s="11" t="s">
        <v>17391</v>
      </c>
      <c r="F3239" s="11" t="s">
        <v>17392</v>
      </c>
      <c r="G3239" s="11" t="s">
        <v>17393</v>
      </c>
      <c r="H3239" s="11" t="s">
        <v>17394</v>
      </c>
      <c r="I3239" s="11" t="str">
        <f>HYPERLINK("http://www.duepax.com/","www.duepax.com")</f>
        <v>www.duepax.com</v>
      </c>
      <c r="J3239" s="12">
        <v>1398.576</v>
      </c>
      <c r="K3239" s="12">
        <v>1398.576</v>
      </c>
      <c r="L3239" s="13">
        <v>830.67</v>
      </c>
      <c r="M3239" s="12">
        <v>340.71800000000002</v>
      </c>
      <c r="N3239" s="12">
        <v>340.71800000000002</v>
      </c>
      <c r="O3239" s="12">
        <v>86.191000000000003</v>
      </c>
      <c r="P3239" s="14" t="s">
        <v>17354</v>
      </c>
      <c r="Q3239" s="14" t="s">
        <v>17354</v>
      </c>
      <c r="R3239" s="12">
        <v>10</v>
      </c>
    </row>
    <row r="3240" spans="1:18" ht="29.5" customHeight="1" x14ac:dyDescent="0.15">
      <c r="A3240" s="8" t="s">
        <v>17395</v>
      </c>
      <c r="B3240" s="9" t="s">
        <v>17396</v>
      </c>
      <c r="C3240" s="8" t="s">
        <v>17397</v>
      </c>
      <c r="D3240" s="8" t="s">
        <v>17397</v>
      </c>
      <c r="E3240" s="8" t="s">
        <v>17398</v>
      </c>
      <c r="F3240" s="8" t="s">
        <v>17399</v>
      </c>
      <c r="G3240" s="8" t="s">
        <v>17400</v>
      </c>
      <c r="H3240" s="8" t="s">
        <v>17394</v>
      </c>
      <c r="I3240" s="8" t="str">
        <f>HYPERLINK("http://www.solettificioguerrieri.com/","www.solettificioguerrieri.com")</f>
        <v>www.solettificioguerrieri.com</v>
      </c>
      <c r="J3240" s="10">
        <v>819.96100000000001</v>
      </c>
      <c r="K3240" s="10">
        <v>819.96100000000001</v>
      </c>
      <c r="L3240" s="10">
        <v>829.41399999999999</v>
      </c>
      <c r="M3240" s="10">
        <v>11.169</v>
      </c>
      <c r="N3240" s="10">
        <v>11.169</v>
      </c>
      <c r="O3240" s="10">
        <v>2.99</v>
      </c>
      <c r="P3240" s="10">
        <v>8</v>
      </c>
      <c r="Q3240" s="10">
        <v>8</v>
      </c>
      <c r="R3240" s="10">
        <v>8</v>
      </c>
    </row>
    <row r="3241" spans="1:18" ht="17" customHeight="1" x14ac:dyDescent="0.15">
      <c r="A3241" s="11" t="s">
        <v>17401</v>
      </c>
      <c r="B3241" s="1" t="s">
        <v>17402</v>
      </c>
      <c r="C3241" s="11" t="s">
        <v>17403</v>
      </c>
      <c r="D3241" s="11" t="s">
        <v>17403</v>
      </c>
      <c r="E3241" s="11" t="s">
        <v>17404</v>
      </c>
      <c r="F3241" s="11" t="s">
        <v>17351</v>
      </c>
      <c r="G3241" s="11" t="s">
        <v>17405</v>
      </c>
      <c r="H3241" s="11" t="s">
        <v>17406</v>
      </c>
      <c r="I3241" s="11" t="str">
        <f>HYPERLINK("http://genovamoda.it/","genovamoda.it")</f>
        <v>genovamoda.it</v>
      </c>
      <c r="J3241" s="12">
        <v>895</v>
      </c>
      <c r="K3241" s="12">
        <v>895</v>
      </c>
      <c r="L3241" s="13">
        <v>828</v>
      </c>
      <c r="M3241" s="12">
        <v>62.997999999999998</v>
      </c>
      <c r="N3241" s="12">
        <v>62.997999999999998</v>
      </c>
      <c r="O3241" s="12">
        <v>57.503999999999998</v>
      </c>
      <c r="P3241" s="12">
        <v>23</v>
      </c>
      <c r="Q3241" s="12">
        <v>23</v>
      </c>
      <c r="R3241" s="12">
        <v>22</v>
      </c>
    </row>
    <row r="3242" spans="1:18" ht="17" customHeight="1" x14ac:dyDescent="0.15">
      <c r="A3242" s="8" t="s">
        <v>17407</v>
      </c>
      <c r="B3242" s="9" t="s">
        <v>17408</v>
      </c>
      <c r="C3242" s="8" t="s">
        <v>17409</v>
      </c>
      <c r="D3242" s="8" t="s">
        <v>17409</v>
      </c>
      <c r="E3242" s="8" t="s">
        <v>17410</v>
      </c>
      <c r="F3242" s="8" t="s">
        <v>17366</v>
      </c>
      <c r="G3242" s="8" t="s">
        <v>17411</v>
      </c>
      <c r="H3242" s="8" t="s">
        <v>17412</v>
      </c>
      <c r="I3242" s="8" t="str">
        <f>HYPERLINK("http://www.reign.it/","www.reign.it")</f>
        <v>www.reign.it</v>
      </c>
      <c r="J3242" s="10">
        <v>1204.4949999999999</v>
      </c>
      <c r="K3242" s="10">
        <v>1204.4949999999999</v>
      </c>
      <c r="L3242" s="10">
        <v>827.89</v>
      </c>
      <c r="M3242" s="10">
        <v>1.5069999999999999</v>
      </c>
      <c r="N3242" s="10">
        <v>1.5069999999999999</v>
      </c>
      <c r="O3242" s="10">
        <v>-67.245999999999995</v>
      </c>
      <c r="P3242" s="10">
        <v>3</v>
      </c>
      <c r="Q3242" s="10">
        <v>3</v>
      </c>
      <c r="R3242" s="10">
        <v>4</v>
      </c>
    </row>
    <row r="3243" spans="1:18" ht="17" customHeight="1" x14ac:dyDescent="0.15">
      <c r="A3243" s="11" t="s">
        <v>17413</v>
      </c>
      <c r="B3243" s="1" t="s">
        <v>17414</v>
      </c>
      <c r="C3243" s="11" t="s">
        <v>17415</v>
      </c>
      <c r="D3243" s="11" t="s">
        <v>17415</v>
      </c>
      <c r="E3243" s="11" t="s">
        <v>17416</v>
      </c>
      <c r="F3243" s="11" t="s">
        <v>17366</v>
      </c>
      <c r="G3243" s="11" t="s">
        <v>17367</v>
      </c>
      <c r="H3243" s="11" t="s">
        <v>17368</v>
      </c>
      <c r="I3243" s="11" t="str">
        <f>HYPERLINK("http://mauroblasi.it/","mauroblasi.it")</f>
        <v>mauroblasi.it</v>
      </c>
      <c r="J3243" s="12">
        <v>900.81500000000005</v>
      </c>
      <c r="K3243" s="12">
        <v>900.81500000000005</v>
      </c>
      <c r="L3243" s="13">
        <v>827.05700000000002</v>
      </c>
      <c r="M3243" s="12">
        <v>23.602</v>
      </c>
      <c r="N3243" s="12">
        <v>23.602</v>
      </c>
      <c r="O3243" s="12">
        <v>21.481000000000002</v>
      </c>
      <c r="P3243" s="12">
        <v>3</v>
      </c>
      <c r="Q3243" s="12">
        <v>3</v>
      </c>
      <c r="R3243" s="12">
        <v>2</v>
      </c>
    </row>
    <row r="3244" spans="1:18" ht="17" customHeight="1" x14ac:dyDescent="0.15">
      <c r="A3244" s="8" t="s">
        <v>17417</v>
      </c>
      <c r="B3244" s="9" t="s">
        <v>17418</v>
      </c>
      <c r="C3244" s="8" t="s">
        <v>17419</v>
      </c>
      <c r="D3244" s="8" t="s">
        <v>17419</v>
      </c>
      <c r="E3244" s="8" t="s">
        <v>17420</v>
      </c>
      <c r="F3244" s="8" t="s">
        <v>17351</v>
      </c>
      <c r="G3244" s="8" t="s">
        <v>17421</v>
      </c>
      <c r="H3244" s="8" t="s">
        <v>17387</v>
      </c>
      <c r="I3244" s="8" t="str">
        <f>HYPERLINK("http://www.galleranifranca.com/","www.galleranifranca.com")</f>
        <v>www.galleranifranca.com</v>
      </c>
      <c r="J3244" s="10">
        <v>550.09199999999998</v>
      </c>
      <c r="K3244" s="10">
        <v>550.09199999999998</v>
      </c>
      <c r="L3244" s="10">
        <v>827.00599999999997</v>
      </c>
      <c r="M3244" s="10">
        <v>-16.068999999999999</v>
      </c>
      <c r="N3244" s="10">
        <v>-16.068999999999999</v>
      </c>
      <c r="O3244" s="10">
        <v>0.80200000000000005</v>
      </c>
      <c r="P3244" s="15" t="s">
        <v>17354</v>
      </c>
      <c r="Q3244" s="15" t="s">
        <v>17354</v>
      </c>
      <c r="R3244" s="10">
        <v>4</v>
      </c>
    </row>
    <row r="3245" spans="1:18" ht="17" customHeight="1" x14ac:dyDescent="0.15">
      <c r="A3245" s="11" t="s">
        <v>17422</v>
      </c>
      <c r="B3245" s="1" t="s">
        <v>17423</v>
      </c>
      <c r="C3245" s="11" t="s">
        <v>17424</v>
      </c>
      <c r="D3245" s="11" t="s">
        <v>17424</v>
      </c>
      <c r="E3245" s="11" t="s">
        <v>17425</v>
      </c>
      <c r="F3245" s="11" t="s">
        <v>17426</v>
      </c>
      <c r="G3245" s="11" t="s">
        <v>17427</v>
      </c>
      <c r="H3245" s="11" t="s">
        <v>17412</v>
      </c>
      <c r="I3245" s="11" t="str">
        <f>HYPERLINK("http://www.delsa.it/","www.delsa.it")</f>
        <v>www.delsa.it</v>
      </c>
      <c r="J3245" s="12">
        <v>637.63599999999997</v>
      </c>
      <c r="K3245" s="12">
        <v>637.63599999999997</v>
      </c>
      <c r="L3245" s="13">
        <v>825.97199999999998</v>
      </c>
      <c r="M3245" s="12">
        <v>-1100.721</v>
      </c>
      <c r="N3245" s="12">
        <v>-1100.721</v>
      </c>
      <c r="O3245" s="12">
        <v>68.001999999999995</v>
      </c>
      <c r="P3245" s="12">
        <v>12</v>
      </c>
      <c r="Q3245" s="12">
        <v>12</v>
      </c>
      <c r="R3245" s="12">
        <v>12</v>
      </c>
    </row>
    <row r="3246" spans="1:18" ht="17" customHeight="1" x14ac:dyDescent="0.15">
      <c r="A3246" s="8" t="s">
        <v>17428</v>
      </c>
      <c r="B3246" s="9" t="s">
        <v>17429</v>
      </c>
      <c r="C3246" s="8" t="s">
        <v>17430</v>
      </c>
      <c r="D3246" s="8" t="s">
        <v>17430</v>
      </c>
      <c r="E3246" s="8" t="s">
        <v>17431</v>
      </c>
      <c r="F3246" s="8" t="s">
        <v>17432</v>
      </c>
      <c r="G3246" s="8" t="s">
        <v>17433</v>
      </c>
      <c r="H3246" s="8" t="s">
        <v>17387</v>
      </c>
      <c r="I3246" s="8" t="str">
        <f>HYPERLINK("http://sartoriacrescentini.it/","sartoriacrescentini.it")</f>
        <v>sartoriacrescentini.it</v>
      </c>
      <c r="J3246" s="10">
        <v>857.55399999999997</v>
      </c>
      <c r="K3246" s="10">
        <v>857.55399999999997</v>
      </c>
      <c r="L3246" s="10">
        <v>824.25599999999997</v>
      </c>
      <c r="M3246" s="10">
        <v>127.515</v>
      </c>
      <c r="N3246" s="10">
        <v>127.515</v>
      </c>
      <c r="O3246" s="10">
        <v>124.819</v>
      </c>
      <c r="P3246" s="15" t="s">
        <v>17354</v>
      </c>
      <c r="Q3246" s="15" t="s">
        <v>17354</v>
      </c>
      <c r="R3246" s="10">
        <v>13</v>
      </c>
    </row>
    <row r="3247" spans="1:18" ht="17" customHeight="1" x14ac:dyDescent="0.15">
      <c r="A3247" s="11" t="s">
        <v>17434</v>
      </c>
      <c r="B3247" s="1" t="s">
        <v>17435</v>
      </c>
      <c r="C3247" s="11" t="s">
        <v>17436</v>
      </c>
      <c r="D3247" s="11" t="s">
        <v>17436</v>
      </c>
      <c r="E3247" s="11" t="s">
        <v>17437</v>
      </c>
      <c r="F3247" s="11" t="s">
        <v>17366</v>
      </c>
      <c r="G3247" s="11" t="s">
        <v>17367</v>
      </c>
      <c r="H3247" s="11" t="s">
        <v>17368</v>
      </c>
      <c r="I3247" s="11" t="str">
        <f>HYPERLINK("http://www.bartin.it/","www.bartin.it")</f>
        <v>www.bartin.it</v>
      </c>
      <c r="J3247" s="12">
        <v>803.52099999999996</v>
      </c>
      <c r="K3247" s="12">
        <v>803.52099999999996</v>
      </c>
      <c r="L3247" s="13">
        <v>823.49599999999998</v>
      </c>
      <c r="M3247" s="12">
        <v>6.6260000000000003</v>
      </c>
      <c r="N3247" s="12">
        <v>6.6260000000000003</v>
      </c>
      <c r="O3247" s="12">
        <v>8.5950000000000006</v>
      </c>
      <c r="P3247" s="14" t="s">
        <v>17354</v>
      </c>
      <c r="Q3247" s="14" t="s">
        <v>17354</v>
      </c>
      <c r="R3247" s="14" t="s">
        <v>17354</v>
      </c>
    </row>
    <row r="3248" spans="1:18" ht="17" customHeight="1" x14ac:dyDescent="0.15">
      <c r="A3248" s="8" t="s">
        <v>17438</v>
      </c>
      <c r="B3248" s="9" t="s">
        <v>17439</v>
      </c>
      <c r="C3248" s="8" t="s">
        <v>17440</v>
      </c>
      <c r="D3248" s="8" t="s">
        <v>17440</v>
      </c>
      <c r="E3248" s="8" t="s">
        <v>17441</v>
      </c>
      <c r="F3248" s="8" t="s">
        <v>17392</v>
      </c>
      <c r="G3248" s="8" t="s">
        <v>17367</v>
      </c>
      <c r="H3248" s="8" t="s">
        <v>17368</v>
      </c>
      <c r="I3248" s="8" t="str">
        <f>HYPERLINK("http://www.pelletteriaesposito.it/","http://www.pelletteriaesposito.it")</f>
        <v>http://www.pelletteriaesposito.it</v>
      </c>
      <c r="J3248" s="10">
        <v>1769.2460000000001</v>
      </c>
      <c r="K3248" s="10">
        <v>1769.2460000000001</v>
      </c>
      <c r="L3248" s="10">
        <v>820.78700000000003</v>
      </c>
      <c r="M3248" s="10">
        <v>11.148</v>
      </c>
      <c r="N3248" s="10">
        <v>11.148</v>
      </c>
      <c r="O3248" s="10">
        <v>8.6389999999999993</v>
      </c>
      <c r="P3248" s="15" t="s">
        <v>17354</v>
      </c>
      <c r="Q3248" s="15" t="s">
        <v>17354</v>
      </c>
      <c r="R3248" s="10">
        <v>18</v>
      </c>
    </row>
    <row r="3249" spans="1:18" ht="17" customHeight="1" x14ac:dyDescent="0.15">
      <c r="A3249" s="11" t="s">
        <v>17442</v>
      </c>
      <c r="B3249" s="1" t="s">
        <v>17443</v>
      </c>
      <c r="C3249" s="11" t="s">
        <v>17444</v>
      </c>
      <c r="D3249" s="11" t="s">
        <v>17444</v>
      </c>
      <c r="E3249" s="11" t="s">
        <v>17445</v>
      </c>
      <c r="F3249" s="11" t="s">
        <v>17446</v>
      </c>
      <c r="G3249" s="11" t="s">
        <v>17447</v>
      </c>
      <c r="H3249" s="11" t="s">
        <v>17448</v>
      </c>
      <c r="I3249" s="11" t="str">
        <f>HYPERLINK("http://oneglove.it/","oneglove.it")</f>
        <v>oneglove.it</v>
      </c>
      <c r="J3249" s="12">
        <v>818.69399999999996</v>
      </c>
      <c r="K3249" s="14" t="s">
        <v>17354</v>
      </c>
      <c r="L3249" s="13">
        <v>818.69399999999996</v>
      </c>
      <c r="M3249" s="12">
        <v>40.191000000000003</v>
      </c>
      <c r="N3249" s="14" t="s">
        <v>17354</v>
      </c>
      <c r="O3249" s="12">
        <v>40.191000000000003</v>
      </c>
      <c r="P3249" s="12">
        <v>6</v>
      </c>
      <c r="Q3249" s="14" t="s">
        <v>17354</v>
      </c>
      <c r="R3249" s="12">
        <v>6</v>
      </c>
    </row>
    <row r="3250" spans="1:18" ht="17" customHeight="1" x14ac:dyDescent="0.15">
      <c r="A3250" s="8" t="s">
        <v>17449</v>
      </c>
      <c r="B3250" s="9" t="s">
        <v>17450</v>
      </c>
      <c r="C3250" s="8" t="s">
        <v>17451</v>
      </c>
      <c r="D3250" s="8" t="s">
        <v>17451</v>
      </c>
      <c r="E3250" s="8" t="s">
        <v>17452</v>
      </c>
      <c r="F3250" s="8" t="s">
        <v>17453</v>
      </c>
      <c r="G3250" s="8" t="s">
        <v>17454</v>
      </c>
      <c r="H3250" s="8" t="s">
        <v>17368</v>
      </c>
      <c r="I3250" s="8" t="str">
        <f>HYPERLINK("http://www.traustore.it/","www.traustore.it")</f>
        <v>www.traustore.it</v>
      </c>
      <c r="J3250" s="10">
        <v>856.18799999999999</v>
      </c>
      <c r="K3250" s="10">
        <v>796.71</v>
      </c>
      <c r="L3250" s="10">
        <v>816.625</v>
      </c>
      <c r="M3250" s="10">
        <v>70.042000000000002</v>
      </c>
      <c r="N3250" s="10">
        <v>15.291</v>
      </c>
      <c r="O3250" s="10">
        <v>29.498000000000001</v>
      </c>
      <c r="P3250" s="15" t="s">
        <v>17354</v>
      </c>
      <c r="Q3250" s="15" t="s">
        <v>17354</v>
      </c>
      <c r="R3250" s="10">
        <v>13</v>
      </c>
    </row>
    <row r="3251" spans="1:18" ht="17" customHeight="1" x14ac:dyDescent="0.15">
      <c r="A3251" s="11" t="s">
        <v>17455</v>
      </c>
      <c r="B3251" s="1" t="s">
        <v>17456</v>
      </c>
      <c r="C3251" s="11" t="s">
        <v>17457</v>
      </c>
      <c r="D3251" s="11" t="s">
        <v>17457</v>
      </c>
      <c r="E3251" s="11" t="s">
        <v>17458</v>
      </c>
      <c r="F3251" s="11" t="s">
        <v>17366</v>
      </c>
      <c r="G3251" s="11" t="s">
        <v>17459</v>
      </c>
      <c r="H3251" s="11" t="s">
        <v>17448</v>
      </c>
      <c r="I3251" s="11" t="str">
        <f>HYPERLINK("http://www.sartoriacavour.it/","www.sartoriacavour.it")</f>
        <v>www.sartoriacavour.it</v>
      </c>
      <c r="J3251" s="12">
        <v>1125.1479999999999</v>
      </c>
      <c r="K3251" s="12">
        <v>1125.1479999999999</v>
      </c>
      <c r="L3251" s="13">
        <v>815.78399999999999</v>
      </c>
      <c r="M3251" s="12">
        <v>158.792</v>
      </c>
      <c r="N3251" s="12">
        <v>158.792</v>
      </c>
      <c r="O3251" s="12">
        <v>-62.426000000000002</v>
      </c>
      <c r="P3251" s="12">
        <v>26</v>
      </c>
      <c r="Q3251" s="12">
        <v>26</v>
      </c>
      <c r="R3251" s="12">
        <v>16</v>
      </c>
    </row>
    <row r="3252" spans="1:18" ht="17" customHeight="1" x14ac:dyDescent="0.15">
      <c r="A3252" s="8" t="s">
        <v>17460</v>
      </c>
      <c r="B3252" s="9" t="s">
        <v>17461</v>
      </c>
      <c r="C3252" s="8" t="s">
        <v>17462</v>
      </c>
      <c r="D3252" s="8" t="s">
        <v>17462</v>
      </c>
      <c r="E3252" s="8" t="s">
        <v>17463</v>
      </c>
      <c r="F3252" s="8" t="s">
        <v>17392</v>
      </c>
      <c r="G3252" s="8" t="s">
        <v>17464</v>
      </c>
      <c r="H3252" s="8" t="s">
        <v>17412</v>
      </c>
      <c r="I3252" s="8" t="str">
        <f>HYPERLINK("http://www.carlosalvatelli.com/","www.carlosalvatelli.com")</f>
        <v>www.carlosalvatelli.com</v>
      </c>
      <c r="J3252" s="10">
        <v>838.23500000000001</v>
      </c>
      <c r="K3252" s="10">
        <v>838.23500000000001</v>
      </c>
      <c r="L3252" s="10">
        <v>813.43899999999996</v>
      </c>
      <c r="M3252" s="10">
        <v>3.2839999999999998</v>
      </c>
      <c r="N3252" s="10">
        <v>3.2839999999999998</v>
      </c>
      <c r="O3252" s="10">
        <v>2.0070000000000001</v>
      </c>
      <c r="P3252" s="10">
        <v>3</v>
      </c>
      <c r="Q3252" s="10">
        <v>3</v>
      </c>
      <c r="R3252" s="10">
        <v>3</v>
      </c>
    </row>
    <row r="3253" spans="1:18" ht="17" customHeight="1" x14ac:dyDescent="0.15">
      <c r="A3253" s="11" t="s">
        <v>17465</v>
      </c>
      <c r="B3253" s="1" t="s">
        <v>17466</v>
      </c>
      <c r="C3253" s="11" t="s">
        <v>17467</v>
      </c>
      <c r="D3253" s="11" t="s">
        <v>17467</v>
      </c>
      <c r="E3253" s="11" t="s">
        <v>17468</v>
      </c>
      <c r="F3253" s="11" t="s">
        <v>17469</v>
      </c>
      <c r="G3253" s="11" t="s">
        <v>17470</v>
      </c>
      <c r="H3253" s="11" t="s">
        <v>17368</v>
      </c>
      <c r="I3253" s="11" t="str">
        <f>HYPERLINK("http://dmties.italianmoda.com/","dmties.italianmoda.com")</f>
        <v>dmties.italianmoda.com</v>
      </c>
      <c r="J3253" s="12">
        <v>684.72799999999995</v>
      </c>
      <c r="K3253" s="12">
        <v>684.72799999999995</v>
      </c>
      <c r="L3253" s="13">
        <v>811.98199999999997</v>
      </c>
      <c r="M3253" s="12">
        <v>0.36099999999999999</v>
      </c>
      <c r="N3253" s="12">
        <v>0.36099999999999999</v>
      </c>
      <c r="O3253" s="12">
        <v>7.0650000000000004</v>
      </c>
      <c r="P3253" s="12">
        <v>21</v>
      </c>
      <c r="Q3253" s="12">
        <v>21</v>
      </c>
      <c r="R3253" s="12">
        <v>20</v>
      </c>
    </row>
    <row r="3254" spans="1:18" ht="17" customHeight="1" x14ac:dyDescent="0.15">
      <c r="A3254" s="8" t="s">
        <v>17471</v>
      </c>
      <c r="B3254" s="9" t="s">
        <v>17472</v>
      </c>
      <c r="C3254" s="8" t="s">
        <v>17473</v>
      </c>
      <c r="D3254" s="8" t="s">
        <v>17473</v>
      </c>
      <c r="E3254" s="8" t="s">
        <v>17474</v>
      </c>
      <c r="F3254" s="8" t="s">
        <v>17392</v>
      </c>
      <c r="G3254" s="8" t="s">
        <v>17400</v>
      </c>
      <c r="H3254" s="8" t="s">
        <v>17394</v>
      </c>
      <c r="I3254" s="8" t="str">
        <f>HYPERLINK("http://www.reartufirenze.it/","www.reartufirenze.it")</f>
        <v>www.reartufirenze.it</v>
      </c>
      <c r="J3254" s="10">
        <v>402.99799999999999</v>
      </c>
      <c r="K3254" s="10">
        <v>402.99799999999999</v>
      </c>
      <c r="L3254" s="10">
        <v>809.80799999999999</v>
      </c>
      <c r="M3254" s="10">
        <v>-166.22800000000001</v>
      </c>
      <c r="N3254" s="10">
        <v>-166.22800000000001</v>
      </c>
      <c r="O3254" s="10">
        <v>38.762999999999998</v>
      </c>
      <c r="P3254" s="10">
        <v>7</v>
      </c>
      <c r="Q3254" s="10">
        <v>7</v>
      </c>
      <c r="R3254" s="10">
        <v>7</v>
      </c>
    </row>
    <row r="3255" spans="1:18" ht="17" customHeight="1" x14ac:dyDescent="0.15">
      <c r="A3255" s="11" t="s">
        <v>17475</v>
      </c>
      <c r="B3255" s="1" t="s">
        <v>17476</v>
      </c>
      <c r="C3255" s="11" t="s">
        <v>17477</v>
      </c>
      <c r="D3255" s="11" t="s">
        <v>17477</v>
      </c>
      <c r="E3255" s="11" t="s">
        <v>17478</v>
      </c>
      <c r="F3255" s="11" t="s">
        <v>17479</v>
      </c>
      <c r="G3255" s="11" t="s">
        <v>17421</v>
      </c>
      <c r="H3255" s="11" t="s">
        <v>17387</v>
      </c>
      <c r="I3255" s="11" t="str">
        <f>HYPERLINK("http://www.colva.it/","www.colva.it")</f>
        <v>www.colva.it</v>
      </c>
      <c r="J3255" s="12">
        <v>801.93600000000004</v>
      </c>
      <c r="K3255" s="12">
        <v>801.93600000000004</v>
      </c>
      <c r="L3255" s="13">
        <v>808.37</v>
      </c>
      <c r="M3255" s="12">
        <v>185.21600000000001</v>
      </c>
      <c r="N3255" s="12">
        <v>185.21600000000001</v>
      </c>
      <c r="O3255" s="12">
        <v>104.38200000000001</v>
      </c>
      <c r="P3255" s="12">
        <v>4</v>
      </c>
      <c r="Q3255" s="12">
        <v>4</v>
      </c>
      <c r="R3255" s="12">
        <v>4</v>
      </c>
    </row>
    <row r="3256" spans="1:18" ht="17" customHeight="1" x14ac:dyDescent="0.15">
      <c r="A3256" s="8" t="s">
        <v>17480</v>
      </c>
      <c r="B3256" s="9" t="s">
        <v>17481</v>
      </c>
      <c r="C3256" s="8" t="s">
        <v>17482</v>
      </c>
      <c r="D3256" s="8" t="s">
        <v>17482</v>
      </c>
      <c r="E3256" s="8" t="s">
        <v>17483</v>
      </c>
      <c r="F3256" s="8" t="s">
        <v>17432</v>
      </c>
      <c r="G3256" s="8" t="s">
        <v>17367</v>
      </c>
      <c r="H3256" s="8" t="s">
        <v>17368</v>
      </c>
      <c r="I3256" s="8" t="str">
        <f>HYPERLINK("http://www.sartoriadalcuore.com/","www.sartoriadalcuore.com")</f>
        <v>www.sartoriadalcuore.com</v>
      </c>
      <c r="J3256" s="10">
        <v>785.971</v>
      </c>
      <c r="K3256" s="10">
        <v>785.971</v>
      </c>
      <c r="L3256" s="10">
        <v>807.15899999999999</v>
      </c>
      <c r="M3256" s="10">
        <v>-29.855</v>
      </c>
      <c r="N3256" s="10">
        <v>-29.855</v>
      </c>
      <c r="O3256" s="10">
        <v>8.0090000000000003</v>
      </c>
      <c r="P3256" s="10">
        <v>7</v>
      </c>
      <c r="Q3256" s="10">
        <v>7</v>
      </c>
      <c r="R3256" s="10">
        <v>13</v>
      </c>
    </row>
    <row r="3257" spans="1:18" ht="29.5" customHeight="1" x14ac:dyDescent="0.15">
      <c r="A3257" s="11" t="s">
        <v>17484</v>
      </c>
      <c r="B3257" s="1" t="s">
        <v>17485</v>
      </c>
      <c r="C3257" s="11" t="s">
        <v>17486</v>
      </c>
      <c r="D3257" s="11" t="s">
        <v>17486</v>
      </c>
      <c r="E3257" s="11" t="s">
        <v>17487</v>
      </c>
      <c r="F3257" s="11" t="s">
        <v>17469</v>
      </c>
      <c r="G3257" s="11" t="s">
        <v>17367</v>
      </c>
      <c r="H3257" s="11" t="s">
        <v>17368</v>
      </c>
      <c r="I3257" s="11" t="str">
        <f>HYPERLINK("http://galagloves.it/","galagloves.it")</f>
        <v>galagloves.it</v>
      </c>
      <c r="J3257" s="12">
        <v>690.60900000000004</v>
      </c>
      <c r="K3257" s="12">
        <v>690.60900000000004</v>
      </c>
      <c r="L3257" s="13">
        <v>806.75800000000004</v>
      </c>
      <c r="M3257" s="12">
        <v>27.196000000000002</v>
      </c>
      <c r="N3257" s="12">
        <v>27.196000000000002</v>
      </c>
      <c r="O3257" s="12">
        <v>41.136000000000003</v>
      </c>
      <c r="P3257" s="14" t="s">
        <v>17354</v>
      </c>
      <c r="Q3257" s="14" t="s">
        <v>17354</v>
      </c>
      <c r="R3257" s="12">
        <v>8</v>
      </c>
    </row>
    <row r="3258" spans="1:18" ht="43" customHeight="1" x14ac:dyDescent="0.15">
      <c r="A3258" s="8" t="s">
        <v>17488</v>
      </c>
      <c r="B3258" s="9" t="s">
        <v>17489</v>
      </c>
      <c r="C3258" s="8" t="s">
        <v>17490</v>
      </c>
      <c r="D3258" s="8" t="s">
        <v>17490</v>
      </c>
      <c r="E3258" s="8" t="s">
        <v>17491</v>
      </c>
      <c r="F3258" s="8" t="s">
        <v>17469</v>
      </c>
      <c r="G3258" s="8" t="s">
        <v>17373</v>
      </c>
      <c r="H3258" s="8" t="s">
        <v>17374</v>
      </c>
      <c r="I3258" s="8" t="str">
        <f>HYPERLINK("http://www.gjia.it/","www.gjia.it")</f>
        <v>www.gjia.it</v>
      </c>
      <c r="J3258" s="10">
        <v>1238.806</v>
      </c>
      <c r="K3258" s="10">
        <v>1238.806</v>
      </c>
      <c r="L3258" s="10">
        <v>805.70399999999995</v>
      </c>
      <c r="M3258" s="10">
        <v>3.278</v>
      </c>
      <c r="N3258" s="10">
        <v>3.278</v>
      </c>
      <c r="O3258" s="10">
        <v>61.015000000000001</v>
      </c>
      <c r="P3258" s="10">
        <v>8</v>
      </c>
      <c r="Q3258" s="10">
        <v>8</v>
      </c>
      <c r="R3258" s="10">
        <v>7</v>
      </c>
    </row>
    <row r="3259" spans="1:18" ht="17" customHeight="1" x14ac:dyDescent="0.15">
      <c r="A3259" s="11" t="s">
        <v>17492</v>
      </c>
      <c r="B3259" s="1" t="s">
        <v>17493</v>
      </c>
      <c r="C3259" s="11" t="s">
        <v>17494</v>
      </c>
      <c r="D3259" s="11" t="s">
        <v>17494</v>
      </c>
      <c r="E3259" s="11" t="s">
        <v>17495</v>
      </c>
      <c r="F3259" s="11" t="s">
        <v>17469</v>
      </c>
      <c r="G3259" s="11" t="s">
        <v>17400</v>
      </c>
      <c r="H3259" s="11" t="s">
        <v>17394</v>
      </c>
      <c r="I3259" s="11" t="str">
        <f>HYPERLINK("http://www.bettinifirenze.com/","www.bettinifirenze.com")</f>
        <v>www.bettinifirenze.com</v>
      </c>
      <c r="J3259" s="12">
        <v>592.19399999999996</v>
      </c>
      <c r="K3259" s="12">
        <v>592.19399999999996</v>
      </c>
      <c r="L3259" s="13">
        <v>804.19899999999996</v>
      </c>
      <c r="M3259" s="12">
        <v>-126.15</v>
      </c>
      <c r="N3259" s="12">
        <v>-126.15</v>
      </c>
      <c r="O3259" s="12">
        <v>-46.094000000000001</v>
      </c>
      <c r="P3259" s="14" t="s">
        <v>17354</v>
      </c>
      <c r="Q3259" s="14" t="s">
        <v>17354</v>
      </c>
      <c r="R3259" s="12">
        <v>7</v>
      </c>
    </row>
    <row r="3260" spans="1:18" ht="29.5" customHeight="1" x14ac:dyDescent="0.15">
      <c r="A3260" s="8" t="s">
        <v>17496</v>
      </c>
      <c r="B3260" s="9" t="s">
        <v>17497</v>
      </c>
      <c r="C3260" s="8" t="s">
        <v>17498</v>
      </c>
      <c r="D3260" s="8" t="s">
        <v>17498</v>
      </c>
      <c r="E3260" s="8" t="s">
        <v>17499</v>
      </c>
      <c r="F3260" s="8" t="s">
        <v>17500</v>
      </c>
      <c r="G3260" s="8" t="s">
        <v>17373</v>
      </c>
      <c r="H3260" s="8" t="s">
        <v>17374</v>
      </c>
      <c r="I3260" s="8" t="str">
        <f>HYPERLINK("http://nicam.it/","nicam.it")</f>
        <v>nicam.it</v>
      </c>
      <c r="J3260" s="10">
        <v>543.38499999999999</v>
      </c>
      <c r="K3260" s="10">
        <v>543.38499999999999</v>
      </c>
      <c r="L3260" s="10">
        <v>804.12599999999998</v>
      </c>
      <c r="M3260" s="10">
        <v>-62.115000000000002</v>
      </c>
      <c r="N3260" s="10">
        <v>-62.115000000000002</v>
      </c>
      <c r="O3260" s="10">
        <v>-68.103999999999999</v>
      </c>
      <c r="P3260" s="15" t="s">
        <v>17354</v>
      </c>
      <c r="Q3260" s="15" t="s">
        <v>17354</v>
      </c>
      <c r="R3260" s="10">
        <v>18</v>
      </c>
    </row>
    <row r="3261" spans="1:18" ht="43" customHeight="1" x14ac:dyDescent="0.15">
      <c r="A3261" s="11" t="s">
        <v>17501</v>
      </c>
      <c r="B3261" s="1" t="s">
        <v>17502</v>
      </c>
      <c r="C3261" s="11" t="s">
        <v>17503</v>
      </c>
      <c r="D3261" s="11" t="s">
        <v>17503</v>
      </c>
      <c r="E3261" s="11" t="s">
        <v>17504</v>
      </c>
      <c r="F3261" s="11" t="s">
        <v>17500</v>
      </c>
      <c r="G3261" s="11" t="s">
        <v>17505</v>
      </c>
      <c r="H3261" s="11" t="s">
        <v>17374</v>
      </c>
      <c r="I3261" s="11" t="str">
        <f>HYPERLINK("http://www.lesalentine.com/","www.lesalentine.com")</f>
        <v>www.lesalentine.com</v>
      </c>
      <c r="J3261" s="12">
        <v>826.13400000000001</v>
      </c>
      <c r="K3261" s="12">
        <v>826.13400000000001</v>
      </c>
      <c r="L3261" s="13">
        <v>803.41899999999998</v>
      </c>
      <c r="M3261" s="12">
        <v>81.52</v>
      </c>
      <c r="N3261" s="12">
        <v>81.52</v>
      </c>
      <c r="O3261" s="12">
        <v>72.542000000000002</v>
      </c>
      <c r="P3261" s="12">
        <v>8</v>
      </c>
      <c r="Q3261" s="12">
        <v>8</v>
      </c>
      <c r="R3261" s="12">
        <v>8</v>
      </c>
    </row>
    <row r="3262" spans="1:18" ht="17" customHeight="1" x14ac:dyDescent="0.15">
      <c r="A3262" s="8" t="s">
        <v>17506</v>
      </c>
      <c r="B3262" s="9" t="s">
        <v>17507</v>
      </c>
      <c r="C3262" s="8" t="s">
        <v>17508</v>
      </c>
      <c r="D3262" s="8" t="s">
        <v>17508</v>
      </c>
      <c r="E3262" s="8" t="s">
        <v>17509</v>
      </c>
      <c r="F3262" s="8" t="s">
        <v>17469</v>
      </c>
      <c r="G3262" s="8" t="s">
        <v>17427</v>
      </c>
      <c r="H3262" s="8" t="s">
        <v>17412</v>
      </c>
      <c r="I3262" s="8" t="str">
        <f>HYPERLINK("http://newland.it/","newland.it")</f>
        <v>newland.it</v>
      </c>
      <c r="J3262" s="10">
        <v>823.30600000000004</v>
      </c>
      <c r="K3262" s="10">
        <v>823.30600000000004</v>
      </c>
      <c r="L3262" s="10">
        <v>803.02300000000002</v>
      </c>
      <c r="M3262" s="10">
        <v>-50.345999999999997</v>
      </c>
      <c r="N3262" s="10">
        <v>-50.345999999999997</v>
      </c>
      <c r="O3262" s="10">
        <v>2.8740000000000001</v>
      </c>
      <c r="P3262" s="10">
        <v>7</v>
      </c>
      <c r="Q3262" s="10">
        <v>7</v>
      </c>
      <c r="R3262" s="10">
        <v>9</v>
      </c>
    </row>
    <row r="3263" spans="1:18" ht="17" customHeight="1" x14ac:dyDescent="0.15">
      <c r="A3263" s="11" t="s">
        <v>17510</v>
      </c>
      <c r="B3263" s="1" t="s">
        <v>17511</v>
      </c>
      <c r="C3263" s="11" t="s">
        <v>17512</v>
      </c>
      <c r="D3263" s="11" t="s">
        <v>17512</v>
      </c>
      <c r="E3263" s="11" t="s">
        <v>17513</v>
      </c>
      <c r="F3263" s="11" t="s">
        <v>17500</v>
      </c>
      <c r="G3263" s="11" t="s">
        <v>17367</v>
      </c>
      <c r="H3263" s="11" t="s">
        <v>17368</v>
      </c>
      <c r="I3263" s="11" t="str">
        <f>HYPERLINK("http://shop.lidmag.it/","shop.lidmag.it")</f>
        <v>shop.lidmag.it</v>
      </c>
      <c r="J3263" s="12">
        <v>969.255</v>
      </c>
      <c r="K3263" s="12">
        <v>969.255</v>
      </c>
      <c r="L3263" s="13">
        <v>802.71299999999997</v>
      </c>
      <c r="M3263" s="12">
        <v>34.241</v>
      </c>
      <c r="N3263" s="12">
        <v>34.241</v>
      </c>
      <c r="O3263" s="12">
        <v>5.8129999999999997</v>
      </c>
      <c r="P3263" s="12">
        <v>12</v>
      </c>
      <c r="Q3263" s="12">
        <v>12</v>
      </c>
      <c r="R3263" s="12">
        <v>14</v>
      </c>
    </row>
    <row r="3264" spans="1:18" ht="17" customHeight="1" x14ac:dyDescent="0.15">
      <c r="A3264" s="8" t="s">
        <v>17514</v>
      </c>
      <c r="B3264" s="9" t="s">
        <v>17515</v>
      </c>
      <c r="C3264" s="8" t="s">
        <v>17516</v>
      </c>
      <c r="D3264" s="8" t="s">
        <v>17516</v>
      </c>
      <c r="E3264" s="8" t="s">
        <v>17517</v>
      </c>
      <c r="F3264" s="8" t="s">
        <v>17518</v>
      </c>
      <c r="G3264" s="8" t="s">
        <v>17427</v>
      </c>
      <c r="H3264" s="8" t="s">
        <v>17412</v>
      </c>
      <c r="I3264" s="8" t="str">
        <f>HYPERLINK("http://kauteli.it/","kauteli.it")</f>
        <v>kauteli.it</v>
      </c>
      <c r="J3264" s="10">
        <v>903.55700000000002</v>
      </c>
      <c r="K3264" s="10">
        <v>903.55700000000002</v>
      </c>
      <c r="L3264" s="10">
        <v>802.3</v>
      </c>
      <c r="M3264" s="10">
        <v>33.630000000000003</v>
      </c>
      <c r="N3264" s="10">
        <v>33.630000000000003</v>
      </c>
      <c r="O3264" s="10">
        <v>35.728999999999999</v>
      </c>
      <c r="P3264" s="10">
        <v>12</v>
      </c>
      <c r="Q3264" s="10">
        <v>12</v>
      </c>
      <c r="R3264" s="10">
        <v>7</v>
      </c>
    </row>
    <row r="3265" spans="1:18" ht="29.5" customHeight="1" x14ac:dyDescent="0.15">
      <c r="A3265" s="11" t="s">
        <v>17519</v>
      </c>
      <c r="B3265" s="1" t="s">
        <v>17520</v>
      </c>
      <c r="C3265" s="11" t="s">
        <v>17521</v>
      </c>
      <c r="D3265" s="11" t="s">
        <v>17521</v>
      </c>
      <c r="E3265" s="11" t="s">
        <v>17522</v>
      </c>
      <c r="F3265" s="11" t="s">
        <v>17523</v>
      </c>
      <c r="G3265" s="11" t="s">
        <v>17524</v>
      </c>
      <c r="H3265" s="11" t="s">
        <v>17525</v>
      </c>
      <c r="I3265" s="11" t="str">
        <f>HYPERLINK("http://www.picarazziabbigliamento.weebly.com/","www.picarazziabbigliamento.weebly.com")</f>
        <v>www.picarazziabbigliamento.weebly.com</v>
      </c>
      <c r="J3265" s="12">
        <v>1105.0229999999999</v>
      </c>
      <c r="K3265" s="12">
        <v>1105.0229999999999</v>
      </c>
      <c r="L3265" s="13">
        <v>802.20100000000002</v>
      </c>
      <c r="M3265" s="12">
        <v>0.41499999999999998</v>
      </c>
      <c r="N3265" s="12">
        <v>0.41499999999999998</v>
      </c>
      <c r="O3265" s="12">
        <v>2.569</v>
      </c>
      <c r="P3265" s="12">
        <v>11</v>
      </c>
      <c r="Q3265" s="12">
        <v>11</v>
      </c>
      <c r="R3265" s="12">
        <v>10</v>
      </c>
    </row>
    <row r="3266" spans="1:18" ht="17" customHeight="1" x14ac:dyDescent="0.15">
      <c r="A3266" s="8" t="s">
        <v>17526</v>
      </c>
      <c r="B3266" s="9" t="s">
        <v>17527</v>
      </c>
      <c r="C3266" s="8" t="s">
        <v>17528</v>
      </c>
      <c r="D3266" s="8" t="s">
        <v>17528</v>
      </c>
      <c r="E3266" s="8" t="s">
        <v>17529</v>
      </c>
      <c r="F3266" s="8" t="s">
        <v>17530</v>
      </c>
      <c r="G3266" s="8" t="s">
        <v>17531</v>
      </c>
      <c r="H3266" s="8" t="s">
        <v>17532</v>
      </c>
      <c r="I3266" s="8" t="str">
        <f>HYPERLINK("http://www.stefanoblandaleone.com/","www.stefanoblandaleone.com")</f>
        <v>www.stefanoblandaleone.com</v>
      </c>
      <c r="J3266" s="10">
        <v>666.15200000000004</v>
      </c>
      <c r="K3266" s="10">
        <v>666.15200000000004</v>
      </c>
      <c r="L3266" s="10">
        <v>801.76800000000003</v>
      </c>
      <c r="M3266" s="10">
        <v>0.83</v>
      </c>
      <c r="N3266" s="10">
        <v>0.83</v>
      </c>
      <c r="O3266" s="10">
        <v>1.0229999999999999</v>
      </c>
      <c r="P3266" s="10">
        <v>6</v>
      </c>
      <c r="Q3266" s="10">
        <v>6</v>
      </c>
      <c r="R3266" s="10">
        <v>8</v>
      </c>
    </row>
    <row r="3267" spans="1:18" ht="17" customHeight="1" x14ac:dyDescent="0.15">
      <c r="A3267" s="11" t="s">
        <v>17533</v>
      </c>
      <c r="B3267" s="1" t="s">
        <v>17534</v>
      </c>
      <c r="C3267" s="11" t="s">
        <v>17535</v>
      </c>
      <c r="D3267" s="11" t="s">
        <v>17535</v>
      </c>
      <c r="E3267" s="11" t="s">
        <v>17536</v>
      </c>
      <c r="F3267" s="11" t="s">
        <v>17537</v>
      </c>
      <c r="G3267" s="11" t="s">
        <v>17538</v>
      </c>
      <c r="H3267" s="11" t="s">
        <v>17539</v>
      </c>
      <c r="I3267" s="11" t="str">
        <f>HYPERLINK("http://www.cinturificiogian.it/","www.cinturificiogian.it")</f>
        <v>www.cinturificiogian.it</v>
      </c>
      <c r="J3267" s="12">
        <v>1055.001</v>
      </c>
      <c r="K3267" s="12">
        <v>1055.001</v>
      </c>
      <c r="L3267" s="13">
        <v>799.85</v>
      </c>
      <c r="M3267" s="12">
        <v>31.154</v>
      </c>
      <c r="N3267" s="12">
        <v>31.154</v>
      </c>
      <c r="O3267" s="12">
        <v>20.166</v>
      </c>
      <c r="P3267" s="14" t="s">
        <v>17540</v>
      </c>
      <c r="Q3267" s="14" t="s">
        <v>17540</v>
      </c>
      <c r="R3267" s="12">
        <v>7</v>
      </c>
    </row>
    <row r="3268" spans="1:18" ht="17" customHeight="1" x14ac:dyDescent="0.15">
      <c r="A3268" s="8" t="s">
        <v>17541</v>
      </c>
      <c r="B3268" s="9" t="s">
        <v>17542</v>
      </c>
      <c r="C3268" s="8" t="s">
        <v>17543</v>
      </c>
      <c r="D3268" s="8" t="s">
        <v>17543</v>
      </c>
      <c r="E3268" s="8" t="s">
        <v>17544</v>
      </c>
      <c r="F3268" s="8" t="s">
        <v>17545</v>
      </c>
      <c r="G3268" s="8" t="s">
        <v>17546</v>
      </c>
      <c r="H3268" s="8" t="s">
        <v>17547</v>
      </c>
      <c r="I3268" s="8" t="str">
        <f>HYPERLINK("http://www.grazianiconfezioni.it/","www.grazianiconfezioni.it")</f>
        <v>www.grazianiconfezioni.it</v>
      </c>
      <c r="J3268" s="10">
        <v>938.61500000000001</v>
      </c>
      <c r="K3268" s="10">
        <v>938.61500000000001</v>
      </c>
      <c r="L3268" s="10">
        <v>799.61900000000003</v>
      </c>
      <c r="M3268" s="10">
        <v>61.712000000000003</v>
      </c>
      <c r="N3268" s="10">
        <v>61.712000000000003</v>
      </c>
      <c r="O3268" s="10">
        <v>73.989999999999995</v>
      </c>
      <c r="P3268" s="15" t="s">
        <v>17540</v>
      </c>
      <c r="Q3268" s="15" t="s">
        <v>17540</v>
      </c>
      <c r="R3268" s="10">
        <v>15</v>
      </c>
    </row>
    <row r="3269" spans="1:18" ht="17" customHeight="1" x14ac:dyDescent="0.15">
      <c r="A3269" s="11" t="s">
        <v>17548</v>
      </c>
      <c r="B3269" s="1" t="s">
        <v>17549</v>
      </c>
      <c r="C3269" s="11" t="s">
        <v>17550</v>
      </c>
      <c r="D3269" s="11" t="s">
        <v>17550</v>
      </c>
      <c r="E3269" s="11" t="s">
        <v>17551</v>
      </c>
      <c r="F3269" s="11" t="s">
        <v>17552</v>
      </c>
      <c r="G3269" s="11" t="s">
        <v>17553</v>
      </c>
      <c r="H3269" s="11" t="s">
        <v>17554</v>
      </c>
      <c r="I3269" s="11" t="str">
        <f>HYPERLINK("http://www.marraffamarcosrl.it/","www.marraffamarcosrl.it")</f>
        <v>www.marraffamarcosrl.it</v>
      </c>
      <c r="J3269" s="12">
        <v>807.19899999999996</v>
      </c>
      <c r="K3269" s="12">
        <v>807.19899999999996</v>
      </c>
      <c r="L3269" s="13">
        <v>797.524</v>
      </c>
      <c r="M3269" s="12">
        <v>124.65900000000001</v>
      </c>
      <c r="N3269" s="12">
        <v>124.65900000000001</v>
      </c>
      <c r="O3269" s="12">
        <v>151.09</v>
      </c>
      <c r="P3269" s="12">
        <v>9</v>
      </c>
      <c r="Q3269" s="12">
        <v>9</v>
      </c>
      <c r="R3269" s="12">
        <v>9</v>
      </c>
    </row>
    <row r="3270" spans="1:18" ht="17" customHeight="1" x14ac:dyDescent="0.15">
      <c r="A3270" s="8" t="s">
        <v>17555</v>
      </c>
      <c r="B3270" s="9" t="s">
        <v>17556</v>
      </c>
      <c r="C3270" s="8" t="s">
        <v>17557</v>
      </c>
      <c r="D3270" s="8" t="s">
        <v>17557</v>
      </c>
      <c r="E3270" s="8" t="s">
        <v>17558</v>
      </c>
      <c r="F3270" s="8" t="s">
        <v>17559</v>
      </c>
      <c r="G3270" s="8" t="s">
        <v>17560</v>
      </c>
      <c r="H3270" s="8" t="s">
        <v>17561</v>
      </c>
      <c r="I3270" s="8" t="str">
        <f>HYPERLINK("http://italianunderwear.net/","italianunderwear.net")</f>
        <v>italianunderwear.net</v>
      </c>
      <c r="J3270" s="10">
        <v>695.43</v>
      </c>
      <c r="K3270" s="10">
        <v>695.43</v>
      </c>
      <c r="L3270" s="10">
        <v>797.48199999999997</v>
      </c>
      <c r="M3270" s="10">
        <v>73.085999999999999</v>
      </c>
      <c r="N3270" s="10">
        <v>73.085999999999999</v>
      </c>
      <c r="O3270" s="10">
        <v>71.373000000000005</v>
      </c>
      <c r="P3270" s="15" t="s">
        <v>17540</v>
      </c>
      <c r="Q3270" s="15" t="s">
        <v>17540</v>
      </c>
      <c r="R3270" s="10">
        <v>6</v>
      </c>
    </row>
    <row r="3271" spans="1:18" ht="17" customHeight="1" x14ac:dyDescent="0.15">
      <c r="A3271" s="11" t="s">
        <v>17562</v>
      </c>
      <c r="B3271" s="1" t="s">
        <v>17563</v>
      </c>
      <c r="C3271" s="11" t="s">
        <v>17564</v>
      </c>
      <c r="D3271" s="11" t="s">
        <v>17564</v>
      </c>
      <c r="E3271" s="11" t="s">
        <v>17565</v>
      </c>
      <c r="F3271" s="11" t="s">
        <v>17566</v>
      </c>
      <c r="G3271" s="11" t="s">
        <v>17567</v>
      </c>
      <c r="H3271" s="11" t="s">
        <v>17532</v>
      </c>
      <c r="I3271" s="11" t="str">
        <f>HYPERLINK("http://www.calze-saber.com/","www.calze-saber.com")</f>
        <v>www.calze-saber.com</v>
      </c>
      <c r="J3271" s="12">
        <v>970.39800000000002</v>
      </c>
      <c r="K3271" s="12">
        <v>970.39800000000002</v>
      </c>
      <c r="L3271" s="13">
        <v>797.28599999999994</v>
      </c>
      <c r="M3271" s="12">
        <v>77.445999999999998</v>
      </c>
      <c r="N3271" s="12">
        <v>77.445999999999998</v>
      </c>
      <c r="O3271" s="12">
        <v>51.127000000000002</v>
      </c>
      <c r="P3271" s="14" t="s">
        <v>17540</v>
      </c>
      <c r="Q3271" s="14" t="s">
        <v>17540</v>
      </c>
      <c r="R3271" s="12">
        <v>7</v>
      </c>
    </row>
    <row r="3272" spans="1:18" ht="29.5" customHeight="1" x14ac:dyDescent="0.15">
      <c r="A3272" s="8" t="s">
        <v>17568</v>
      </c>
      <c r="B3272" s="9" t="s">
        <v>17569</v>
      </c>
      <c r="C3272" s="8" t="s">
        <v>17570</v>
      </c>
      <c r="D3272" s="8" t="s">
        <v>17570</v>
      </c>
      <c r="E3272" s="8" t="s">
        <v>17571</v>
      </c>
      <c r="F3272" s="8" t="s">
        <v>17537</v>
      </c>
      <c r="G3272" s="8" t="s">
        <v>17572</v>
      </c>
      <c r="H3272" s="8" t="s">
        <v>17573</v>
      </c>
      <c r="I3272" s="8" t="str">
        <f>HYPERLINK("http://shop.daripel.com/","shop.daripel.com")</f>
        <v>shop.daripel.com</v>
      </c>
      <c r="J3272" s="10">
        <v>687.61699999999996</v>
      </c>
      <c r="K3272" s="10">
        <v>687.61699999999996</v>
      </c>
      <c r="L3272" s="10">
        <v>796.07</v>
      </c>
      <c r="M3272" s="10">
        <v>15.863</v>
      </c>
      <c r="N3272" s="10">
        <v>15.863</v>
      </c>
      <c r="O3272" s="10">
        <v>8.9659999999999993</v>
      </c>
      <c r="P3272" s="10">
        <v>3</v>
      </c>
      <c r="Q3272" s="10">
        <v>3</v>
      </c>
      <c r="R3272" s="10">
        <v>3</v>
      </c>
    </row>
    <row r="3273" spans="1:18" ht="17" customHeight="1" x14ac:dyDescent="0.15">
      <c r="A3273" s="11" t="s">
        <v>17574</v>
      </c>
      <c r="B3273" s="1" t="s">
        <v>17575</v>
      </c>
      <c r="C3273" s="11" t="s">
        <v>17576</v>
      </c>
      <c r="D3273" s="11" t="s">
        <v>17576</v>
      </c>
      <c r="E3273" s="11" t="s">
        <v>17577</v>
      </c>
      <c r="F3273" s="11" t="s">
        <v>17559</v>
      </c>
      <c r="G3273" s="11" t="s">
        <v>17578</v>
      </c>
      <c r="H3273" s="11" t="s">
        <v>17579</v>
      </c>
      <c r="I3273" s="11" t="str">
        <f>HYPERLINK("http://verdiani.it/","verdiani.it")</f>
        <v>verdiani.it</v>
      </c>
      <c r="J3273" s="12">
        <v>735.88900000000001</v>
      </c>
      <c r="K3273" s="12">
        <v>735.88900000000001</v>
      </c>
      <c r="L3273" s="13">
        <v>794.495</v>
      </c>
      <c r="M3273" s="12">
        <v>-389.66899999999998</v>
      </c>
      <c r="N3273" s="12">
        <v>-389.66899999999998</v>
      </c>
      <c r="O3273" s="12">
        <v>-203.09800000000001</v>
      </c>
      <c r="P3273" s="12">
        <v>13</v>
      </c>
      <c r="Q3273" s="12">
        <v>13</v>
      </c>
      <c r="R3273" s="12">
        <v>13</v>
      </c>
    </row>
    <row r="3274" spans="1:18" ht="17" customHeight="1" x14ac:dyDescent="0.15">
      <c r="A3274" s="8" t="s">
        <v>17580</v>
      </c>
      <c r="B3274" s="9" t="s">
        <v>17581</v>
      </c>
      <c r="C3274" s="8" t="s">
        <v>17582</v>
      </c>
      <c r="D3274" s="8" t="s">
        <v>17582</v>
      </c>
      <c r="E3274" s="8" t="s">
        <v>17583</v>
      </c>
      <c r="F3274" s="8" t="s">
        <v>17545</v>
      </c>
      <c r="G3274" s="8" t="s">
        <v>17584</v>
      </c>
      <c r="H3274" s="8" t="s">
        <v>17561</v>
      </c>
      <c r="I3274" s="8" t="str">
        <f>HYPERLINK("http://www.ambaraba.net/","www.ambaraba.net")</f>
        <v>www.ambaraba.net</v>
      </c>
      <c r="J3274" s="10">
        <v>852.62599999999998</v>
      </c>
      <c r="K3274" s="10">
        <v>852.62599999999998</v>
      </c>
      <c r="L3274" s="10">
        <v>793.11699999999996</v>
      </c>
      <c r="M3274" s="10">
        <v>0.39700000000000002</v>
      </c>
      <c r="N3274" s="10">
        <v>0.39700000000000002</v>
      </c>
      <c r="O3274" s="10">
        <v>-5.9539999999999997</v>
      </c>
      <c r="P3274" s="10">
        <v>9</v>
      </c>
      <c r="Q3274" s="10">
        <v>9</v>
      </c>
      <c r="R3274" s="10">
        <v>14</v>
      </c>
    </row>
    <row r="3275" spans="1:18" ht="17" customHeight="1" x14ac:dyDescent="0.15">
      <c r="A3275" s="11" t="s">
        <v>17585</v>
      </c>
      <c r="B3275" s="1" t="s">
        <v>17586</v>
      </c>
      <c r="C3275" s="11" t="s">
        <v>17587</v>
      </c>
      <c r="D3275" s="11" t="s">
        <v>17587</v>
      </c>
      <c r="E3275" s="11" t="s">
        <v>17588</v>
      </c>
      <c r="F3275" s="11" t="s">
        <v>17545</v>
      </c>
      <c r="G3275" s="11" t="s">
        <v>17538</v>
      </c>
      <c r="H3275" s="11" t="s">
        <v>17539</v>
      </c>
      <c r="I3275" s="11" t="str">
        <f>HYPERLINK("http://www.artel2000.it/","www.artel2000.it")</f>
        <v>www.artel2000.it</v>
      </c>
      <c r="J3275" s="12">
        <v>678.56200000000001</v>
      </c>
      <c r="K3275" s="12">
        <v>678.56200000000001</v>
      </c>
      <c r="L3275" s="13">
        <v>790.72799999999995</v>
      </c>
      <c r="M3275" s="12">
        <v>10.077</v>
      </c>
      <c r="N3275" s="12">
        <v>10.077</v>
      </c>
      <c r="O3275" s="12">
        <v>13.768000000000001</v>
      </c>
      <c r="P3275" s="14" t="s">
        <v>17540</v>
      </c>
      <c r="Q3275" s="14" t="s">
        <v>17540</v>
      </c>
      <c r="R3275" s="12">
        <v>7</v>
      </c>
    </row>
    <row r="3276" spans="1:18" ht="17" customHeight="1" x14ac:dyDescent="0.15">
      <c r="A3276" s="8" t="s">
        <v>17589</v>
      </c>
      <c r="B3276" s="9" t="s">
        <v>17590</v>
      </c>
      <c r="C3276" s="8" t="s">
        <v>17591</v>
      </c>
      <c r="D3276" s="8" t="s">
        <v>17592</v>
      </c>
      <c r="E3276" s="8" t="s">
        <v>17593</v>
      </c>
      <c r="F3276" s="8" t="s">
        <v>17552</v>
      </c>
      <c r="G3276" s="8" t="s">
        <v>17538</v>
      </c>
      <c r="H3276" s="8" t="s">
        <v>17539</v>
      </c>
      <c r="I3276" s="8" t="str">
        <f>HYPERLINK("http://www.lillio.it/","www.lillio.it")</f>
        <v>www.lillio.it</v>
      </c>
      <c r="J3276" s="10">
        <v>857.63</v>
      </c>
      <c r="K3276" s="10">
        <v>857.63</v>
      </c>
      <c r="L3276" s="10">
        <v>789.67</v>
      </c>
      <c r="M3276" s="10">
        <v>-33.868000000000002</v>
      </c>
      <c r="N3276" s="10">
        <v>-33.868000000000002</v>
      </c>
      <c r="O3276" s="10">
        <v>-130.40199999999999</v>
      </c>
      <c r="P3276" s="10">
        <v>15</v>
      </c>
      <c r="Q3276" s="10">
        <v>15</v>
      </c>
      <c r="R3276" s="10">
        <v>16</v>
      </c>
    </row>
    <row r="3277" spans="1:18" ht="17" customHeight="1" x14ac:dyDescent="0.15">
      <c r="A3277" s="11" t="s">
        <v>17594</v>
      </c>
      <c r="B3277" s="1" t="s">
        <v>17595</v>
      </c>
      <c r="C3277" s="11" t="s">
        <v>17596</v>
      </c>
      <c r="D3277" s="11" t="s">
        <v>17596</v>
      </c>
      <c r="E3277" s="11" t="s">
        <v>17597</v>
      </c>
      <c r="F3277" s="11" t="s">
        <v>17598</v>
      </c>
      <c r="G3277" s="11" t="s">
        <v>17599</v>
      </c>
      <c r="H3277" s="11" t="s">
        <v>17600</v>
      </c>
      <c r="I3277" s="11" t="str">
        <f>HYPERLINK("http://moditinternational.it/","moditinternational.it")</f>
        <v>moditinternational.it</v>
      </c>
      <c r="J3277" s="12">
        <v>789.63499999999999</v>
      </c>
      <c r="K3277" s="14" t="s">
        <v>17540</v>
      </c>
      <c r="L3277" s="13">
        <v>789.63499999999999</v>
      </c>
      <c r="M3277" s="12">
        <v>-619.09299999999996</v>
      </c>
      <c r="N3277" s="14" t="s">
        <v>17540</v>
      </c>
      <c r="O3277" s="12">
        <v>-619.09299999999996</v>
      </c>
      <c r="P3277" s="12">
        <v>9</v>
      </c>
      <c r="Q3277" s="14" t="s">
        <v>17540</v>
      </c>
      <c r="R3277" s="12">
        <v>9</v>
      </c>
    </row>
    <row r="3278" spans="1:18" ht="17" customHeight="1" x14ac:dyDescent="0.15">
      <c r="A3278" s="8" t="s">
        <v>17601</v>
      </c>
      <c r="B3278" s="9" t="s">
        <v>17602</v>
      </c>
      <c r="C3278" s="8" t="s">
        <v>17603</v>
      </c>
      <c r="D3278" s="8" t="s">
        <v>17603</v>
      </c>
      <c r="E3278" s="8" t="s">
        <v>17604</v>
      </c>
      <c r="F3278" s="8" t="s">
        <v>17605</v>
      </c>
      <c r="G3278" s="8" t="s">
        <v>17606</v>
      </c>
      <c r="H3278" s="8" t="s">
        <v>17573</v>
      </c>
      <c r="I3278" s="8" t="str">
        <f>HYPERLINK("http://maglificiosofia.it/","maglificiosofia.it")</f>
        <v>maglificiosofia.it</v>
      </c>
      <c r="J3278" s="10">
        <v>708.28599999999994</v>
      </c>
      <c r="K3278" s="10">
        <v>708.28599999999994</v>
      </c>
      <c r="L3278" s="10">
        <v>787.83500000000004</v>
      </c>
      <c r="M3278" s="10">
        <v>25.86</v>
      </c>
      <c r="N3278" s="10">
        <v>25.86</v>
      </c>
      <c r="O3278" s="10">
        <v>11.747</v>
      </c>
      <c r="P3278" s="10">
        <v>6</v>
      </c>
      <c r="Q3278" s="10">
        <v>6</v>
      </c>
      <c r="R3278" s="10">
        <v>6</v>
      </c>
    </row>
    <row r="3279" spans="1:18" ht="17" customHeight="1" x14ac:dyDescent="0.15">
      <c r="A3279" s="11" t="s">
        <v>17607</v>
      </c>
      <c r="B3279" s="1" t="s">
        <v>17608</v>
      </c>
      <c r="C3279" s="11" t="s">
        <v>17609</v>
      </c>
      <c r="D3279" s="11" t="s">
        <v>17609</v>
      </c>
      <c r="E3279" s="11" t="s">
        <v>17610</v>
      </c>
      <c r="F3279" s="11" t="s">
        <v>17598</v>
      </c>
      <c r="G3279" s="11" t="s">
        <v>17611</v>
      </c>
      <c r="H3279" s="11" t="s">
        <v>17561</v>
      </c>
      <c r="I3279" s="11" t="str">
        <f>HYPERLINK("http://www.igisrl.com/","www.igisrl.com")</f>
        <v>www.igisrl.com</v>
      </c>
      <c r="J3279" s="12">
        <v>1672.079</v>
      </c>
      <c r="K3279" s="12">
        <v>1460.9110000000001</v>
      </c>
      <c r="L3279" s="13">
        <v>787.33100000000002</v>
      </c>
      <c r="M3279" s="12">
        <v>44.822000000000003</v>
      </c>
      <c r="N3279" s="12">
        <v>40.103000000000002</v>
      </c>
      <c r="O3279" s="12">
        <v>26.004000000000001</v>
      </c>
      <c r="P3279" s="14" t="s">
        <v>17540</v>
      </c>
      <c r="Q3279" s="14" t="s">
        <v>17540</v>
      </c>
      <c r="R3279" s="12">
        <v>5</v>
      </c>
    </row>
    <row r="3280" spans="1:18" ht="17" customHeight="1" x14ac:dyDescent="0.15">
      <c r="A3280" s="8" t="s">
        <v>17612</v>
      </c>
      <c r="B3280" s="9" t="s">
        <v>17613</v>
      </c>
      <c r="C3280" s="8" t="s">
        <v>17614</v>
      </c>
      <c r="D3280" s="8" t="s">
        <v>17614</v>
      </c>
      <c r="E3280" s="8" t="s">
        <v>17615</v>
      </c>
      <c r="F3280" s="8" t="s">
        <v>17598</v>
      </c>
      <c r="G3280" s="8" t="s">
        <v>17611</v>
      </c>
      <c r="H3280" s="8" t="s">
        <v>17561</v>
      </c>
      <c r="I3280" s="8" t="str">
        <f>HYPERLINK("http://www.biancadeibleve.it/","www.biancadeibleve.it")</f>
        <v>www.biancadeibleve.it</v>
      </c>
      <c r="J3280" s="10">
        <v>786.755</v>
      </c>
      <c r="K3280" s="10">
        <v>786.755</v>
      </c>
      <c r="L3280" s="10">
        <v>787.10699999999997</v>
      </c>
      <c r="M3280" s="10">
        <v>113.1</v>
      </c>
      <c r="N3280" s="10">
        <v>113.1</v>
      </c>
      <c r="O3280" s="10">
        <v>128.56299999999999</v>
      </c>
      <c r="P3280" s="10">
        <v>17</v>
      </c>
      <c r="Q3280" s="10">
        <v>17</v>
      </c>
      <c r="R3280" s="10">
        <v>21</v>
      </c>
    </row>
    <row r="3281" spans="1:18" ht="17" customHeight="1" x14ac:dyDescent="0.15">
      <c r="A3281" s="11" t="s">
        <v>17616</v>
      </c>
      <c r="B3281" s="1" t="s">
        <v>17617</v>
      </c>
      <c r="C3281" s="11" t="s">
        <v>17618</v>
      </c>
      <c r="D3281" s="11" t="s">
        <v>17618</v>
      </c>
      <c r="E3281" s="11" t="s">
        <v>17619</v>
      </c>
      <c r="F3281" s="11" t="s">
        <v>17620</v>
      </c>
      <c r="G3281" s="11" t="s">
        <v>17621</v>
      </c>
      <c r="H3281" s="11" t="s">
        <v>17579</v>
      </c>
      <c r="I3281" s="11" t="str">
        <f>HYPERLINK("http://www.modapelsnc.it/","www.modapelsnc.it")</f>
        <v>www.modapelsnc.it</v>
      </c>
      <c r="J3281" s="12">
        <v>728.495</v>
      </c>
      <c r="K3281" s="12">
        <v>728.495</v>
      </c>
      <c r="L3281" s="13">
        <v>786.38699999999994</v>
      </c>
      <c r="M3281" s="12">
        <v>7.6079999999999997</v>
      </c>
      <c r="N3281" s="12">
        <v>7.6079999999999997</v>
      </c>
      <c r="O3281" s="12">
        <v>6.8140000000000001</v>
      </c>
      <c r="P3281" s="12">
        <v>6</v>
      </c>
      <c r="Q3281" s="12">
        <v>6</v>
      </c>
      <c r="R3281" s="12">
        <v>8</v>
      </c>
    </row>
    <row r="3282" spans="1:18" ht="43" customHeight="1" x14ac:dyDescent="0.15">
      <c r="A3282" s="8" t="s">
        <v>17622</v>
      </c>
      <c r="B3282" s="9" t="s">
        <v>17623</v>
      </c>
      <c r="C3282" s="8" t="s">
        <v>17624</v>
      </c>
      <c r="D3282" s="8" t="s">
        <v>17624</v>
      </c>
      <c r="E3282" s="8" t="s">
        <v>17625</v>
      </c>
      <c r="F3282" s="8" t="s">
        <v>17523</v>
      </c>
      <c r="G3282" s="8" t="s">
        <v>17626</v>
      </c>
      <c r="H3282" s="8" t="s">
        <v>17532</v>
      </c>
      <c r="I3282" s="8" t="str">
        <f>HYPERLINK("http://www.3fmoda.it/","www.3fmoda.it")</f>
        <v>www.3fmoda.it</v>
      </c>
      <c r="J3282" s="10">
        <v>786.18899999999996</v>
      </c>
      <c r="K3282" s="15" t="s">
        <v>17540</v>
      </c>
      <c r="L3282" s="10">
        <v>786.18899999999996</v>
      </c>
      <c r="M3282" s="10">
        <v>3.355</v>
      </c>
      <c r="N3282" s="15" t="s">
        <v>17540</v>
      </c>
      <c r="O3282" s="10">
        <v>3.355</v>
      </c>
      <c r="P3282" s="10">
        <v>11</v>
      </c>
      <c r="Q3282" s="15" t="s">
        <v>17540</v>
      </c>
      <c r="R3282" s="10">
        <v>11</v>
      </c>
    </row>
    <row r="3283" spans="1:18" ht="17" customHeight="1" x14ac:dyDescent="0.15">
      <c r="A3283" s="11" t="s">
        <v>17627</v>
      </c>
      <c r="B3283" s="1" t="s">
        <v>17628</v>
      </c>
      <c r="C3283" s="11" t="s">
        <v>17629</v>
      </c>
      <c r="D3283" s="11" t="s">
        <v>17630</v>
      </c>
      <c r="E3283" s="11" t="s">
        <v>17631</v>
      </c>
      <c r="F3283" s="11" t="s">
        <v>17598</v>
      </c>
      <c r="G3283" s="11" t="s">
        <v>17632</v>
      </c>
      <c r="H3283" s="11" t="s">
        <v>17633</v>
      </c>
      <c r="I3283" s="11" t="str">
        <f>HYPERLINK("http://www.vigano20050.com/","www.vigano20050.com")</f>
        <v>www.vigano20050.com</v>
      </c>
      <c r="J3283" s="12">
        <v>674.83900000000006</v>
      </c>
      <c r="K3283" s="12">
        <v>674.83900000000006</v>
      </c>
      <c r="L3283" s="13">
        <v>785.851</v>
      </c>
      <c r="M3283" s="12">
        <v>-156.44900000000001</v>
      </c>
      <c r="N3283" s="12">
        <v>-156.44900000000001</v>
      </c>
      <c r="O3283" s="12">
        <v>-12.833</v>
      </c>
      <c r="P3283" s="14" t="s">
        <v>17540</v>
      </c>
      <c r="Q3283" s="14" t="s">
        <v>17540</v>
      </c>
      <c r="R3283" s="12">
        <v>5</v>
      </c>
    </row>
    <row r="3284" spans="1:18" ht="17" customHeight="1" x14ac:dyDescent="0.15">
      <c r="A3284" s="8" t="s">
        <v>17634</v>
      </c>
      <c r="B3284" s="9" t="s">
        <v>17635</v>
      </c>
      <c r="C3284" s="8" t="s">
        <v>17636</v>
      </c>
      <c r="D3284" s="8" t="s">
        <v>17636</v>
      </c>
      <c r="E3284" s="8" t="s">
        <v>17637</v>
      </c>
      <c r="F3284" s="8" t="s">
        <v>17598</v>
      </c>
      <c r="G3284" s="8" t="s">
        <v>17638</v>
      </c>
      <c r="H3284" s="8" t="s">
        <v>17639</v>
      </c>
      <c r="I3284" s="8" t="str">
        <f>HYPERLINK("http://carraro-srl.com/","carraro-srl.com")</f>
        <v>carraro-srl.com</v>
      </c>
      <c r="J3284" s="10">
        <v>947.73299999999995</v>
      </c>
      <c r="K3284" s="10">
        <v>947.73299999999995</v>
      </c>
      <c r="L3284" s="10">
        <v>785.49599999999998</v>
      </c>
      <c r="M3284" s="10">
        <v>81.311999999999998</v>
      </c>
      <c r="N3284" s="10">
        <v>81.311999999999998</v>
      </c>
      <c r="O3284" s="10">
        <v>57.112000000000002</v>
      </c>
      <c r="P3284" s="10">
        <v>4</v>
      </c>
      <c r="Q3284" s="10">
        <v>4</v>
      </c>
      <c r="R3284" s="10">
        <v>4</v>
      </c>
    </row>
    <row r="3285" spans="1:18" ht="43" customHeight="1" x14ac:dyDescent="0.15">
      <c r="A3285" s="11" t="s">
        <v>17640</v>
      </c>
      <c r="B3285" s="1" t="s">
        <v>17641</v>
      </c>
      <c r="C3285" s="11" t="s">
        <v>17642</v>
      </c>
      <c r="D3285" s="11" t="s">
        <v>17642</v>
      </c>
      <c r="E3285" s="11" t="s">
        <v>17643</v>
      </c>
      <c r="F3285" s="11" t="s">
        <v>17598</v>
      </c>
      <c r="G3285" s="11" t="s">
        <v>17644</v>
      </c>
      <c r="H3285" s="11" t="s">
        <v>17645</v>
      </c>
      <c r="I3285" s="11" t="str">
        <f>HYPERLINK("http://www.vanityconfezioni.it/","www.vanityconfezioni.it")</f>
        <v>www.vanityconfezioni.it</v>
      </c>
      <c r="J3285" s="12">
        <v>784.779</v>
      </c>
      <c r="K3285" s="14" t="s">
        <v>17540</v>
      </c>
      <c r="L3285" s="13">
        <v>784.779</v>
      </c>
      <c r="M3285" s="12">
        <v>77.382000000000005</v>
      </c>
      <c r="N3285" s="14" t="s">
        <v>17540</v>
      </c>
      <c r="O3285" s="12">
        <v>77.382000000000005</v>
      </c>
      <c r="P3285" s="12">
        <v>18</v>
      </c>
      <c r="Q3285" s="14" t="s">
        <v>17540</v>
      </c>
      <c r="R3285" s="12">
        <v>18</v>
      </c>
    </row>
    <row r="3286" spans="1:18" ht="17" customHeight="1" x14ac:dyDescent="0.15">
      <c r="A3286" s="8" t="s">
        <v>17646</v>
      </c>
      <c r="B3286" s="9" t="s">
        <v>17647</v>
      </c>
      <c r="C3286" s="8" t="s">
        <v>17648</v>
      </c>
      <c r="D3286" s="8" t="s">
        <v>17648</v>
      </c>
      <c r="E3286" s="8" t="s">
        <v>17649</v>
      </c>
      <c r="F3286" s="8" t="s">
        <v>17598</v>
      </c>
      <c r="G3286" s="8" t="s">
        <v>17531</v>
      </c>
      <c r="H3286" s="8" t="s">
        <v>17532</v>
      </c>
      <c r="I3286" s="8" t="str">
        <f>HYPERLINK("http://www.ippolitoconfezioni.it/","www.ippolitoconfezioni.it")</f>
        <v>www.ippolitoconfezioni.it</v>
      </c>
      <c r="J3286" s="10">
        <v>958.971</v>
      </c>
      <c r="K3286" s="10">
        <v>958.971</v>
      </c>
      <c r="L3286" s="10">
        <v>784.74599999999998</v>
      </c>
      <c r="M3286" s="10">
        <v>20.010999999999999</v>
      </c>
      <c r="N3286" s="10">
        <v>20.010999999999999</v>
      </c>
      <c r="O3286" s="10">
        <v>19.532</v>
      </c>
      <c r="P3286" s="10">
        <v>5</v>
      </c>
      <c r="Q3286" s="10">
        <v>5</v>
      </c>
      <c r="R3286" s="10">
        <v>5</v>
      </c>
    </row>
    <row r="3287" spans="1:18" ht="17" customHeight="1" x14ac:dyDescent="0.15">
      <c r="A3287" s="11" t="s">
        <v>17650</v>
      </c>
      <c r="B3287" s="1" t="s">
        <v>17651</v>
      </c>
      <c r="C3287" s="11" t="s">
        <v>17652</v>
      </c>
      <c r="D3287" s="11" t="s">
        <v>17652</v>
      </c>
      <c r="E3287" s="11" t="s">
        <v>17653</v>
      </c>
      <c r="F3287" s="11" t="s">
        <v>17654</v>
      </c>
      <c r="G3287" s="11" t="s">
        <v>17655</v>
      </c>
      <c r="H3287" s="11" t="s">
        <v>17532</v>
      </c>
      <c r="I3287" s="11" t="str">
        <f>HYPERLINK("http://www.destrosrl.com/","www.destrosrl.com")</f>
        <v>www.destrosrl.com</v>
      </c>
      <c r="J3287" s="12">
        <v>754.63099999999997</v>
      </c>
      <c r="K3287" s="12">
        <v>754.63099999999997</v>
      </c>
      <c r="L3287" s="13">
        <v>783.226</v>
      </c>
      <c r="M3287" s="12">
        <v>25.620999999999999</v>
      </c>
      <c r="N3287" s="12">
        <v>25.620999999999999</v>
      </c>
      <c r="O3287" s="12">
        <v>34.906999999999996</v>
      </c>
      <c r="P3287" s="14" t="s">
        <v>17540</v>
      </c>
      <c r="Q3287" s="14" t="s">
        <v>17540</v>
      </c>
      <c r="R3287" s="12">
        <v>5</v>
      </c>
    </row>
    <row r="3288" spans="1:18" ht="17" customHeight="1" x14ac:dyDescent="0.15">
      <c r="A3288" s="8" t="s">
        <v>17656</v>
      </c>
      <c r="B3288" s="9" t="s">
        <v>17657</v>
      </c>
      <c r="C3288" s="8" t="s">
        <v>17658</v>
      </c>
      <c r="D3288" s="8" t="s">
        <v>17658</v>
      </c>
      <c r="E3288" s="8" t="s">
        <v>17659</v>
      </c>
      <c r="F3288" s="8" t="s">
        <v>17654</v>
      </c>
      <c r="G3288" s="8" t="s">
        <v>17660</v>
      </c>
      <c r="H3288" s="8" t="s">
        <v>17661</v>
      </c>
      <c r="I3288" s="8" t="str">
        <f>HYPERLINK("http://www.ortopedialocci.it/","www.ortopedialocci.it")</f>
        <v>www.ortopedialocci.it</v>
      </c>
      <c r="J3288" s="10">
        <v>960.48099999999999</v>
      </c>
      <c r="K3288" s="10">
        <v>960.48099999999999</v>
      </c>
      <c r="L3288" s="10">
        <v>780.17200000000003</v>
      </c>
      <c r="M3288" s="10">
        <v>20.27</v>
      </c>
      <c r="N3288" s="10">
        <v>20.27</v>
      </c>
      <c r="O3288" s="10">
        <v>5.5529999999999999</v>
      </c>
      <c r="P3288" s="15" t="s">
        <v>17540</v>
      </c>
      <c r="Q3288" s="15" t="s">
        <v>17540</v>
      </c>
      <c r="R3288" s="10">
        <v>8</v>
      </c>
    </row>
    <row r="3289" spans="1:18" ht="29.5" customHeight="1" x14ac:dyDescent="0.15">
      <c r="A3289" s="11" t="s">
        <v>17662</v>
      </c>
      <c r="B3289" s="1" t="s">
        <v>17663</v>
      </c>
      <c r="C3289" s="11" t="s">
        <v>17664</v>
      </c>
      <c r="D3289" s="11" t="s">
        <v>17664</v>
      </c>
      <c r="E3289" s="11" t="s">
        <v>17665</v>
      </c>
      <c r="F3289" s="11" t="s">
        <v>17530</v>
      </c>
      <c r="G3289" s="11" t="s">
        <v>17531</v>
      </c>
      <c r="H3289" s="11" t="s">
        <v>17532</v>
      </c>
      <c r="I3289" s="11" t="str">
        <f>HYPERLINK("http://www.lucapaolorossi.it/","www.lucapaolorossi.it")</f>
        <v>www.lucapaolorossi.it</v>
      </c>
      <c r="J3289" s="12">
        <v>1779.6769999999999</v>
      </c>
      <c r="K3289" s="12">
        <v>1779.6769999999999</v>
      </c>
      <c r="L3289" s="13">
        <v>779.5</v>
      </c>
      <c r="M3289" s="12">
        <v>30.518000000000001</v>
      </c>
      <c r="N3289" s="12">
        <v>30.518000000000001</v>
      </c>
      <c r="O3289" s="12">
        <v>44.457000000000001</v>
      </c>
      <c r="P3289" s="12">
        <v>4</v>
      </c>
      <c r="Q3289" s="12">
        <v>4</v>
      </c>
      <c r="R3289" s="12">
        <v>5</v>
      </c>
    </row>
    <row r="3290" spans="1:18" ht="17" customHeight="1" x14ac:dyDescent="0.15">
      <c r="A3290" s="8" t="s">
        <v>17666</v>
      </c>
      <c r="B3290" s="9" t="s">
        <v>17667</v>
      </c>
      <c r="C3290" s="8" t="s">
        <v>17668</v>
      </c>
      <c r="D3290" s="8" t="s">
        <v>17668</v>
      </c>
      <c r="E3290" s="8" t="s">
        <v>17669</v>
      </c>
      <c r="F3290" s="8" t="s">
        <v>17670</v>
      </c>
      <c r="G3290" s="8" t="s">
        <v>17584</v>
      </c>
      <c r="H3290" s="8" t="s">
        <v>17561</v>
      </c>
      <c r="I3290" s="8" t="str">
        <f>HYPERLINK("http://maqas.it/","maqas.it")</f>
        <v>maqas.it</v>
      </c>
      <c r="J3290" s="10">
        <v>904.87900000000002</v>
      </c>
      <c r="K3290" s="10">
        <v>904.87900000000002</v>
      </c>
      <c r="L3290" s="10">
        <v>779.47</v>
      </c>
      <c r="M3290" s="10">
        <v>28.898</v>
      </c>
      <c r="N3290" s="10">
        <v>28.898</v>
      </c>
      <c r="O3290" s="10">
        <v>6.6749999999999998</v>
      </c>
      <c r="P3290" s="10">
        <v>21</v>
      </c>
      <c r="Q3290" s="10">
        <v>21</v>
      </c>
      <c r="R3290" s="10">
        <v>21</v>
      </c>
    </row>
    <row r="3291" spans="1:18" ht="17" customHeight="1" x14ac:dyDescent="0.15">
      <c r="A3291" s="11" t="s">
        <v>17671</v>
      </c>
      <c r="B3291" s="1" t="s">
        <v>17672</v>
      </c>
      <c r="C3291" s="11" t="s">
        <v>17673</v>
      </c>
      <c r="D3291" s="11" t="s">
        <v>17673</v>
      </c>
      <c r="E3291" s="11" t="s">
        <v>17674</v>
      </c>
      <c r="F3291" s="11" t="s">
        <v>17675</v>
      </c>
      <c r="G3291" s="11" t="s">
        <v>17578</v>
      </c>
      <c r="H3291" s="11" t="s">
        <v>17579</v>
      </c>
      <c r="I3291" s="11" t="str">
        <f>HYPERLINK("http://www.fontanifirenze.it/","www.fontanifirenze.it")</f>
        <v>www.fontanifirenze.it</v>
      </c>
      <c r="J3291" s="12">
        <v>1061.5250000000001</v>
      </c>
      <c r="K3291" s="12">
        <v>1061.5250000000001</v>
      </c>
      <c r="L3291" s="13">
        <v>779.43100000000004</v>
      </c>
      <c r="M3291" s="12">
        <v>30.757000000000001</v>
      </c>
      <c r="N3291" s="12">
        <v>30.757000000000001</v>
      </c>
      <c r="O3291" s="12">
        <v>-2937.672</v>
      </c>
      <c r="P3291" s="14" t="s">
        <v>17540</v>
      </c>
      <c r="Q3291" s="14" t="s">
        <v>17540</v>
      </c>
      <c r="R3291" s="12">
        <v>11</v>
      </c>
    </row>
    <row r="3292" spans="1:18" ht="17" customHeight="1" x14ac:dyDescent="0.15">
      <c r="A3292" s="8" t="s">
        <v>17676</v>
      </c>
      <c r="B3292" s="9" t="s">
        <v>17677</v>
      </c>
      <c r="C3292" s="8" t="s">
        <v>17678</v>
      </c>
      <c r="D3292" s="8" t="s">
        <v>17678</v>
      </c>
      <c r="E3292" s="8" t="s">
        <v>17679</v>
      </c>
      <c r="F3292" s="8" t="s">
        <v>17523</v>
      </c>
      <c r="G3292" s="8" t="s">
        <v>17538</v>
      </c>
      <c r="H3292" s="8" t="s">
        <v>17539</v>
      </c>
      <c r="I3292" s="8" t="str">
        <f>HYPERLINK("http://valentinario.com/","valentinario.com")</f>
        <v>valentinario.com</v>
      </c>
      <c r="J3292" s="10">
        <v>1004.748</v>
      </c>
      <c r="K3292" s="10">
        <v>1004.748</v>
      </c>
      <c r="L3292" s="10">
        <v>777.553</v>
      </c>
      <c r="M3292" s="10">
        <v>11.648</v>
      </c>
      <c r="N3292" s="10">
        <v>11.648</v>
      </c>
      <c r="O3292" s="10">
        <v>32.987000000000002</v>
      </c>
      <c r="P3292" s="15" t="s">
        <v>17540</v>
      </c>
      <c r="Q3292" s="15" t="s">
        <v>17540</v>
      </c>
      <c r="R3292" s="10">
        <v>5</v>
      </c>
    </row>
    <row r="3293" spans="1:18" ht="17" customHeight="1" x14ac:dyDescent="0.15">
      <c r="A3293" s="11" t="s">
        <v>17680</v>
      </c>
      <c r="B3293" s="1" t="s">
        <v>17681</v>
      </c>
      <c r="C3293" s="11" t="s">
        <v>17682</v>
      </c>
      <c r="D3293" s="11" t="s">
        <v>17682</v>
      </c>
      <c r="E3293" s="11" t="s">
        <v>17683</v>
      </c>
      <c r="F3293" s="11" t="s">
        <v>17598</v>
      </c>
      <c r="G3293" s="11" t="s">
        <v>17684</v>
      </c>
      <c r="H3293" s="11" t="s">
        <v>17579</v>
      </c>
      <c r="I3293" s="11" t="str">
        <f>HYPERLINK("http://www.pratoservice.it/","www.pratoservice.it")</f>
        <v>www.pratoservice.it</v>
      </c>
      <c r="J3293" s="12">
        <v>346.50599999999997</v>
      </c>
      <c r="K3293" s="12">
        <v>346.50599999999997</v>
      </c>
      <c r="L3293" s="13">
        <v>776.46600000000001</v>
      </c>
      <c r="M3293" s="12">
        <v>-0.74399999999999999</v>
      </c>
      <c r="N3293" s="12">
        <v>-0.74399999999999999</v>
      </c>
      <c r="O3293" s="12">
        <v>17.824000000000002</v>
      </c>
      <c r="P3293" s="12">
        <v>2</v>
      </c>
      <c r="Q3293" s="12">
        <v>2</v>
      </c>
      <c r="R3293" s="12">
        <v>11</v>
      </c>
    </row>
    <row r="3294" spans="1:18" ht="17" customHeight="1" x14ac:dyDescent="0.15">
      <c r="A3294" s="8" t="s">
        <v>17685</v>
      </c>
      <c r="B3294" s="9" t="s">
        <v>17686</v>
      </c>
      <c r="C3294" s="8" t="s">
        <v>17687</v>
      </c>
      <c r="D3294" s="8" t="s">
        <v>17687</v>
      </c>
      <c r="E3294" s="8" t="s">
        <v>17688</v>
      </c>
      <c r="F3294" s="8" t="s">
        <v>17689</v>
      </c>
      <c r="G3294" s="8" t="s">
        <v>17578</v>
      </c>
      <c r="H3294" s="8" t="s">
        <v>17579</v>
      </c>
      <c r="I3294" s="8" t="str">
        <f>HYPERLINK("http://www.be-florence.com/","www.be-florence.com")</f>
        <v>www.be-florence.com</v>
      </c>
      <c r="J3294" s="10">
        <v>1314.146</v>
      </c>
      <c r="K3294" s="10">
        <v>1314.146</v>
      </c>
      <c r="L3294" s="10">
        <v>775.60500000000002</v>
      </c>
      <c r="M3294" s="10">
        <v>23.646000000000001</v>
      </c>
      <c r="N3294" s="10">
        <v>23.646000000000001</v>
      </c>
      <c r="O3294" s="10">
        <v>8.7439999999999998</v>
      </c>
      <c r="P3294" s="15" t="s">
        <v>17540</v>
      </c>
      <c r="Q3294" s="15" t="s">
        <v>17540</v>
      </c>
      <c r="R3294" s="10">
        <v>4</v>
      </c>
    </row>
    <row r="3295" spans="1:18" ht="29.5" customHeight="1" x14ac:dyDescent="0.15">
      <c r="A3295" s="11" t="s">
        <v>17690</v>
      </c>
      <c r="B3295" s="1" t="s">
        <v>17691</v>
      </c>
      <c r="C3295" s="11" t="s">
        <v>17692</v>
      </c>
      <c r="D3295" s="11" t="s">
        <v>17692</v>
      </c>
      <c r="E3295" s="11" t="s">
        <v>17693</v>
      </c>
      <c r="F3295" s="11" t="s">
        <v>17670</v>
      </c>
      <c r="G3295" s="11" t="s">
        <v>17572</v>
      </c>
      <c r="H3295" s="11" t="s">
        <v>17573</v>
      </c>
      <c r="I3295" s="11" t="str">
        <f>HYPERLINK("http://www.frogpro.eu/","www.frogpro.eu")</f>
        <v>www.frogpro.eu</v>
      </c>
      <c r="J3295" s="12">
        <v>812.67</v>
      </c>
      <c r="K3295" s="12">
        <v>812.67</v>
      </c>
      <c r="L3295" s="13">
        <v>775.53200000000004</v>
      </c>
      <c r="M3295" s="12">
        <v>4.1120000000000001</v>
      </c>
      <c r="N3295" s="12">
        <v>4.1120000000000001</v>
      </c>
      <c r="O3295" s="12">
        <v>9.4309999999999992</v>
      </c>
      <c r="P3295" s="12">
        <v>12</v>
      </c>
      <c r="Q3295" s="12">
        <v>12</v>
      </c>
      <c r="R3295" s="12">
        <v>9</v>
      </c>
    </row>
    <row r="3296" spans="1:18" ht="17" customHeight="1" x14ac:dyDescent="0.15">
      <c r="A3296" s="8" t="s">
        <v>17694</v>
      </c>
      <c r="B3296" s="9" t="s">
        <v>17695</v>
      </c>
      <c r="C3296" s="8" t="s">
        <v>17696</v>
      </c>
      <c r="D3296" s="8" t="s">
        <v>17696</v>
      </c>
      <c r="E3296" s="8" t="s">
        <v>17697</v>
      </c>
      <c r="F3296" s="8" t="s">
        <v>17545</v>
      </c>
      <c r="G3296" s="8" t="s">
        <v>17698</v>
      </c>
      <c r="H3296" s="8" t="s">
        <v>17699</v>
      </c>
      <c r="I3296" s="8" t="str">
        <f>HYPERLINK("http://studiomoda83.it/","studiomoda83.it")</f>
        <v>studiomoda83.it</v>
      </c>
      <c r="J3296" s="10">
        <v>895.90599999999995</v>
      </c>
      <c r="K3296" s="10">
        <v>895.90599999999995</v>
      </c>
      <c r="L3296" s="10">
        <v>774.81100000000004</v>
      </c>
      <c r="M3296" s="10">
        <v>115.57899999999999</v>
      </c>
      <c r="N3296" s="10">
        <v>115.57899999999999</v>
      </c>
      <c r="O3296" s="10">
        <v>112.95099999999999</v>
      </c>
      <c r="P3296" s="10">
        <v>12</v>
      </c>
      <c r="Q3296" s="10">
        <v>12</v>
      </c>
      <c r="R3296" s="10">
        <v>15</v>
      </c>
    </row>
    <row r="3297" spans="1:18" ht="17" customHeight="1" x14ac:dyDescent="0.15">
      <c r="A3297" s="11" t="s">
        <v>17700</v>
      </c>
      <c r="B3297" s="1" t="s">
        <v>17701</v>
      </c>
      <c r="C3297" s="11" t="s">
        <v>17702</v>
      </c>
      <c r="D3297" s="11" t="s">
        <v>17702</v>
      </c>
      <c r="E3297" s="11" t="s">
        <v>17703</v>
      </c>
      <c r="F3297" s="11" t="s">
        <v>17704</v>
      </c>
      <c r="G3297" s="11" t="s">
        <v>17705</v>
      </c>
      <c r="H3297" s="11" t="s">
        <v>17706</v>
      </c>
      <c r="I3297" s="11" t="str">
        <f>HYPERLINK("http://www.insidecollection.it/","http://www.insidecollection.it")</f>
        <v>http://www.insidecollection.it</v>
      </c>
      <c r="J3297" s="12">
        <v>892.56299999999999</v>
      </c>
      <c r="K3297" s="12">
        <v>892.56299999999999</v>
      </c>
      <c r="L3297" s="13">
        <v>774.11599999999999</v>
      </c>
      <c r="M3297" s="12">
        <v>26.852</v>
      </c>
      <c r="N3297" s="12">
        <v>26.852</v>
      </c>
      <c r="O3297" s="12">
        <v>2.0510000000000002</v>
      </c>
      <c r="P3297" s="12">
        <v>3</v>
      </c>
      <c r="Q3297" s="12">
        <v>3</v>
      </c>
      <c r="R3297" s="12">
        <v>2</v>
      </c>
    </row>
    <row r="3298" spans="1:18" ht="17" customHeight="1" x14ac:dyDescent="0.15">
      <c r="A3298" s="8" t="s">
        <v>17707</v>
      </c>
      <c r="B3298" s="9" t="s">
        <v>17708</v>
      </c>
      <c r="C3298" s="8" t="s">
        <v>17709</v>
      </c>
      <c r="D3298" s="8" t="s">
        <v>17710</v>
      </c>
      <c r="E3298" s="8" t="s">
        <v>17711</v>
      </c>
      <c r="F3298" s="8" t="s">
        <v>17712</v>
      </c>
      <c r="G3298" s="8" t="s">
        <v>17713</v>
      </c>
      <c r="H3298" s="8" t="s">
        <v>17714</v>
      </c>
      <c r="I3298" s="8" t="str">
        <f>HYPERLINK("http://www.mascherinariutilizzabile.it/","www.mascherinariutilizzabile.it")</f>
        <v>www.mascherinariutilizzabile.it</v>
      </c>
      <c r="J3298" s="10">
        <v>950.14499999999998</v>
      </c>
      <c r="K3298" s="10">
        <v>950.14499999999998</v>
      </c>
      <c r="L3298" s="10">
        <v>773.89099999999996</v>
      </c>
      <c r="M3298" s="10">
        <v>126.84699999999999</v>
      </c>
      <c r="N3298" s="10">
        <v>126.84699999999999</v>
      </c>
      <c r="O3298" s="10">
        <v>14.124000000000001</v>
      </c>
      <c r="P3298" s="10">
        <v>16</v>
      </c>
      <c r="Q3298" s="10">
        <v>16</v>
      </c>
      <c r="R3298" s="10">
        <v>16</v>
      </c>
    </row>
    <row r="3299" spans="1:18" ht="17" customHeight="1" x14ac:dyDescent="0.15">
      <c r="A3299" s="11" t="s">
        <v>17715</v>
      </c>
      <c r="B3299" s="1" t="s">
        <v>17716</v>
      </c>
      <c r="C3299" s="11" t="s">
        <v>17717</v>
      </c>
      <c r="D3299" s="11" t="s">
        <v>17717</v>
      </c>
      <c r="E3299" s="11" t="s">
        <v>17718</v>
      </c>
      <c r="F3299" s="11" t="s">
        <v>17704</v>
      </c>
      <c r="G3299" s="11" t="s">
        <v>17719</v>
      </c>
      <c r="H3299" s="11" t="s">
        <v>17714</v>
      </c>
      <c r="I3299" s="11" t="str">
        <f>HYPERLINK("http://www.nickymilano.it/","www.nickymilano.it")</f>
        <v>www.nickymilano.it</v>
      </c>
      <c r="J3299" s="12">
        <v>772.11199999999997</v>
      </c>
      <c r="K3299" s="14" t="s">
        <v>17720</v>
      </c>
      <c r="L3299" s="13">
        <v>772.11199999999997</v>
      </c>
      <c r="M3299" s="12">
        <v>-710.62800000000004</v>
      </c>
      <c r="N3299" s="14" t="s">
        <v>17720</v>
      </c>
      <c r="O3299" s="12">
        <v>-710.62800000000004</v>
      </c>
      <c r="P3299" s="12">
        <v>6</v>
      </c>
      <c r="Q3299" s="14" t="s">
        <v>17720</v>
      </c>
      <c r="R3299" s="12">
        <v>6</v>
      </c>
    </row>
    <row r="3300" spans="1:18" ht="17" customHeight="1" x14ac:dyDescent="0.15">
      <c r="A3300" s="8" t="s">
        <v>17721</v>
      </c>
      <c r="B3300" s="9" t="s">
        <v>17722</v>
      </c>
      <c r="C3300" s="8" t="s">
        <v>17723</v>
      </c>
      <c r="D3300" s="8" t="s">
        <v>17723</v>
      </c>
      <c r="E3300" s="8" t="s">
        <v>17724</v>
      </c>
      <c r="F3300" s="8" t="s">
        <v>17725</v>
      </c>
      <c r="G3300" s="8" t="s">
        <v>17726</v>
      </c>
      <c r="H3300" s="8" t="s">
        <v>17727</v>
      </c>
      <c r="I3300" s="8" t="str">
        <f>HYPERLINK("http://www.larifurs.it/","http://www.larifurs.it")</f>
        <v>http://www.larifurs.it</v>
      </c>
      <c r="J3300" s="10">
        <v>672.88</v>
      </c>
      <c r="K3300" s="10">
        <v>672.88</v>
      </c>
      <c r="L3300" s="10">
        <v>771.84400000000005</v>
      </c>
      <c r="M3300" s="10">
        <v>1.3640000000000001</v>
      </c>
      <c r="N3300" s="10">
        <v>1.3640000000000001</v>
      </c>
      <c r="O3300" s="10">
        <v>1.5880000000000001</v>
      </c>
      <c r="P3300" s="10">
        <v>5</v>
      </c>
      <c r="Q3300" s="10">
        <v>5</v>
      </c>
      <c r="R3300" s="10">
        <v>5</v>
      </c>
    </row>
    <row r="3301" spans="1:18" ht="17" customHeight="1" x14ac:dyDescent="0.15">
      <c r="A3301" s="11" t="s">
        <v>17728</v>
      </c>
      <c r="B3301" s="1" t="s">
        <v>17729</v>
      </c>
      <c r="C3301" s="11" t="s">
        <v>17730</v>
      </c>
      <c r="D3301" s="11" t="s">
        <v>17730</v>
      </c>
      <c r="E3301" s="11" t="s">
        <v>17731</v>
      </c>
      <c r="F3301" s="11" t="s">
        <v>17732</v>
      </c>
      <c r="G3301" s="11" t="s">
        <v>17733</v>
      </c>
      <c r="H3301" s="11" t="s">
        <v>17734</v>
      </c>
      <c r="I3301" s="11" t="str">
        <f>HYPERLINK("http://www.spacciouomosv.it/","www.spacciouomosv.it")</f>
        <v>www.spacciouomosv.it</v>
      </c>
      <c r="J3301" s="12">
        <v>703.47900000000004</v>
      </c>
      <c r="K3301" s="12">
        <v>703.47900000000004</v>
      </c>
      <c r="L3301" s="13">
        <v>771.65099999999995</v>
      </c>
      <c r="M3301" s="12">
        <v>33.289000000000001</v>
      </c>
      <c r="N3301" s="12">
        <v>33.289000000000001</v>
      </c>
      <c r="O3301" s="12">
        <v>30.802</v>
      </c>
      <c r="P3301" s="12">
        <v>5</v>
      </c>
      <c r="Q3301" s="12">
        <v>5</v>
      </c>
      <c r="R3301" s="12">
        <v>4</v>
      </c>
    </row>
    <row r="3302" spans="1:18" ht="43" customHeight="1" x14ac:dyDescent="0.15">
      <c r="A3302" s="8" t="s">
        <v>17735</v>
      </c>
      <c r="B3302" s="9" t="s">
        <v>17736</v>
      </c>
      <c r="C3302" s="8" t="s">
        <v>17737</v>
      </c>
      <c r="D3302" s="8" t="s">
        <v>17738</v>
      </c>
      <c r="E3302" s="8" t="s">
        <v>17739</v>
      </c>
      <c r="F3302" s="8" t="s">
        <v>17740</v>
      </c>
      <c r="G3302" s="8" t="s">
        <v>17741</v>
      </c>
      <c r="H3302" s="8" t="s">
        <v>17742</v>
      </c>
      <c r="I3302" s="8" t="str">
        <f>HYPERLINK("http://www.calzificiopalatino.it/","www.calzificiopalatino.it")</f>
        <v>www.calzificiopalatino.it</v>
      </c>
      <c r="J3302" s="10">
        <v>746.09299999999996</v>
      </c>
      <c r="K3302" s="10">
        <v>746.09299999999996</v>
      </c>
      <c r="L3302" s="10">
        <v>770.95500000000004</v>
      </c>
      <c r="M3302" s="10">
        <v>7.633</v>
      </c>
      <c r="N3302" s="10">
        <v>7.633</v>
      </c>
      <c r="O3302" s="10">
        <v>5.0789999999999997</v>
      </c>
      <c r="P3302" s="15" t="s">
        <v>17720</v>
      </c>
      <c r="Q3302" s="15" t="s">
        <v>17720</v>
      </c>
      <c r="R3302" s="10">
        <v>11</v>
      </c>
    </row>
    <row r="3303" spans="1:18" ht="17" customHeight="1" x14ac:dyDescent="0.15">
      <c r="A3303" s="11" t="s">
        <v>17743</v>
      </c>
      <c r="B3303" s="1" t="s">
        <v>17744</v>
      </c>
      <c r="C3303" s="11" t="s">
        <v>17745</v>
      </c>
      <c r="D3303" s="11" t="s">
        <v>17745</v>
      </c>
      <c r="E3303" s="11" t="s">
        <v>17746</v>
      </c>
      <c r="F3303" s="11" t="s">
        <v>17747</v>
      </c>
      <c r="G3303" s="11" t="s">
        <v>17713</v>
      </c>
      <c r="H3303" s="11" t="s">
        <v>17714</v>
      </c>
      <c r="I3303" s="11" t="str">
        <f>HYPERLINK("http://www.weballerina.it/","www.weballerina.it")</f>
        <v>www.weballerina.it</v>
      </c>
      <c r="J3303" s="12">
        <v>751.10799999999995</v>
      </c>
      <c r="K3303" s="12">
        <v>751.10799999999995</v>
      </c>
      <c r="L3303" s="13">
        <v>769.98299999999995</v>
      </c>
      <c r="M3303" s="12">
        <v>1.542</v>
      </c>
      <c r="N3303" s="12">
        <v>1.542</v>
      </c>
      <c r="O3303" s="12">
        <v>0.20599999999999999</v>
      </c>
      <c r="P3303" s="12">
        <v>3</v>
      </c>
      <c r="Q3303" s="12">
        <v>3</v>
      </c>
      <c r="R3303" s="12">
        <v>3</v>
      </c>
    </row>
    <row r="3304" spans="1:18" ht="29.5" customHeight="1" x14ac:dyDescent="0.15">
      <c r="A3304" s="8" t="s">
        <v>17748</v>
      </c>
      <c r="B3304" s="9" t="s">
        <v>17749</v>
      </c>
      <c r="C3304" s="8" t="s">
        <v>17750</v>
      </c>
      <c r="D3304" s="8" t="s">
        <v>17750</v>
      </c>
      <c r="E3304" s="8" t="s">
        <v>17751</v>
      </c>
      <c r="F3304" s="8" t="s">
        <v>17732</v>
      </c>
      <c r="G3304" s="8" t="s">
        <v>17752</v>
      </c>
      <c r="H3304" s="8" t="s">
        <v>17753</v>
      </c>
      <c r="I3304" s="8" t="str">
        <f>HYPERLINK("http://www.stigmatiltd.it/","www.stigmatiltd.it")</f>
        <v>www.stigmatiltd.it</v>
      </c>
      <c r="J3304" s="10">
        <v>918.98400000000004</v>
      </c>
      <c r="K3304" s="10">
        <v>918.98400000000004</v>
      </c>
      <c r="L3304" s="10">
        <v>768.58699999999999</v>
      </c>
      <c r="M3304" s="10">
        <v>-219.214</v>
      </c>
      <c r="N3304" s="10">
        <v>-219.214</v>
      </c>
      <c r="O3304" s="10">
        <v>90.182000000000002</v>
      </c>
      <c r="P3304" s="10">
        <v>5</v>
      </c>
      <c r="Q3304" s="10">
        <v>5</v>
      </c>
      <c r="R3304" s="10">
        <v>9</v>
      </c>
    </row>
    <row r="3305" spans="1:18" ht="17" customHeight="1" x14ac:dyDescent="0.15">
      <c r="A3305" s="11" t="s">
        <v>17754</v>
      </c>
      <c r="B3305" s="1" t="s">
        <v>17755</v>
      </c>
      <c r="C3305" s="11" t="s">
        <v>17756</v>
      </c>
      <c r="D3305" s="11" t="s">
        <v>17757</v>
      </c>
      <c r="E3305" s="11" t="s">
        <v>17758</v>
      </c>
      <c r="F3305" s="11" t="s">
        <v>17759</v>
      </c>
      <c r="G3305" s="11" t="s">
        <v>17760</v>
      </c>
      <c r="H3305" s="11" t="s">
        <v>17714</v>
      </c>
      <c r="I3305" s="11" t="str">
        <f>HYPERLINK("http://www.pozzigroup.com/","www.pozzigroup.com")</f>
        <v>www.pozzigroup.com</v>
      </c>
      <c r="J3305" s="12">
        <v>796.31200000000001</v>
      </c>
      <c r="K3305" s="12">
        <v>796.31200000000001</v>
      </c>
      <c r="L3305" s="13">
        <v>767.84</v>
      </c>
      <c r="M3305" s="12">
        <v>24.641999999999999</v>
      </c>
      <c r="N3305" s="12">
        <v>24.641999999999999</v>
      </c>
      <c r="O3305" s="12">
        <v>-25.198</v>
      </c>
      <c r="P3305" s="12">
        <v>7</v>
      </c>
      <c r="Q3305" s="12">
        <v>7</v>
      </c>
      <c r="R3305" s="12">
        <v>7</v>
      </c>
    </row>
    <row r="3306" spans="1:18" ht="17" customHeight="1" x14ac:dyDescent="0.15">
      <c r="A3306" s="8" t="s">
        <v>17761</v>
      </c>
      <c r="B3306" s="9" t="s">
        <v>17762</v>
      </c>
      <c r="C3306" s="8" t="s">
        <v>17763</v>
      </c>
      <c r="D3306" s="8" t="s">
        <v>17763</v>
      </c>
      <c r="E3306" s="8" t="s">
        <v>17764</v>
      </c>
      <c r="F3306" s="8" t="s">
        <v>17765</v>
      </c>
      <c r="G3306" s="8" t="s">
        <v>17766</v>
      </c>
      <c r="H3306" s="8" t="s">
        <v>17714</v>
      </c>
      <c r="I3306" s="8" t="str">
        <f>HYPERLINK("http://odintacticalgear.com/","odintacticalgear.com")</f>
        <v>odintacticalgear.com</v>
      </c>
      <c r="J3306" s="10">
        <v>558.60500000000002</v>
      </c>
      <c r="K3306" s="10">
        <v>558.60500000000002</v>
      </c>
      <c r="L3306" s="10">
        <v>767.02800000000002</v>
      </c>
      <c r="M3306" s="10">
        <v>13.372</v>
      </c>
      <c r="N3306" s="10">
        <v>13.372</v>
      </c>
      <c r="O3306" s="10">
        <v>9.24</v>
      </c>
      <c r="P3306" s="10">
        <v>6</v>
      </c>
      <c r="Q3306" s="10">
        <v>6</v>
      </c>
      <c r="R3306" s="10">
        <v>3</v>
      </c>
    </row>
    <row r="3307" spans="1:18" ht="17" customHeight="1" x14ac:dyDescent="0.15">
      <c r="A3307" s="11" t="s">
        <v>17767</v>
      </c>
      <c r="B3307" s="1" t="s">
        <v>17768</v>
      </c>
      <c r="C3307" s="11" t="s">
        <v>17769</v>
      </c>
      <c r="D3307" s="11" t="s">
        <v>17769</v>
      </c>
      <c r="E3307" s="11" t="s">
        <v>17770</v>
      </c>
      <c r="F3307" s="11" t="s">
        <v>17712</v>
      </c>
      <c r="G3307" s="11" t="s">
        <v>17771</v>
      </c>
      <c r="H3307" s="11" t="s">
        <v>17706</v>
      </c>
      <c r="I3307" s="11" t="str">
        <f>HYPERLINK("http://www.clo-ser.it/","www.clo-ser.it")</f>
        <v>www.clo-ser.it</v>
      </c>
      <c r="J3307" s="12">
        <v>1170.383</v>
      </c>
      <c r="K3307" s="12">
        <v>1170.383</v>
      </c>
      <c r="L3307" s="13">
        <v>766.24699999999996</v>
      </c>
      <c r="M3307" s="12">
        <v>29.03</v>
      </c>
      <c r="N3307" s="12">
        <v>29.03</v>
      </c>
      <c r="O3307" s="12">
        <v>-82.686999999999998</v>
      </c>
      <c r="P3307" s="12">
        <v>8</v>
      </c>
      <c r="Q3307" s="12">
        <v>8</v>
      </c>
      <c r="R3307" s="12">
        <v>9</v>
      </c>
    </row>
    <row r="3308" spans="1:18" ht="17" customHeight="1" x14ac:dyDescent="0.15">
      <c r="A3308" s="8" t="s">
        <v>17772</v>
      </c>
      <c r="B3308" s="9" t="s">
        <v>17773</v>
      </c>
      <c r="C3308" s="8" t="s">
        <v>17774</v>
      </c>
      <c r="D3308" s="8" t="s">
        <v>17774</v>
      </c>
      <c r="E3308" s="8" t="s">
        <v>17775</v>
      </c>
      <c r="F3308" s="8" t="s">
        <v>17776</v>
      </c>
      <c r="G3308" s="8" t="s">
        <v>17777</v>
      </c>
      <c r="H3308" s="8" t="s">
        <v>17753</v>
      </c>
      <c r="I3308" s="8" t="str">
        <f>HYPERLINK("http://www.marianosrl.it/","www.marianosrl.it")</f>
        <v>www.marianosrl.it</v>
      </c>
      <c r="J3308" s="10">
        <v>804.84699999999998</v>
      </c>
      <c r="K3308" s="10">
        <v>804.84699999999998</v>
      </c>
      <c r="L3308" s="10">
        <v>766.11</v>
      </c>
      <c r="M3308" s="10">
        <v>20.283999999999999</v>
      </c>
      <c r="N3308" s="10">
        <v>20.283999999999999</v>
      </c>
      <c r="O3308" s="10">
        <v>15.695</v>
      </c>
      <c r="P3308" s="15" t="s">
        <v>17720</v>
      </c>
      <c r="Q3308" s="15" t="s">
        <v>17720</v>
      </c>
      <c r="R3308" s="10">
        <v>12</v>
      </c>
    </row>
    <row r="3309" spans="1:18" ht="17" customHeight="1" x14ac:dyDescent="0.15">
      <c r="A3309" s="11" t="s">
        <v>17778</v>
      </c>
      <c r="B3309" s="1" t="s">
        <v>17779</v>
      </c>
      <c r="C3309" s="11" t="s">
        <v>17780</v>
      </c>
      <c r="D3309" s="11" t="s">
        <v>17780</v>
      </c>
      <c r="E3309" s="11" t="s">
        <v>17781</v>
      </c>
      <c r="F3309" s="11" t="s">
        <v>17782</v>
      </c>
      <c r="G3309" s="11" t="s">
        <v>17719</v>
      </c>
      <c r="H3309" s="11" t="s">
        <v>17714</v>
      </c>
      <c r="I3309" s="11" t="str">
        <f>HYPERLINK("http://www.faustocolato.it/","www.faustocolato.it")</f>
        <v>www.faustocolato.it</v>
      </c>
      <c r="J3309" s="12">
        <v>856.20100000000002</v>
      </c>
      <c r="K3309" s="12">
        <v>856.20100000000002</v>
      </c>
      <c r="L3309" s="13">
        <v>765.93899999999996</v>
      </c>
      <c r="M3309" s="12">
        <v>1.091</v>
      </c>
      <c r="N3309" s="12">
        <v>1.091</v>
      </c>
      <c r="O3309" s="12">
        <v>1.6659999999999999</v>
      </c>
      <c r="P3309" s="12">
        <v>9</v>
      </c>
      <c r="Q3309" s="12">
        <v>9</v>
      </c>
      <c r="R3309" s="12">
        <v>9</v>
      </c>
    </row>
    <row r="3310" spans="1:18" ht="17" customHeight="1" x14ac:dyDescent="0.15">
      <c r="A3310" s="8" t="s">
        <v>17783</v>
      </c>
      <c r="B3310" s="9" t="s">
        <v>17784</v>
      </c>
      <c r="C3310" s="8" t="s">
        <v>17785</v>
      </c>
      <c r="D3310" s="8" t="s">
        <v>17785</v>
      </c>
      <c r="E3310" s="8" t="s">
        <v>17786</v>
      </c>
      <c r="F3310" s="8" t="s">
        <v>17765</v>
      </c>
      <c r="G3310" s="8" t="s">
        <v>17752</v>
      </c>
      <c r="H3310" s="8" t="s">
        <v>17753</v>
      </c>
      <c r="I3310" s="8" t="str">
        <f>HYPERLINK("http://www.smmrbeachwear.com/","www.smmrbeachwear.com")</f>
        <v>www.smmrbeachwear.com</v>
      </c>
      <c r="J3310" s="10">
        <v>430.887</v>
      </c>
      <c r="K3310" s="10">
        <v>430.887</v>
      </c>
      <c r="L3310" s="10">
        <v>765.33799999999997</v>
      </c>
      <c r="M3310" s="10">
        <v>4.8959999999999999</v>
      </c>
      <c r="N3310" s="10">
        <v>4.8959999999999999</v>
      </c>
      <c r="O3310" s="10">
        <v>23.965</v>
      </c>
      <c r="P3310" s="15" t="s">
        <v>17720</v>
      </c>
      <c r="Q3310" s="15" t="s">
        <v>17720</v>
      </c>
      <c r="R3310" s="10">
        <v>6</v>
      </c>
    </row>
    <row r="3311" spans="1:18" ht="17" customHeight="1" x14ac:dyDescent="0.15">
      <c r="A3311" s="11" t="s">
        <v>17787</v>
      </c>
      <c r="B3311" s="1" t="s">
        <v>17788</v>
      </c>
      <c r="C3311" s="11" t="s">
        <v>17789</v>
      </c>
      <c r="D3311" s="11" t="s">
        <v>17789</v>
      </c>
      <c r="E3311" s="11" t="s">
        <v>17790</v>
      </c>
      <c r="F3311" s="11" t="s">
        <v>17791</v>
      </c>
      <c r="G3311" s="11" t="s">
        <v>17719</v>
      </c>
      <c r="H3311" s="11" t="s">
        <v>17714</v>
      </c>
      <c r="I3311" s="11" t="str">
        <f>HYPERLINK("http://www.fratelligrimaldi.com/","www.fratelligrimaldi.com")</f>
        <v>www.fratelligrimaldi.com</v>
      </c>
      <c r="J3311" s="12">
        <v>356.96699999999998</v>
      </c>
      <c r="K3311" s="12">
        <v>356.96699999999998</v>
      </c>
      <c r="L3311" s="13">
        <v>763.84100000000001</v>
      </c>
      <c r="M3311" s="12">
        <v>-97.198999999999998</v>
      </c>
      <c r="N3311" s="12">
        <v>-97.198999999999998</v>
      </c>
      <c r="O3311" s="12">
        <v>3.6739999999999999</v>
      </c>
      <c r="P3311" s="12">
        <v>8</v>
      </c>
      <c r="Q3311" s="12">
        <v>8</v>
      </c>
      <c r="R3311" s="12">
        <v>9</v>
      </c>
    </row>
    <row r="3312" spans="1:18" ht="29.5" customHeight="1" x14ac:dyDescent="0.15">
      <c r="A3312" s="8" t="s">
        <v>17792</v>
      </c>
      <c r="B3312" s="9" t="s">
        <v>17793</v>
      </c>
      <c r="C3312" s="8" t="s">
        <v>17794</v>
      </c>
      <c r="D3312" s="8" t="s">
        <v>17794</v>
      </c>
      <c r="E3312" s="8" t="s">
        <v>17795</v>
      </c>
      <c r="F3312" s="8" t="s">
        <v>17747</v>
      </c>
      <c r="G3312" s="8" t="s">
        <v>17796</v>
      </c>
      <c r="H3312" s="8" t="s">
        <v>17797</v>
      </c>
      <c r="I3312" s="8" t="str">
        <f>HYPERLINK("http://www.violafonti.it/","www.violafonti.it")</f>
        <v>www.violafonti.it</v>
      </c>
      <c r="J3312" s="10">
        <v>949.22500000000002</v>
      </c>
      <c r="K3312" s="10">
        <v>949.22500000000002</v>
      </c>
      <c r="L3312" s="10">
        <v>763.41899999999998</v>
      </c>
      <c r="M3312" s="10">
        <v>38.146000000000001</v>
      </c>
      <c r="N3312" s="10">
        <v>38.146000000000001</v>
      </c>
      <c r="O3312" s="10">
        <v>36.795999999999999</v>
      </c>
      <c r="P3312" s="15" t="s">
        <v>17720</v>
      </c>
      <c r="Q3312" s="15" t="s">
        <v>17720</v>
      </c>
      <c r="R3312" s="10">
        <v>5</v>
      </c>
    </row>
    <row r="3313" spans="1:18" ht="29.5" customHeight="1" x14ac:dyDescent="0.15">
      <c r="A3313" s="11" t="s">
        <v>17798</v>
      </c>
      <c r="B3313" s="1" t="s">
        <v>17799</v>
      </c>
      <c r="C3313" s="11" t="s">
        <v>17800</v>
      </c>
      <c r="D3313" s="11" t="s">
        <v>17800</v>
      </c>
      <c r="E3313" s="11" t="s">
        <v>17801</v>
      </c>
      <c r="F3313" s="11" t="s">
        <v>17759</v>
      </c>
      <c r="G3313" s="11" t="s">
        <v>17802</v>
      </c>
      <c r="H3313" s="11" t="s">
        <v>17797</v>
      </c>
      <c r="I3313" s="11" t="str">
        <f>HYPERLINK("http://www.leatherconcepts.it/","www.leatherconcepts.it")</f>
        <v>www.leatherconcepts.it</v>
      </c>
      <c r="J3313" s="12">
        <v>851.09299999999996</v>
      </c>
      <c r="K3313" s="12">
        <v>851.09299999999996</v>
      </c>
      <c r="L3313" s="13">
        <v>762.60599999999999</v>
      </c>
      <c r="M3313" s="12">
        <v>2.9510000000000001</v>
      </c>
      <c r="N3313" s="12">
        <v>2.9510000000000001</v>
      </c>
      <c r="O3313" s="12">
        <v>4.5049999999999999</v>
      </c>
      <c r="P3313" s="12">
        <v>3</v>
      </c>
      <c r="Q3313" s="12">
        <v>3</v>
      </c>
      <c r="R3313" s="12">
        <v>2</v>
      </c>
    </row>
    <row r="3314" spans="1:18" ht="17" customHeight="1" x14ac:dyDescent="0.15">
      <c r="A3314" s="8" t="s">
        <v>17803</v>
      </c>
      <c r="B3314" s="9" t="s">
        <v>17804</v>
      </c>
      <c r="C3314" s="8" t="s">
        <v>17805</v>
      </c>
      <c r="D3314" s="8" t="s">
        <v>17805</v>
      </c>
      <c r="E3314" s="8" t="s">
        <v>17806</v>
      </c>
      <c r="F3314" s="8" t="s">
        <v>17732</v>
      </c>
      <c r="G3314" s="8" t="s">
        <v>17807</v>
      </c>
      <c r="H3314" s="8" t="s">
        <v>17714</v>
      </c>
      <c r="I3314" s="8" t="str">
        <f>HYPERLINK("http://www.sophiestique.it/","www.sophiestique.it")</f>
        <v>www.sophiestique.it</v>
      </c>
      <c r="J3314" s="10">
        <v>834.99400000000003</v>
      </c>
      <c r="K3314" s="10">
        <v>834.99400000000003</v>
      </c>
      <c r="L3314" s="10">
        <v>761.71100000000001</v>
      </c>
      <c r="M3314" s="10">
        <v>7.7690000000000001</v>
      </c>
      <c r="N3314" s="10">
        <v>7.7690000000000001</v>
      </c>
      <c r="O3314" s="10">
        <v>23.518999999999998</v>
      </c>
      <c r="P3314" s="10">
        <v>11</v>
      </c>
      <c r="Q3314" s="10">
        <v>11</v>
      </c>
      <c r="R3314" s="10">
        <v>9</v>
      </c>
    </row>
    <row r="3315" spans="1:18" ht="17" customHeight="1" x14ac:dyDescent="0.15">
      <c r="A3315" s="11" t="s">
        <v>17808</v>
      </c>
      <c r="B3315" s="1" t="s">
        <v>17809</v>
      </c>
      <c r="C3315" s="11" t="s">
        <v>17810</v>
      </c>
      <c r="D3315" s="11" t="s">
        <v>17810</v>
      </c>
      <c r="E3315" s="11" t="s">
        <v>17811</v>
      </c>
      <c r="F3315" s="11" t="s">
        <v>17776</v>
      </c>
      <c r="G3315" s="11" t="s">
        <v>17796</v>
      </c>
      <c r="H3315" s="11" t="s">
        <v>17797</v>
      </c>
      <c r="I3315" s="11" t="str">
        <f>HYPERLINK("http://www.solettificiomarco.it/","www.solettificiomarco.it")</f>
        <v>www.solettificiomarco.it</v>
      </c>
      <c r="J3315" s="12">
        <v>638.04899999999998</v>
      </c>
      <c r="K3315" s="12">
        <v>638.04899999999998</v>
      </c>
      <c r="L3315" s="13">
        <v>761.63699999999994</v>
      </c>
      <c r="M3315" s="12">
        <v>1.752</v>
      </c>
      <c r="N3315" s="12">
        <v>1.752</v>
      </c>
      <c r="O3315" s="12">
        <v>-89.537000000000006</v>
      </c>
      <c r="P3315" s="12">
        <v>9</v>
      </c>
      <c r="Q3315" s="12">
        <v>9</v>
      </c>
      <c r="R3315" s="12">
        <v>8</v>
      </c>
    </row>
    <row r="3316" spans="1:18" ht="17" customHeight="1" x14ac:dyDescent="0.15">
      <c r="A3316" s="8" t="s">
        <v>17812</v>
      </c>
      <c r="B3316" s="9" t="s">
        <v>17813</v>
      </c>
      <c r="C3316" s="8" t="s">
        <v>17814</v>
      </c>
      <c r="D3316" s="8" t="s">
        <v>17814</v>
      </c>
      <c r="E3316" s="8" t="s">
        <v>17815</v>
      </c>
      <c r="F3316" s="8" t="s">
        <v>17816</v>
      </c>
      <c r="G3316" s="8" t="s">
        <v>17817</v>
      </c>
      <c r="H3316" s="8" t="s">
        <v>17818</v>
      </c>
      <c r="I3316" s="8" t="str">
        <f>HYPERLINK("http://www.vicocaroli.com/","www.vicocaroli.com")</f>
        <v>www.vicocaroli.com</v>
      </c>
      <c r="J3316" s="10">
        <v>1083.5989999999999</v>
      </c>
      <c r="K3316" s="10">
        <v>1083.5989999999999</v>
      </c>
      <c r="L3316" s="10">
        <v>760.61199999999997</v>
      </c>
      <c r="M3316" s="10">
        <v>53.597000000000001</v>
      </c>
      <c r="N3316" s="10">
        <v>53.597000000000001</v>
      </c>
      <c r="O3316" s="10">
        <v>13.864000000000001</v>
      </c>
      <c r="P3316" s="15" t="s">
        <v>17720</v>
      </c>
      <c r="Q3316" s="15" t="s">
        <v>17720</v>
      </c>
      <c r="R3316" s="10">
        <v>1</v>
      </c>
    </row>
    <row r="3317" spans="1:18" ht="17" customHeight="1" x14ac:dyDescent="0.15">
      <c r="A3317" s="11" t="s">
        <v>17819</v>
      </c>
      <c r="B3317" s="1" t="s">
        <v>17820</v>
      </c>
      <c r="C3317" s="11" t="s">
        <v>17821</v>
      </c>
      <c r="D3317" s="11" t="s">
        <v>17821</v>
      </c>
      <c r="E3317" s="11" t="s">
        <v>17822</v>
      </c>
      <c r="F3317" s="11" t="s">
        <v>17765</v>
      </c>
      <c r="G3317" s="11" t="s">
        <v>17733</v>
      </c>
      <c r="H3317" s="11" t="s">
        <v>17734</v>
      </c>
      <c r="I3317" s="11" t="str">
        <f>HYPERLINK("http://volatastore.com/","volatastore.com")</f>
        <v>volatastore.com</v>
      </c>
      <c r="J3317" s="12">
        <v>722.3</v>
      </c>
      <c r="K3317" s="12">
        <v>722.3</v>
      </c>
      <c r="L3317" s="13">
        <v>758.81700000000001</v>
      </c>
      <c r="M3317" s="12">
        <v>2.1110000000000002</v>
      </c>
      <c r="N3317" s="12">
        <v>2.1110000000000002</v>
      </c>
      <c r="O3317" s="12">
        <v>-1.042</v>
      </c>
      <c r="P3317" s="12">
        <v>5</v>
      </c>
      <c r="Q3317" s="12">
        <v>5</v>
      </c>
      <c r="R3317" s="12">
        <v>5</v>
      </c>
    </row>
    <row r="3318" spans="1:18" ht="17" customHeight="1" x14ac:dyDescent="0.15">
      <c r="A3318" s="8" t="s">
        <v>17823</v>
      </c>
      <c r="B3318" s="9" t="s">
        <v>17824</v>
      </c>
      <c r="C3318" s="8" t="s">
        <v>17825</v>
      </c>
      <c r="D3318" s="8" t="s">
        <v>17826</v>
      </c>
      <c r="E3318" s="8" t="s">
        <v>17827</v>
      </c>
      <c r="F3318" s="8" t="s">
        <v>17712</v>
      </c>
      <c r="G3318" s="8" t="s">
        <v>17828</v>
      </c>
      <c r="H3318" s="8" t="s">
        <v>17727</v>
      </c>
      <c r="I3318" s="8" t="str">
        <f>HYPERLINK("http://www.ginaitaly.it/","www.ginaitaly.it")</f>
        <v>www.ginaitaly.it</v>
      </c>
      <c r="J3318" s="10">
        <v>950.471</v>
      </c>
      <c r="K3318" s="10">
        <v>950.471</v>
      </c>
      <c r="L3318" s="10">
        <v>758.17100000000005</v>
      </c>
      <c r="M3318" s="10">
        <v>109.41800000000001</v>
      </c>
      <c r="N3318" s="10">
        <v>109.41800000000001</v>
      </c>
      <c r="O3318" s="10">
        <v>21.634</v>
      </c>
      <c r="P3318" s="10">
        <v>5</v>
      </c>
      <c r="Q3318" s="10">
        <v>5</v>
      </c>
      <c r="R3318" s="10">
        <v>5</v>
      </c>
    </row>
    <row r="3319" spans="1:18" ht="17" customHeight="1" x14ac:dyDescent="0.15">
      <c r="A3319" s="11" t="s">
        <v>17829</v>
      </c>
      <c r="B3319" s="1" t="s">
        <v>17830</v>
      </c>
      <c r="C3319" s="11" t="s">
        <v>17831</v>
      </c>
      <c r="D3319" s="11" t="s">
        <v>17831</v>
      </c>
      <c r="E3319" s="11" t="s">
        <v>17832</v>
      </c>
      <c r="F3319" s="11" t="s">
        <v>17712</v>
      </c>
      <c r="G3319" s="11" t="s">
        <v>17741</v>
      </c>
      <c r="H3319" s="11" t="s">
        <v>17742</v>
      </c>
      <c r="I3319" s="11" t="str">
        <f>HYPERLINK("http://atelierbomba.com/","atelierbomba.com")</f>
        <v>atelierbomba.com</v>
      </c>
      <c r="J3319" s="12">
        <v>666.16899999999998</v>
      </c>
      <c r="K3319" s="12">
        <v>666.16899999999998</v>
      </c>
      <c r="L3319" s="13">
        <v>757.08100000000002</v>
      </c>
      <c r="M3319" s="12">
        <v>36.947000000000003</v>
      </c>
      <c r="N3319" s="12">
        <v>36.947000000000003</v>
      </c>
      <c r="O3319" s="12">
        <v>6.6079999999999997</v>
      </c>
      <c r="P3319" s="12">
        <v>5</v>
      </c>
      <c r="Q3319" s="12">
        <v>5</v>
      </c>
      <c r="R3319" s="12">
        <v>4</v>
      </c>
    </row>
    <row r="3320" spans="1:18" ht="29.5" customHeight="1" x14ac:dyDescent="0.15">
      <c r="A3320" s="8" t="s">
        <v>17833</v>
      </c>
      <c r="B3320" s="9" t="s">
        <v>17834</v>
      </c>
      <c r="C3320" s="8" t="s">
        <v>17835</v>
      </c>
      <c r="D3320" s="8" t="s">
        <v>17835</v>
      </c>
      <c r="E3320" s="8" t="s">
        <v>17836</v>
      </c>
      <c r="F3320" s="8" t="s">
        <v>17837</v>
      </c>
      <c r="G3320" s="8" t="s">
        <v>17838</v>
      </c>
      <c r="H3320" s="8" t="s">
        <v>17734</v>
      </c>
      <c r="I3320" s="8" t="str">
        <f>HYPERLINK("http://www.calorsrl.com/","www.calorsrl.com")</f>
        <v>www.calorsrl.com</v>
      </c>
      <c r="J3320" s="10">
        <v>791.09500000000003</v>
      </c>
      <c r="K3320" s="10">
        <v>791.09500000000003</v>
      </c>
      <c r="L3320" s="10">
        <v>756.601</v>
      </c>
      <c r="M3320" s="10">
        <v>84.459000000000003</v>
      </c>
      <c r="N3320" s="10">
        <v>84.459000000000003</v>
      </c>
      <c r="O3320" s="10">
        <v>23.041</v>
      </c>
      <c r="P3320" s="10">
        <v>7</v>
      </c>
      <c r="Q3320" s="10">
        <v>7</v>
      </c>
      <c r="R3320" s="10">
        <v>6</v>
      </c>
    </row>
    <row r="3321" spans="1:18" ht="17" customHeight="1" x14ac:dyDescent="0.15">
      <c r="A3321" s="11" t="s">
        <v>17839</v>
      </c>
      <c r="B3321" s="1" t="s">
        <v>17840</v>
      </c>
      <c r="C3321" s="11" t="s">
        <v>17841</v>
      </c>
      <c r="D3321" s="11" t="s">
        <v>17841</v>
      </c>
      <c r="E3321" s="11" t="s">
        <v>17842</v>
      </c>
      <c r="F3321" s="11" t="s">
        <v>17712</v>
      </c>
      <c r="G3321" s="11" t="s">
        <v>17843</v>
      </c>
      <c r="H3321" s="11" t="s">
        <v>17734</v>
      </c>
      <c r="I3321" s="11" t="str">
        <f>HYPERLINK("http://www.progettomodapadova.com/","www.progettomodapadova.com")</f>
        <v>www.progettomodapadova.com</v>
      </c>
      <c r="J3321" s="12">
        <v>471.20299999999997</v>
      </c>
      <c r="K3321" s="12">
        <v>471.20299999999997</v>
      </c>
      <c r="L3321" s="13">
        <v>756.26599999999996</v>
      </c>
      <c r="M3321" s="12">
        <v>2.343</v>
      </c>
      <c r="N3321" s="12">
        <v>2.343</v>
      </c>
      <c r="O3321" s="12">
        <v>3.2549999999999999</v>
      </c>
      <c r="P3321" s="14" t="s">
        <v>17720</v>
      </c>
      <c r="Q3321" s="14" t="s">
        <v>17720</v>
      </c>
      <c r="R3321" s="12">
        <v>0</v>
      </c>
    </row>
    <row r="3322" spans="1:18" ht="17" customHeight="1" x14ac:dyDescent="0.15">
      <c r="A3322" s="8" t="s">
        <v>17844</v>
      </c>
      <c r="B3322" s="9" t="s">
        <v>17845</v>
      </c>
      <c r="C3322" s="8" t="s">
        <v>17846</v>
      </c>
      <c r="D3322" s="8" t="s">
        <v>17846</v>
      </c>
      <c r="E3322" s="8" t="s">
        <v>17847</v>
      </c>
      <c r="F3322" s="8" t="s">
        <v>17704</v>
      </c>
      <c r="G3322" s="8" t="s">
        <v>17796</v>
      </c>
      <c r="H3322" s="8" t="s">
        <v>17797</v>
      </c>
      <c r="I3322" s="8" t="str">
        <f>HYPERLINK("http://ferrucciovecchi.com/?l=it","ferrucciovecchi.com?l=it")</f>
        <v>ferrucciovecchi.com?l=it</v>
      </c>
      <c r="J3322" s="10">
        <v>705.86199999999997</v>
      </c>
      <c r="K3322" s="10">
        <v>705.86199999999997</v>
      </c>
      <c r="L3322" s="10">
        <v>755.49</v>
      </c>
      <c r="M3322" s="10">
        <v>20.033000000000001</v>
      </c>
      <c r="N3322" s="10">
        <v>20.033000000000001</v>
      </c>
      <c r="O3322" s="10">
        <v>21.06</v>
      </c>
      <c r="P3322" s="10">
        <v>10</v>
      </c>
      <c r="Q3322" s="10">
        <v>10</v>
      </c>
      <c r="R3322" s="10">
        <v>10</v>
      </c>
    </row>
    <row r="3323" spans="1:18" ht="17" customHeight="1" x14ac:dyDescent="0.15">
      <c r="A3323" s="11" t="s">
        <v>17848</v>
      </c>
      <c r="B3323" s="1" t="s">
        <v>17849</v>
      </c>
      <c r="C3323" s="11" t="s">
        <v>17850</v>
      </c>
      <c r="D3323" s="11" t="s">
        <v>17850</v>
      </c>
      <c r="E3323" s="11" t="s">
        <v>17851</v>
      </c>
      <c r="F3323" s="11" t="s">
        <v>17732</v>
      </c>
      <c r="G3323" s="11" t="s">
        <v>17852</v>
      </c>
      <c r="H3323" s="11" t="s">
        <v>17853</v>
      </c>
      <c r="I3323" s="11" t="str">
        <f>HYPERLINK("http://www.upholsteryitaldesign.com/","www.upholsteryitaldesign.com")</f>
        <v>www.upholsteryitaldesign.com</v>
      </c>
      <c r="J3323" s="12">
        <v>716.05200000000002</v>
      </c>
      <c r="K3323" s="12">
        <v>716.05200000000002</v>
      </c>
      <c r="L3323" s="13">
        <v>755.173</v>
      </c>
      <c r="M3323" s="12">
        <v>534.62099999999998</v>
      </c>
      <c r="N3323" s="12">
        <v>534.62099999999998</v>
      </c>
      <c r="O3323" s="12">
        <v>192.96299999999999</v>
      </c>
      <c r="P3323" s="12">
        <v>19</v>
      </c>
      <c r="Q3323" s="12">
        <v>19</v>
      </c>
      <c r="R3323" s="12">
        <v>20</v>
      </c>
    </row>
    <row r="3324" spans="1:18" ht="17" customHeight="1" x14ac:dyDescent="0.15">
      <c r="A3324" s="8" t="s">
        <v>17854</v>
      </c>
      <c r="B3324" s="9" t="s">
        <v>17855</v>
      </c>
      <c r="C3324" s="8" t="s">
        <v>17856</v>
      </c>
      <c r="D3324" s="8" t="s">
        <v>17856</v>
      </c>
      <c r="E3324" s="8" t="s">
        <v>17857</v>
      </c>
      <c r="F3324" s="8" t="s">
        <v>17732</v>
      </c>
      <c r="G3324" s="8" t="s">
        <v>17852</v>
      </c>
      <c r="H3324" s="8" t="s">
        <v>17853</v>
      </c>
      <c r="I3324" s="8" t="str">
        <f>HYPERLINK("http://www.gledsrl.com/","www.gledsrl.com")</f>
        <v>www.gledsrl.com</v>
      </c>
      <c r="J3324" s="10">
        <v>1013.704</v>
      </c>
      <c r="K3324" s="10">
        <v>1013.704</v>
      </c>
      <c r="L3324" s="10">
        <v>754.51300000000003</v>
      </c>
      <c r="M3324" s="10">
        <v>2.2749999999999999</v>
      </c>
      <c r="N3324" s="10">
        <v>2.2749999999999999</v>
      </c>
      <c r="O3324" s="10">
        <v>1.4910000000000001</v>
      </c>
      <c r="P3324" s="10">
        <v>4</v>
      </c>
      <c r="Q3324" s="10">
        <v>4</v>
      </c>
      <c r="R3324" s="10">
        <v>3</v>
      </c>
    </row>
    <row r="3325" spans="1:18" ht="17" customHeight="1" x14ac:dyDescent="0.15">
      <c r="A3325" s="11" t="s">
        <v>17858</v>
      </c>
      <c r="B3325" s="1" t="s">
        <v>17859</v>
      </c>
      <c r="C3325" s="11" t="s">
        <v>17860</v>
      </c>
      <c r="D3325" s="11" t="s">
        <v>17860</v>
      </c>
      <c r="E3325" s="11" t="s">
        <v>17861</v>
      </c>
      <c r="F3325" s="11" t="s">
        <v>17704</v>
      </c>
      <c r="G3325" s="11" t="s">
        <v>17752</v>
      </c>
      <c r="H3325" s="11" t="s">
        <v>17753</v>
      </c>
      <c r="I3325" s="11" t="str">
        <f>HYPERLINK("http://parisigloves.it/","parisigloves.it")</f>
        <v>parisigloves.it</v>
      </c>
      <c r="J3325" s="12">
        <v>751.95399999999995</v>
      </c>
      <c r="K3325" s="12">
        <v>751.95399999999995</v>
      </c>
      <c r="L3325" s="13">
        <v>753.36500000000001</v>
      </c>
      <c r="M3325" s="12">
        <v>26.620999999999999</v>
      </c>
      <c r="N3325" s="12">
        <v>26.620999999999999</v>
      </c>
      <c r="O3325" s="12">
        <v>51.094000000000001</v>
      </c>
      <c r="P3325" s="12">
        <v>4</v>
      </c>
      <c r="Q3325" s="12">
        <v>4</v>
      </c>
      <c r="R3325" s="12">
        <v>5</v>
      </c>
    </row>
    <row r="3326" spans="1:18" ht="17" customHeight="1" x14ac:dyDescent="0.15">
      <c r="A3326" s="8" t="s">
        <v>17862</v>
      </c>
      <c r="B3326" s="9" t="s">
        <v>17863</v>
      </c>
      <c r="C3326" s="8" t="s">
        <v>17864</v>
      </c>
      <c r="D3326" s="8" t="s">
        <v>17864</v>
      </c>
      <c r="E3326" s="8" t="s">
        <v>17865</v>
      </c>
      <c r="F3326" s="8" t="s">
        <v>17712</v>
      </c>
      <c r="G3326" s="8" t="s">
        <v>17752</v>
      </c>
      <c r="H3326" s="8" t="s">
        <v>17753</v>
      </c>
      <c r="I3326" s="8" t="str">
        <f>HYPERLINK("http://www.mondeitalianfashion.it/","www.mondeitalianfashion.it")</f>
        <v>www.mondeitalianfashion.it</v>
      </c>
      <c r="J3326" s="10">
        <v>655.83600000000001</v>
      </c>
      <c r="K3326" s="10">
        <v>655.83600000000001</v>
      </c>
      <c r="L3326" s="10">
        <v>752.06</v>
      </c>
      <c r="M3326" s="10">
        <v>43.436999999999998</v>
      </c>
      <c r="N3326" s="10">
        <v>43.436999999999998</v>
      </c>
      <c r="O3326" s="10">
        <v>40.627000000000002</v>
      </c>
      <c r="P3326" s="10">
        <v>0</v>
      </c>
      <c r="Q3326" s="10">
        <v>0</v>
      </c>
      <c r="R3326" s="10">
        <v>0</v>
      </c>
    </row>
    <row r="3327" spans="1:18" ht="17" customHeight="1" x14ac:dyDescent="0.15">
      <c r="A3327" s="11" t="s">
        <v>17866</v>
      </c>
      <c r="B3327" s="1" t="s">
        <v>17867</v>
      </c>
      <c r="C3327" s="11" t="s">
        <v>17868</v>
      </c>
      <c r="D3327" s="11" t="s">
        <v>17868</v>
      </c>
      <c r="E3327" s="11" t="s">
        <v>17869</v>
      </c>
      <c r="F3327" s="11" t="s">
        <v>17870</v>
      </c>
      <c r="G3327" s="11" t="s">
        <v>17871</v>
      </c>
      <c r="H3327" s="11" t="s">
        <v>17706</v>
      </c>
      <c r="I3327" s="11" t="str">
        <f>HYPERLINK("http://www.rsatelier.it/","www.rsatelier.it")</f>
        <v>www.rsatelier.it</v>
      </c>
      <c r="J3327" s="12">
        <v>848.53499999999997</v>
      </c>
      <c r="K3327" s="12">
        <v>848.53499999999997</v>
      </c>
      <c r="L3327" s="13">
        <v>751.73199999999997</v>
      </c>
      <c r="M3327" s="12">
        <v>35.415999999999997</v>
      </c>
      <c r="N3327" s="12">
        <v>35.415999999999997</v>
      </c>
      <c r="O3327" s="12">
        <v>-13.616</v>
      </c>
      <c r="P3327" s="12">
        <v>10</v>
      </c>
      <c r="Q3327" s="12">
        <v>10</v>
      </c>
      <c r="R3327" s="12">
        <v>9</v>
      </c>
    </row>
    <row r="3328" spans="1:18" ht="17" customHeight="1" x14ac:dyDescent="0.15">
      <c r="A3328" s="8" t="s">
        <v>17872</v>
      </c>
      <c r="B3328" s="9" t="s">
        <v>17873</v>
      </c>
      <c r="C3328" s="8" t="s">
        <v>17874</v>
      </c>
      <c r="D3328" s="8" t="s">
        <v>17874</v>
      </c>
      <c r="E3328" s="8" t="s">
        <v>17875</v>
      </c>
      <c r="F3328" s="8" t="s">
        <v>17704</v>
      </c>
      <c r="G3328" s="8" t="s">
        <v>17876</v>
      </c>
      <c r="H3328" s="8" t="s">
        <v>17706</v>
      </c>
      <c r="I3328" s="8" t="str">
        <f>HYPERLINK("http://www.labens.it/","www.labens.it")</f>
        <v>www.labens.it</v>
      </c>
      <c r="J3328" s="10">
        <v>703.68700000000001</v>
      </c>
      <c r="K3328" s="10">
        <v>703.68700000000001</v>
      </c>
      <c r="L3328" s="10">
        <v>751.74699999999996</v>
      </c>
      <c r="M3328" s="10">
        <v>21.07</v>
      </c>
      <c r="N3328" s="10">
        <v>21.07</v>
      </c>
      <c r="O3328" s="10">
        <v>84.373000000000005</v>
      </c>
      <c r="P3328" s="10">
        <v>6</v>
      </c>
      <c r="Q3328" s="10">
        <v>6</v>
      </c>
      <c r="R3328" s="10">
        <v>3</v>
      </c>
    </row>
    <row r="3329" spans="1:18" ht="17" customHeight="1" x14ac:dyDescent="0.15">
      <c r="A3329" s="11" t="s">
        <v>17877</v>
      </c>
      <c r="B3329" s="1" t="s">
        <v>17878</v>
      </c>
      <c r="C3329" s="11" t="s">
        <v>17879</v>
      </c>
      <c r="D3329" s="11" t="s">
        <v>17879</v>
      </c>
      <c r="E3329" s="11" t="s">
        <v>17880</v>
      </c>
      <c r="F3329" s="11" t="s">
        <v>17881</v>
      </c>
      <c r="G3329" s="11" t="s">
        <v>17882</v>
      </c>
      <c r="H3329" s="11" t="s">
        <v>17883</v>
      </c>
      <c r="I3329" s="11" t="str">
        <f>HYPERLINK("http://www.carrarovenezia.com/","www.carrarovenezia.com")</f>
        <v>www.carrarovenezia.com</v>
      </c>
      <c r="J3329" s="12">
        <v>576.34900000000005</v>
      </c>
      <c r="K3329" s="12">
        <v>576.34900000000005</v>
      </c>
      <c r="L3329" s="13">
        <v>751.67600000000004</v>
      </c>
      <c r="M3329" s="12">
        <v>3.7639999999999998</v>
      </c>
      <c r="N3329" s="12">
        <v>3.7639999999999998</v>
      </c>
      <c r="O3329" s="12">
        <v>2.673</v>
      </c>
      <c r="P3329" s="12">
        <v>11</v>
      </c>
      <c r="Q3329" s="12">
        <v>11</v>
      </c>
      <c r="R3329" s="12">
        <v>12</v>
      </c>
    </row>
    <row r="3330" spans="1:18" ht="17" customHeight="1" x14ac:dyDescent="0.15">
      <c r="A3330" s="8" t="s">
        <v>17884</v>
      </c>
      <c r="B3330" s="9" t="s">
        <v>17885</v>
      </c>
      <c r="C3330" s="8" t="s">
        <v>17886</v>
      </c>
      <c r="D3330" s="8" t="s">
        <v>17886</v>
      </c>
      <c r="E3330" s="8" t="s">
        <v>17887</v>
      </c>
      <c r="F3330" s="8" t="s">
        <v>17888</v>
      </c>
      <c r="G3330" s="8" t="s">
        <v>17889</v>
      </c>
      <c r="H3330" s="8" t="s">
        <v>17890</v>
      </c>
      <c r="I3330" s="8" t="str">
        <f>HYPERLINK("http://gordon-1952.it/","gordon-1952.it")</f>
        <v>gordon-1952.it</v>
      </c>
      <c r="J3330" s="10">
        <v>768.01900000000001</v>
      </c>
      <c r="K3330" s="10">
        <v>768.01900000000001</v>
      </c>
      <c r="L3330" s="10">
        <v>749.75800000000004</v>
      </c>
      <c r="M3330" s="10">
        <v>21.260999999999999</v>
      </c>
      <c r="N3330" s="10">
        <v>21.260999999999999</v>
      </c>
      <c r="O3330" s="10">
        <v>19.472999999999999</v>
      </c>
      <c r="P3330" s="10">
        <v>12</v>
      </c>
      <c r="Q3330" s="10">
        <v>12</v>
      </c>
      <c r="R3330" s="10">
        <v>13</v>
      </c>
    </row>
    <row r="3331" spans="1:18" ht="17" customHeight="1" x14ac:dyDescent="0.15">
      <c r="A3331" s="11" t="s">
        <v>17891</v>
      </c>
      <c r="B3331" s="1" t="s">
        <v>17892</v>
      </c>
      <c r="C3331" s="11" t="s">
        <v>17893</v>
      </c>
      <c r="D3331" s="11" t="s">
        <v>17893</v>
      </c>
      <c r="E3331" s="11" t="s">
        <v>17894</v>
      </c>
      <c r="F3331" s="11" t="s">
        <v>17895</v>
      </c>
      <c r="G3331" s="11" t="s">
        <v>17896</v>
      </c>
      <c r="H3331" s="11" t="s">
        <v>17897</v>
      </c>
      <c r="I3331" s="11" t="str">
        <f>HYPERLINK("http://www.galvan-sposa.com/","www.galvan-sposa.com")</f>
        <v>www.galvan-sposa.com</v>
      </c>
      <c r="J3331" s="12">
        <v>736.73299999999995</v>
      </c>
      <c r="K3331" s="12">
        <v>736.73299999999995</v>
      </c>
      <c r="L3331" s="13">
        <v>749.02</v>
      </c>
      <c r="M3331" s="12">
        <v>-173.9</v>
      </c>
      <c r="N3331" s="12">
        <v>-173.9</v>
      </c>
      <c r="O3331" s="12">
        <v>0.40100000000000002</v>
      </c>
      <c r="P3331" s="12">
        <v>8</v>
      </c>
      <c r="Q3331" s="12">
        <v>8</v>
      </c>
      <c r="R3331" s="12">
        <v>9</v>
      </c>
    </row>
    <row r="3332" spans="1:18" ht="29.5" customHeight="1" x14ac:dyDescent="0.15">
      <c r="A3332" s="8" t="s">
        <v>17898</v>
      </c>
      <c r="B3332" s="9" t="s">
        <v>17899</v>
      </c>
      <c r="C3332" s="8" t="s">
        <v>17900</v>
      </c>
      <c r="D3332" s="8" t="s">
        <v>17901</v>
      </c>
      <c r="E3332" s="8" t="s">
        <v>17902</v>
      </c>
      <c r="F3332" s="8" t="s">
        <v>17888</v>
      </c>
      <c r="G3332" s="8" t="s">
        <v>17903</v>
      </c>
      <c r="H3332" s="8" t="s">
        <v>17904</v>
      </c>
      <c r="I3332" s="8" t="str">
        <f>HYPERLINK("http://altex.it/","altex.it")</f>
        <v>altex.it</v>
      </c>
      <c r="J3332" s="10">
        <v>738.48</v>
      </c>
      <c r="K3332" s="10">
        <v>738.48</v>
      </c>
      <c r="L3332" s="10">
        <v>744.36</v>
      </c>
      <c r="M3332" s="10">
        <v>5.952</v>
      </c>
      <c r="N3332" s="10">
        <v>5.952</v>
      </c>
      <c r="O3332" s="10">
        <v>7.7270000000000003</v>
      </c>
      <c r="P3332" s="15" t="s">
        <v>17905</v>
      </c>
      <c r="Q3332" s="15" t="s">
        <v>17905</v>
      </c>
      <c r="R3332" s="10">
        <v>11</v>
      </c>
    </row>
    <row r="3333" spans="1:18" ht="29.5" customHeight="1" x14ac:dyDescent="0.15">
      <c r="A3333" s="11" t="s">
        <v>17906</v>
      </c>
      <c r="B3333" s="1" t="s">
        <v>17907</v>
      </c>
      <c r="C3333" s="11" t="s">
        <v>17908</v>
      </c>
      <c r="D3333" s="11" t="s">
        <v>17908</v>
      </c>
      <c r="E3333" s="11" t="s">
        <v>17909</v>
      </c>
      <c r="F3333" s="11" t="s">
        <v>17910</v>
      </c>
      <c r="G3333" s="11" t="s">
        <v>17911</v>
      </c>
      <c r="H3333" s="11" t="s">
        <v>17883</v>
      </c>
      <c r="I3333" s="11" t="str">
        <f>HYPERLINK("http://www.giemmefashion.com/","www.giemmefashion.com")</f>
        <v>www.giemmefashion.com</v>
      </c>
      <c r="J3333" s="12">
        <v>869.65800000000002</v>
      </c>
      <c r="K3333" s="12">
        <v>869.65800000000002</v>
      </c>
      <c r="L3333" s="13">
        <v>742.55399999999997</v>
      </c>
      <c r="M3333" s="12">
        <v>9.173</v>
      </c>
      <c r="N3333" s="12">
        <v>9.173</v>
      </c>
      <c r="O3333" s="12">
        <v>2.0680000000000001</v>
      </c>
      <c r="P3333" s="12">
        <v>19</v>
      </c>
      <c r="Q3333" s="12">
        <v>19</v>
      </c>
      <c r="R3333" s="12">
        <v>18</v>
      </c>
    </row>
    <row r="3334" spans="1:18" ht="17" customHeight="1" x14ac:dyDescent="0.15">
      <c r="A3334" s="8" t="s">
        <v>17912</v>
      </c>
      <c r="B3334" s="9" t="s">
        <v>17913</v>
      </c>
      <c r="C3334" s="8" t="s">
        <v>17914</v>
      </c>
      <c r="D3334" s="8" t="s">
        <v>17914</v>
      </c>
      <c r="E3334" s="8" t="s">
        <v>17915</v>
      </c>
      <c r="F3334" s="8" t="s">
        <v>17916</v>
      </c>
      <c r="G3334" s="8" t="s">
        <v>17917</v>
      </c>
      <c r="H3334" s="8" t="s">
        <v>17918</v>
      </c>
      <c r="I3334" s="8" t="str">
        <f>HYPERLINK("http://www.maratac.it/","www.maratac.it")</f>
        <v>www.maratac.it</v>
      </c>
      <c r="J3334" s="10">
        <v>722.04200000000003</v>
      </c>
      <c r="K3334" s="10">
        <v>722.04200000000003</v>
      </c>
      <c r="L3334" s="10">
        <v>741.875</v>
      </c>
      <c r="M3334" s="10">
        <v>25.401</v>
      </c>
      <c r="N3334" s="10">
        <v>25.401</v>
      </c>
      <c r="O3334" s="10">
        <v>8.3800000000000008</v>
      </c>
      <c r="P3334" s="10">
        <v>6</v>
      </c>
      <c r="Q3334" s="10">
        <v>6</v>
      </c>
      <c r="R3334" s="10">
        <v>7</v>
      </c>
    </row>
    <row r="3335" spans="1:18" ht="17" customHeight="1" x14ac:dyDescent="0.15">
      <c r="A3335" s="11" t="s">
        <v>17919</v>
      </c>
      <c r="B3335" s="1" t="s">
        <v>17920</v>
      </c>
      <c r="C3335" s="11" t="s">
        <v>17921</v>
      </c>
      <c r="D3335" s="11" t="s">
        <v>17921</v>
      </c>
      <c r="E3335" s="11" t="s">
        <v>17922</v>
      </c>
      <c r="F3335" s="11" t="s">
        <v>17895</v>
      </c>
      <c r="G3335" s="11" t="s">
        <v>17923</v>
      </c>
      <c r="H3335" s="11" t="s">
        <v>17924</v>
      </c>
      <c r="I3335" s="11" t="str">
        <f>HYPERLINK("http://www.sanvenero.com/","www.sanvenero.com")</f>
        <v>www.sanvenero.com</v>
      </c>
      <c r="J3335" s="12">
        <v>767.64400000000001</v>
      </c>
      <c r="K3335" s="12">
        <v>767.64400000000001</v>
      </c>
      <c r="L3335" s="13">
        <v>741.03099999999995</v>
      </c>
      <c r="M3335" s="12">
        <v>0.42899999999999999</v>
      </c>
      <c r="N3335" s="12">
        <v>0.42899999999999999</v>
      </c>
      <c r="O3335" s="12">
        <v>7.4169999999999998</v>
      </c>
      <c r="P3335" s="14" t="s">
        <v>17905</v>
      </c>
      <c r="Q3335" s="14" t="s">
        <v>17905</v>
      </c>
      <c r="R3335" s="12">
        <v>3</v>
      </c>
    </row>
    <row r="3336" spans="1:18" ht="17" customHeight="1" x14ac:dyDescent="0.15">
      <c r="A3336" s="8" t="s">
        <v>17925</v>
      </c>
      <c r="B3336" s="9" t="s">
        <v>17926</v>
      </c>
      <c r="C3336" s="8" t="s">
        <v>17927</v>
      </c>
      <c r="D3336" s="8" t="s">
        <v>17927</v>
      </c>
      <c r="E3336" s="8" t="s">
        <v>17928</v>
      </c>
      <c r="F3336" s="8" t="s">
        <v>17929</v>
      </c>
      <c r="G3336" s="8" t="s">
        <v>17930</v>
      </c>
      <c r="H3336" s="8" t="s">
        <v>17931</v>
      </c>
      <c r="I3336" s="8" t="str">
        <f>HYPERLINK("http://bombata.it/","bombata.it")</f>
        <v>bombata.it</v>
      </c>
      <c r="J3336" s="10">
        <v>630.41700000000003</v>
      </c>
      <c r="K3336" s="10">
        <v>630.41700000000003</v>
      </c>
      <c r="L3336" s="10">
        <v>740.97299999999996</v>
      </c>
      <c r="M3336" s="10">
        <v>25.914000000000001</v>
      </c>
      <c r="N3336" s="10">
        <v>25.914000000000001</v>
      </c>
      <c r="O3336" s="10">
        <v>42.276000000000003</v>
      </c>
      <c r="P3336" s="10">
        <v>3</v>
      </c>
      <c r="Q3336" s="10">
        <v>3</v>
      </c>
      <c r="R3336" s="10">
        <v>3</v>
      </c>
    </row>
    <row r="3337" spans="1:18" ht="17" customHeight="1" x14ac:dyDescent="0.15">
      <c r="A3337" s="11" t="s">
        <v>17932</v>
      </c>
      <c r="B3337" s="1" t="s">
        <v>17933</v>
      </c>
      <c r="C3337" s="11" t="s">
        <v>17934</v>
      </c>
      <c r="D3337" s="11" t="s">
        <v>17934</v>
      </c>
      <c r="E3337" s="11" t="s">
        <v>17935</v>
      </c>
      <c r="F3337" s="11" t="s">
        <v>17910</v>
      </c>
      <c r="G3337" s="11" t="s">
        <v>17936</v>
      </c>
      <c r="H3337" s="11" t="s">
        <v>17897</v>
      </c>
      <c r="I3337" s="11" t="str">
        <f>HYPERLINK("http://www.cridamilano.it/","www.cridamilano.it")</f>
        <v>www.cridamilano.it</v>
      </c>
      <c r="J3337" s="12">
        <v>908.59199999999998</v>
      </c>
      <c r="K3337" s="12">
        <v>908.59199999999998</v>
      </c>
      <c r="L3337" s="13">
        <v>740.83299999999997</v>
      </c>
      <c r="M3337" s="12">
        <v>-27.465</v>
      </c>
      <c r="N3337" s="12">
        <v>-27.465</v>
      </c>
      <c r="O3337" s="12">
        <v>13.738</v>
      </c>
      <c r="P3337" s="14" t="s">
        <v>17905</v>
      </c>
      <c r="Q3337" s="14" t="s">
        <v>17905</v>
      </c>
      <c r="R3337" s="12">
        <v>0</v>
      </c>
    </row>
    <row r="3338" spans="1:18" ht="17" customHeight="1" x14ac:dyDescent="0.15">
      <c r="A3338" s="8" t="s">
        <v>17937</v>
      </c>
      <c r="B3338" s="9" t="s">
        <v>17938</v>
      </c>
      <c r="C3338" s="8" t="s">
        <v>17939</v>
      </c>
      <c r="D3338" s="8" t="s">
        <v>17939</v>
      </c>
      <c r="E3338" s="8" t="s">
        <v>17940</v>
      </c>
      <c r="F3338" s="8" t="s">
        <v>17941</v>
      </c>
      <c r="G3338" s="8" t="s">
        <v>17942</v>
      </c>
      <c r="H3338" s="8" t="s">
        <v>17943</v>
      </c>
      <c r="I3338" s="8" t="str">
        <f>HYPERLINK("http://www.confsport.com/","www.confsport.com")</f>
        <v>www.confsport.com</v>
      </c>
      <c r="J3338" s="10">
        <v>742.95799999999997</v>
      </c>
      <c r="K3338" s="10">
        <v>742.95799999999997</v>
      </c>
      <c r="L3338" s="10">
        <v>738.19799999999998</v>
      </c>
      <c r="M3338" s="10">
        <v>69.239000000000004</v>
      </c>
      <c r="N3338" s="10">
        <v>69.239000000000004</v>
      </c>
      <c r="O3338" s="10">
        <v>-4.1280000000000001</v>
      </c>
      <c r="P3338" s="10">
        <v>16</v>
      </c>
      <c r="Q3338" s="10">
        <v>16</v>
      </c>
      <c r="R3338" s="10">
        <v>17</v>
      </c>
    </row>
    <row r="3339" spans="1:18" ht="17" customHeight="1" x14ac:dyDescent="0.15">
      <c r="A3339" s="11" t="s">
        <v>17944</v>
      </c>
      <c r="B3339" s="1" t="s">
        <v>17945</v>
      </c>
      <c r="C3339" s="11" t="s">
        <v>17946</v>
      </c>
      <c r="D3339" s="11" t="s">
        <v>17946</v>
      </c>
      <c r="E3339" s="11" t="s">
        <v>17947</v>
      </c>
      <c r="F3339" s="11" t="s">
        <v>17910</v>
      </c>
      <c r="G3339" s="11" t="s">
        <v>17948</v>
      </c>
      <c r="H3339" s="11" t="s">
        <v>17883</v>
      </c>
      <c r="I3339" s="11" t="str">
        <f>HYPERLINK("http://effettolanaecotone.it/","effettolanaecotone.it")</f>
        <v>effettolanaecotone.it</v>
      </c>
      <c r="J3339" s="12">
        <v>597.26099999999997</v>
      </c>
      <c r="K3339" s="12">
        <v>597.26099999999997</v>
      </c>
      <c r="L3339" s="13">
        <v>737.65700000000004</v>
      </c>
      <c r="M3339" s="12">
        <v>0.80500000000000005</v>
      </c>
      <c r="N3339" s="12">
        <v>0.80500000000000005</v>
      </c>
      <c r="O3339" s="12">
        <v>-10.000999999999999</v>
      </c>
      <c r="P3339" s="12">
        <v>16</v>
      </c>
      <c r="Q3339" s="12">
        <v>16</v>
      </c>
      <c r="R3339" s="12">
        <v>14</v>
      </c>
    </row>
    <row r="3340" spans="1:18" ht="17" customHeight="1" x14ac:dyDescent="0.15">
      <c r="A3340" s="8" t="s">
        <v>17949</v>
      </c>
      <c r="B3340" s="9" t="s">
        <v>17950</v>
      </c>
      <c r="C3340" s="8" t="s">
        <v>17951</v>
      </c>
      <c r="D3340" s="8" t="s">
        <v>17951</v>
      </c>
      <c r="E3340" s="8" t="s">
        <v>17952</v>
      </c>
      <c r="F3340" s="8" t="s">
        <v>17953</v>
      </c>
      <c r="G3340" s="8" t="s">
        <v>17954</v>
      </c>
      <c r="H3340" s="8" t="s">
        <v>17890</v>
      </c>
      <c r="I3340" s="8" t="str">
        <f>HYPERLINK("http://www.sccalze.com/","www.sccalze.com")</f>
        <v>www.sccalze.com</v>
      </c>
      <c r="J3340" s="10">
        <v>868.16700000000003</v>
      </c>
      <c r="K3340" s="10">
        <v>868.16700000000003</v>
      </c>
      <c r="L3340" s="10">
        <v>737.22299999999996</v>
      </c>
      <c r="M3340" s="10">
        <v>101.054</v>
      </c>
      <c r="N3340" s="10">
        <v>101.054</v>
      </c>
      <c r="O3340" s="10">
        <v>126.5</v>
      </c>
      <c r="P3340" s="15" t="s">
        <v>17905</v>
      </c>
      <c r="Q3340" s="15" t="s">
        <v>17905</v>
      </c>
      <c r="R3340" s="10">
        <v>14</v>
      </c>
    </row>
    <row r="3341" spans="1:18" ht="17" customHeight="1" x14ac:dyDescent="0.15">
      <c r="A3341" s="11" t="s">
        <v>17955</v>
      </c>
      <c r="B3341" s="1" t="s">
        <v>17956</v>
      </c>
      <c r="C3341" s="11" t="s">
        <v>17957</v>
      </c>
      <c r="D3341" s="11" t="s">
        <v>17957</v>
      </c>
      <c r="E3341" s="11" t="s">
        <v>17958</v>
      </c>
      <c r="F3341" s="11" t="s">
        <v>17959</v>
      </c>
      <c r="G3341" s="11" t="s">
        <v>17936</v>
      </c>
      <c r="H3341" s="11" t="s">
        <v>17897</v>
      </c>
      <c r="I3341" s="11" t="str">
        <f>HYPERLINK("http://www.seralfredtaglio.it/","www.seralfredtaglio.it")</f>
        <v>www.seralfredtaglio.it</v>
      </c>
      <c r="J3341" s="12">
        <v>939.21299999999997</v>
      </c>
      <c r="K3341" s="12">
        <v>939.21299999999997</v>
      </c>
      <c r="L3341" s="13">
        <v>736.90099999999995</v>
      </c>
      <c r="M3341" s="12">
        <v>135.565</v>
      </c>
      <c r="N3341" s="12">
        <v>135.565</v>
      </c>
      <c r="O3341" s="12">
        <v>43.417000000000002</v>
      </c>
      <c r="P3341" s="12">
        <v>13</v>
      </c>
      <c r="Q3341" s="12">
        <v>13</v>
      </c>
      <c r="R3341" s="12">
        <v>11</v>
      </c>
    </row>
    <row r="3342" spans="1:18" ht="17" customHeight="1" x14ac:dyDescent="0.15">
      <c r="A3342" s="8" t="s">
        <v>17960</v>
      </c>
      <c r="B3342" s="9" t="s">
        <v>17961</v>
      </c>
      <c r="C3342" s="8" t="s">
        <v>17962</v>
      </c>
      <c r="D3342" s="8" t="s">
        <v>17962</v>
      </c>
      <c r="E3342" s="8" t="s">
        <v>17963</v>
      </c>
      <c r="F3342" s="8" t="s">
        <v>17964</v>
      </c>
      <c r="G3342" s="8" t="s">
        <v>17936</v>
      </c>
      <c r="H3342" s="8" t="s">
        <v>17897</v>
      </c>
      <c r="I3342" s="8" t="str">
        <f>HYPERLINK("http://www.papillonintimo.it/","www.papillonintimo.it")</f>
        <v>www.papillonintimo.it</v>
      </c>
      <c r="J3342" s="10">
        <v>733.53800000000001</v>
      </c>
      <c r="K3342" s="15" t="s">
        <v>17905</v>
      </c>
      <c r="L3342" s="10">
        <v>733.53800000000001</v>
      </c>
      <c r="M3342" s="10">
        <v>10.242000000000001</v>
      </c>
      <c r="N3342" s="15" t="s">
        <v>17905</v>
      </c>
      <c r="O3342" s="10">
        <v>10.242000000000001</v>
      </c>
      <c r="P3342" s="10">
        <v>2</v>
      </c>
      <c r="Q3342" s="15" t="s">
        <v>17905</v>
      </c>
      <c r="R3342" s="10">
        <v>2</v>
      </c>
    </row>
    <row r="3343" spans="1:18" ht="29.5" customHeight="1" x14ac:dyDescent="0.15">
      <c r="A3343" s="11" t="s">
        <v>17965</v>
      </c>
      <c r="B3343" s="1" t="s">
        <v>17966</v>
      </c>
      <c r="C3343" s="11" t="s">
        <v>17967</v>
      </c>
      <c r="D3343" s="11" t="s">
        <v>17967</v>
      </c>
      <c r="E3343" s="11" t="s">
        <v>17968</v>
      </c>
      <c r="F3343" s="11" t="s">
        <v>17953</v>
      </c>
      <c r="G3343" s="11" t="s">
        <v>17969</v>
      </c>
      <c r="H3343" s="11" t="s">
        <v>17897</v>
      </c>
      <c r="I3343" s="11" t="str">
        <f>HYPERLINK("http://floky.com/","floky.com")</f>
        <v>floky.com</v>
      </c>
      <c r="J3343" s="12">
        <v>2109.5740000000001</v>
      </c>
      <c r="K3343" s="12">
        <v>2109.5740000000001</v>
      </c>
      <c r="L3343" s="13">
        <v>733.32100000000003</v>
      </c>
      <c r="M3343" s="12">
        <v>2.762</v>
      </c>
      <c r="N3343" s="12">
        <v>2.762</v>
      </c>
      <c r="O3343" s="12">
        <v>-250.279</v>
      </c>
      <c r="P3343" s="12">
        <v>6</v>
      </c>
      <c r="Q3343" s="12">
        <v>6</v>
      </c>
      <c r="R3343" s="12">
        <v>4</v>
      </c>
    </row>
    <row r="3344" spans="1:18" ht="17" customHeight="1" x14ac:dyDescent="0.15">
      <c r="A3344" s="8" t="s">
        <v>17970</v>
      </c>
      <c r="B3344" s="9" t="s">
        <v>17971</v>
      </c>
      <c r="C3344" s="8" t="s">
        <v>17972</v>
      </c>
      <c r="D3344" s="8" t="s">
        <v>17972</v>
      </c>
      <c r="E3344" s="8" t="s">
        <v>17973</v>
      </c>
      <c r="F3344" s="8" t="s">
        <v>17941</v>
      </c>
      <c r="G3344" s="8" t="s">
        <v>17974</v>
      </c>
      <c r="H3344" s="8" t="s">
        <v>17975</v>
      </c>
      <c r="I3344" s="8" t="str">
        <f>HYPERLINK("http://www.eurospal.it/","www.eurospal.it")</f>
        <v>www.eurospal.it</v>
      </c>
      <c r="J3344" s="10">
        <v>577.11300000000006</v>
      </c>
      <c r="K3344" s="10">
        <v>577.11300000000006</v>
      </c>
      <c r="L3344" s="10">
        <v>732.31200000000001</v>
      </c>
      <c r="M3344" s="10">
        <v>5.0190000000000001</v>
      </c>
      <c r="N3344" s="10">
        <v>5.0190000000000001</v>
      </c>
      <c r="O3344" s="10">
        <v>9.1069999999999993</v>
      </c>
      <c r="P3344" s="15" t="s">
        <v>17905</v>
      </c>
      <c r="Q3344" s="15" t="s">
        <v>17905</v>
      </c>
      <c r="R3344" s="10">
        <v>5</v>
      </c>
    </row>
    <row r="3345" spans="1:18" ht="17" customHeight="1" x14ac:dyDescent="0.15">
      <c r="A3345" s="11" t="s">
        <v>17976</v>
      </c>
      <c r="B3345" s="1" t="s">
        <v>17977</v>
      </c>
      <c r="C3345" s="11" t="s">
        <v>17978</v>
      </c>
      <c r="D3345" s="11" t="s">
        <v>17978</v>
      </c>
      <c r="E3345" s="11" t="s">
        <v>17979</v>
      </c>
      <c r="F3345" s="11" t="s">
        <v>17910</v>
      </c>
      <c r="G3345" s="11" t="s">
        <v>17980</v>
      </c>
      <c r="H3345" s="11" t="s">
        <v>17897</v>
      </c>
      <c r="I3345" s="11" t="str">
        <f>HYPERLINK("http://www.creazioninigis.it/","www.creazioninigis.it")</f>
        <v>www.creazioninigis.it</v>
      </c>
      <c r="J3345" s="12">
        <v>885.63499999999999</v>
      </c>
      <c r="K3345" s="12">
        <v>885.63499999999999</v>
      </c>
      <c r="L3345" s="13">
        <v>731.125</v>
      </c>
      <c r="M3345" s="12">
        <v>-49.503999999999998</v>
      </c>
      <c r="N3345" s="12">
        <v>-49.503999999999998</v>
      </c>
      <c r="O3345" s="12">
        <v>2.347</v>
      </c>
      <c r="P3345" s="12">
        <v>7</v>
      </c>
      <c r="Q3345" s="12">
        <v>7</v>
      </c>
      <c r="R3345" s="12">
        <v>7</v>
      </c>
    </row>
    <row r="3346" spans="1:18" ht="17" customHeight="1" x14ac:dyDescent="0.15">
      <c r="A3346" s="8" t="s">
        <v>17981</v>
      </c>
      <c r="B3346" s="9" t="s">
        <v>17982</v>
      </c>
      <c r="C3346" s="8" t="s">
        <v>17983</v>
      </c>
      <c r="D3346" s="8" t="s">
        <v>17983</v>
      </c>
      <c r="E3346" s="8" t="s">
        <v>17984</v>
      </c>
      <c r="F3346" s="8" t="s">
        <v>17941</v>
      </c>
      <c r="G3346" s="8" t="s">
        <v>17985</v>
      </c>
      <c r="H3346" s="8" t="s">
        <v>17883</v>
      </c>
      <c r="I3346" s="8" t="str">
        <f>HYPERLINK("http://www.forpen.it/","www.forpen.it")</f>
        <v>www.forpen.it</v>
      </c>
      <c r="J3346" s="10">
        <v>849.08900000000006</v>
      </c>
      <c r="K3346" s="10">
        <v>849.08900000000006</v>
      </c>
      <c r="L3346" s="10">
        <v>730.62199999999996</v>
      </c>
      <c r="M3346" s="10">
        <v>-27.524000000000001</v>
      </c>
      <c r="N3346" s="10">
        <v>-27.524000000000001</v>
      </c>
      <c r="O3346" s="10">
        <v>34.671999999999997</v>
      </c>
      <c r="P3346" s="15" t="s">
        <v>17905</v>
      </c>
      <c r="Q3346" s="15" t="s">
        <v>17905</v>
      </c>
      <c r="R3346" s="10">
        <v>11</v>
      </c>
    </row>
    <row r="3347" spans="1:18" ht="29.5" customHeight="1" x14ac:dyDescent="0.15">
      <c r="A3347" s="11" t="s">
        <v>17986</v>
      </c>
      <c r="B3347" s="1" t="s">
        <v>17987</v>
      </c>
      <c r="C3347" s="11" t="s">
        <v>17988</v>
      </c>
      <c r="D3347" s="11" t="s">
        <v>17988</v>
      </c>
      <c r="E3347" s="11" t="s">
        <v>17989</v>
      </c>
      <c r="F3347" s="11" t="s">
        <v>17990</v>
      </c>
      <c r="G3347" s="11" t="s">
        <v>17954</v>
      </c>
      <c r="H3347" s="11" t="s">
        <v>17890</v>
      </c>
      <c r="I3347" s="11" t="str">
        <f>HYPERLINK("http://www.rigisport.it/","www.rigisport.it")</f>
        <v>www.rigisport.it</v>
      </c>
      <c r="J3347" s="12">
        <v>730.67600000000004</v>
      </c>
      <c r="K3347" s="12">
        <v>730.67600000000004</v>
      </c>
      <c r="L3347" s="13">
        <v>730.62400000000002</v>
      </c>
      <c r="M3347" s="12">
        <v>7.6159999999999997</v>
      </c>
      <c r="N3347" s="12">
        <v>7.6159999999999997</v>
      </c>
      <c r="O3347" s="12">
        <v>4.9610000000000003</v>
      </c>
      <c r="P3347" s="14" t="s">
        <v>17905</v>
      </c>
      <c r="Q3347" s="14" t="s">
        <v>17905</v>
      </c>
      <c r="R3347" s="12">
        <v>10</v>
      </c>
    </row>
    <row r="3348" spans="1:18" ht="43" customHeight="1" x14ac:dyDescent="0.15">
      <c r="A3348" s="8" t="s">
        <v>17991</v>
      </c>
      <c r="B3348" s="9" t="s">
        <v>17992</v>
      </c>
      <c r="C3348" s="8" t="s">
        <v>17993</v>
      </c>
      <c r="D3348" s="8" t="s">
        <v>17993</v>
      </c>
      <c r="E3348" s="8" t="s">
        <v>17994</v>
      </c>
      <c r="F3348" s="8" t="s">
        <v>17916</v>
      </c>
      <c r="G3348" s="8" t="s">
        <v>17917</v>
      </c>
      <c r="H3348" s="8" t="s">
        <v>17918</v>
      </c>
      <c r="I3348" s="8" t="str">
        <f>HYPERLINK("http://www.dmproject.net/","www.dmproject.net")</f>
        <v>www.dmproject.net</v>
      </c>
      <c r="J3348" s="10">
        <v>545.6</v>
      </c>
      <c r="K3348" s="10">
        <v>545.6</v>
      </c>
      <c r="L3348" s="10">
        <v>729.71900000000005</v>
      </c>
      <c r="M3348" s="10">
        <v>1.1639999999999999</v>
      </c>
      <c r="N3348" s="10">
        <v>1.1639999999999999</v>
      </c>
      <c r="O3348" s="10">
        <v>16.93</v>
      </c>
      <c r="P3348" s="10">
        <v>4</v>
      </c>
      <c r="Q3348" s="10">
        <v>4</v>
      </c>
      <c r="R3348" s="10">
        <v>4</v>
      </c>
    </row>
    <row r="3349" spans="1:18" ht="29.5" customHeight="1" x14ac:dyDescent="0.15">
      <c r="A3349" s="11" t="s">
        <v>17995</v>
      </c>
      <c r="B3349" s="1" t="s">
        <v>17996</v>
      </c>
      <c r="C3349" s="11" t="s">
        <v>17997</v>
      </c>
      <c r="D3349" s="11" t="s">
        <v>17997</v>
      </c>
      <c r="E3349" s="11" t="s">
        <v>17998</v>
      </c>
      <c r="F3349" s="11" t="s">
        <v>17881</v>
      </c>
      <c r="G3349" s="11" t="s">
        <v>17999</v>
      </c>
      <c r="H3349" s="11" t="s">
        <v>17931</v>
      </c>
      <c r="I3349" s="11" t="str">
        <f>HYPERLINK("http://www.calzaturificiopiacentino.it/","www.calzaturificiopiacentino.it")</f>
        <v>www.calzaturificiopiacentino.it</v>
      </c>
      <c r="J3349" s="12">
        <v>871.9</v>
      </c>
      <c r="K3349" s="12">
        <v>871.9</v>
      </c>
      <c r="L3349" s="13">
        <v>728.82600000000002</v>
      </c>
      <c r="M3349" s="12">
        <v>-392.19499999999999</v>
      </c>
      <c r="N3349" s="12">
        <v>-392.19499999999999</v>
      </c>
      <c r="O3349" s="12">
        <v>4.8150000000000004</v>
      </c>
      <c r="P3349" s="12">
        <v>3</v>
      </c>
      <c r="Q3349" s="12">
        <v>3</v>
      </c>
      <c r="R3349" s="12">
        <v>3</v>
      </c>
    </row>
    <row r="3350" spans="1:18" ht="17" customHeight="1" x14ac:dyDescent="0.15">
      <c r="A3350" s="8" t="s">
        <v>18000</v>
      </c>
      <c r="B3350" s="9" t="s">
        <v>18001</v>
      </c>
      <c r="C3350" s="8" t="s">
        <v>18002</v>
      </c>
      <c r="D3350" s="8" t="s">
        <v>18002</v>
      </c>
      <c r="E3350" s="8" t="s">
        <v>18003</v>
      </c>
      <c r="F3350" s="8" t="s">
        <v>17888</v>
      </c>
      <c r="G3350" s="8" t="s">
        <v>17948</v>
      </c>
      <c r="H3350" s="8" t="s">
        <v>17883</v>
      </c>
      <c r="I3350" s="8" t="str">
        <f>HYPERLINK("http://www.lanificiomarchesin.it/","www.lanificiomarchesin.it")</f>
        <v>www.lanificiomarchesin.it</v>
      </c>
      <c r="J3350" s="10">
        <v>557.505</v>
      </c>
      <c r="K3350" s="10">
        <v>557.505</v>
      </c>
      <c r="L3350" s="10">
        <v>728.32500000000005</v>
      </c>
      <c r="M3350" s="10">
        <v>-180.511</v>
      </c>
      <c r="N3350" s="10">
        <v>-180.511</v>
      </c>
      <c r="O3350" s="10">
        <v>-386.62400000000002</v>
      </c>
      <c r="P3350" s="10">
        <v>0</v>
      </c>
      <c r="Q3350" s="10">
        <v>0</v>
      </c>
      <c r="R3350" s="10">
        <v>2</v>
      </c>
    </row>
    <row r="3351" spans="1:18" ht="17" customHeight="1" x14ac:dyDescent="0.15">
      <c r="A3351" s="11" t="s">
        <v>18004</v>
      </c>
      <c r="B3351" s="1" t="s">
        <v>18005</v>
      </c>
      <c r="C3351" s="11" t="s">
        <v>18006</v>
      </c>
      <c r="D3351" s="11" t="s">
        <v>18006</v>
      </c>
      <c r="E3351" s="11" t="s">
        <v>18007</v>
      </c>
      <c r="F3351" s="11" t="s">
        <v>18008</v>
      </c>
      <c r="G3351" s="11" t="s">
        <v>18009</v>
      </c>
      <c r="H3351" s="11" t="s">
        <v>17897</v>
      </c>
      <c r="I3351" s="11" t="str">
        <f>HYPERLINK("http://www.saintspagnano.com/","www.saintspagnano.com")</f>
        <v>www.saintspagnano.com</v>
      </c>
      <c r="J3351" s="12">
        <v>510.91300000000001</v>
      </c>
      <c r="K3351" s="12">
        <v>510.91300000000001</v>
      </c>
      <c r="L3351" s="13">
        <v>728.21699999999998</v>
      </c>
      <c r="M3351" s="12">
        <v>-123.95699999999999</v>
      </c>
      <c r="N3351" s="12">
        <v>-123.95699999999999</v>
      </c>
      <c r="O3351" s="12">
        <v>-96.701999999999998</v>
      </c>
      <c r="P3351" s="14" t="s">
        <v>17905</v>
      </c>
      <c r="Q3351" s="14" t="s">
        <v>17905</v>
      </c>
      <c r="R3351" s="12">
        <v>5</v>
      </c>
    </row>
    <row r="3352" spans="1:18" ht="29.5" customHeight="1" x14ac:dyDescent="0.15">
      <c r="A3352" s="8" t="s">
        <v>18010</v>
      </c>
      <c r="B3352" s="9" t="s">
        <v>18011</v>
      </c>
      <c r="C3352" s="8" t="s">
        <v>18012</v>
      </c>
      <c r="D3352" s="8" t="s">
        <v>18012</v>
      </c>
      <c r="E3352" s="8" t="s">
        <v>18013</v>
      </c>
      <c r="F3352" s="8" t="s">
        <v>17895</v>
      </c>
      <c r="G3352" s="8" t="s">
        <v>17911</v>
      </c>
      <c r="H3352" s="8" t="s">
        <v>17883</v>
      </c>
      <c r="I3352" s="8" t="str">
        <f>HYPERLINK("http://www.sartoriasilviozanella.com/","www.sartoriasilviozanella.com")</f>
        <v>www.sartoriasilviozanella.com</v>
      </c>
      <c r="J3352" s="10">
        <v>727.94799999999998</v>
      </c>
      <c r="K3352" s="15" t="s">
        <v>17905</v>
      </c>
      <c r="L3352" s="10">
        <v>727.94799999999998</v>
      </c>
      <c r="M3352" s="10">
        <v>27.948</v>
      </c>
      <c r="N3352" s="15" t="s">
        <v>17905</v>
      </c>
      <c r="O3352" s="10">
        <v>27.948</v>
      </c>
      <c r="P3352" s="10">
        <v>8</v>
      </c>
      <c r="Q3352" s="15" t="s">
        <v>17905</v>
      </c>
      <c r="R3352" s="10">
        <v>8</v>
      </c>
    </row>
    <row r="3353" spans="1:18" ht="29.5" customHeight="1" x14ac:dyDescent="0.15">
      <c r="A3353" s="11" t="s">
        <v>18014</v>
      </c>
      <c r="B3353" s="1" t="s">
        <v>18015</v>
      </c>
      <c r="C3353" s="11" t="s">
        <v>18016</v>
      </c>
      <c r="D3353" s="11" t="s">
        <v>18016</v>
      </c>
      <c r="E3353" s="11" t="s">
        <v>18017</v>
      </c>
      <c r="F3353" s="11" t="s">
        <v>17881</v>
      </c>
      <c r="G3353" s="11" t="s">
        <v>17917</v>
      </c>
      <c r="H3353" s="11" t="s">
        <v>17918</v>
      </c>
      <c r="I3353" s="11" t="str">
        <f>HYPERLINK("http://zyob1568.fideiussione-assicurativa-finanziaria.it/","zyob1568.fideiussione-assicurativa-finanziaria.it")</f>
        <v>zyob1568.fideiussione-assicurativa-finanziaria.it</v>
      </c>
      <c r="J3353" s="12">
        <v>823.53599999999994</v>
      </c>
      <c r="K3353" s="12">
        <v>823.53599999999994</v>
      </c>
      <c r="L3353" s="13">
        <v>727.57600000000002</v>
      </c>
      <c r="M3353" s="12">
        <v>-44.228999999999999</v>
      </c>
      <c r="N3353" s="12">
        <v>-44.228999999999999</v>
      </c>
      <c r="O3353" s="12">
        <v>-23.553999999999998</v>
      </c>
      <c r="P3353" s="12">
        <v>2</v>
      </c>
      <c r="Q3353" s="12">
        <v>2</v>
      </c>
      <c r="R3353" s="12">
        <v>2</v>
      </c>
    </row>
    <row r="3354" spans="1:18" ht="17" customHeight="1" x14ac:dyDescent="0.15">
      <c r="A3354" s="8" t="s">
        <v>18018</v>
      </c>
      <c r="B3354" s="9" t="s">
        <v>18019</v>
      </c>
      <c r="C3354" s="8" t="s">
        <v>18020</v>
      </c>
      <c r="D3354" s="8" t="s">
        <v>18020</v>
      </c>
      <c r="E3354" s="8" t="s">
        <v>18021</v>
      </c>
      <c r="F3354" s="8" t="s">
        <v>17881</v>
      </c>
      <c r="G3354" s="8" t="s">
        <v>17969</v>
      </c>
      <c r="H3354" s="8" t="s">
        <v>17897</v>
      </c>
      <c r="I3354" s="8" t="str">
        <f>HYPERLINK("http://lenora.shoes/collections/outlet","lenora.shoes/collections/outlet")</f>
        <v>lenora.shoes/collections/outlet</v>
      </c>
      <c r="J3354" s="10">
        <v>389.61700000000002</v>
      </c>
      <c r="K3354" s="10">
        <v>753.572</v>
      </c>
      <c r="L3354" s="10">
        <v>726.25900000000001</v>
      </c>
      <c r="M3354" s="10">
        <v>-2.9740000000000002</v>
      </c>
      <c r="N3354" s="10">
        <v>6.218</v>
      </c>
      <c r="O3354" s="10">
        <v>6.9980000000000002</v>
      </c>
      <c r="P3354" s="10">
        <v>1</v>
      </c>
      <c r="Q3354" s="10">
        <v>2</v>
      </c>
      <c r="R3354" s="10">
        <v>2</v>
      </c>
    </row>
    <row r="3355" spans="1:18" ht="43" customHeight="1" x14ac:dyDescent="0.15">
      <c r="A3355" s="11" t="s">
        <v>18022</v>
      </c>
      <c r="B3355" s="1" t="s">
        <v>18023</v>
      </c>
      <c r="C3355" s="11" t="s">
        <v>18024</v>
      </c>
      <c r="D3355" s="11" t="s">
        <v>18024</v>
      </c>
      <c r="E3355" s="11" t="s">
        <v>18025</v>
      </c>
      <c r="F3355" s="11" t="s">
        <v>17910</v>
      </c>
      <c r="G3355" s="11" t="s">
        <v>18026</v>
      </c>
      <c r="H3355" s="11" t="s">
        <v>18027</v>
      </c>
      <c r="I3355" s="11" t="str">
        <f>HYPERLINK("http://www.aliscreation.it/","www.aliscreation.it")</f>
        <v>www.aliscreation.it</v>
      </c>
      <c r="J3355" s="12">
        <v>595.43200000000002</v>
      </c>
      <c r="K3355" s="12">
        <v>595.43200000000002</v>
      </c>
      <c r="L3355" s="13">
        <v>725.53300000000002</v>
      </c>
      <c r="M3355" s="12">
        <v>-47.813000000000002</v>
      </c>
      <c r="N3355" s="12">
        <v>-47.813000000000002</v>
      </c>
      <c r="O3355" s="12">
        <v>-69.331999999999994</v>
      </c>
      <c r="P3355" s="12">
        <v>11</v>
      </c>
      <c r="Q3355" s="12">
        <v>11</v>
      </c>
      <c r="R3355" s="12">
        <v>15</v>
      </c>
    </row>
    <row r="3356" spans="1:18" ht="17" customHeight="1" x14ac:dyDescent="0.15">
      <c r="A3356" s="8" t="s">
        <v>18028</v>
      </c>
      <c r="B3356" s="9" t="s">
        <v>18029</v>
      </c>
      <c r="C3356" s="8" t="s">
        <v>18030</v>
      </c>
      <c r="D3356" s="8" t="s">
        <v>18030</v>
      </c>
      <c r="E3356" s="8" t="s">
        <v>18031</v>
      </c>
      <c r="F3356" s="8" t="s">
        <v>17941</v>
      </c>
      <c r="G3356" s="8" t="s">
        <v>18032</v>
      </c>
      <c r="H3356" s="8" t="s">
        <v>18033</v>
      </c>
      <c r="I3356" s="8" t="str">
        <f>HYPERLINK("http://www.cinturificiobeb.com/","www.cinturificiobeb.com")</f>
        <v>www.cinturificiobeb.com</v>
      </c>
      <c r="J3356" s="10">
        <v>679.71500000000003</v>
      </c>
      <c r="K3356" s="10">
        <v>679.71500000000003</v>
      </c>
      <c r="L3356" s="10">
        <v>725.11500000000001</v>
      </c>
      <c r="M3356" s="10">
        <v>17.925000000000001</v>
      </c>
      <c r="N3356" s="10">
        <v>17.925000000000001</v>
      </c>
      <c r="O3356" s="10">
        <v>11.255000000000001</v>
      </c>
      <c r="P3356" s="10">
        <v>8</v>
      </c>
      <c r="Q3356" s="10">
        <v>8</v>
      </c>
      <c r="R3356" s="10">
        <v>8</v>
      </c>
    </row>
    <row r="3357" spans="1:18" ht="43" customHeight="1" x14ac:dyDescent="0.15">
      <c r="A3357" s="11" t="s">
        <v>18034</v>
      </c>
      <c r="B3357" s="1" t="s">
        <v>18035</v>
      </c>
      <c r="C3357" s="11" t="s">
        <v>18036</v>
      </c>
      <c r="D3357" s="11" t="s">
        <v>18036</v>
      </c>
      <c r="E3357" s="11" t="s">
        <v>18037</v>
      </c>
      <c r="F3357" s="11" t="s">
        <v>17941</v>
      </c>
      <c r="G3357" s="11" t="s">
        <v>18038</v>
      </c>
      <c r="H3357" s="11" t="s">
        <v>17883</v>
      </c>
      <c r="I3357" s="11" t="str">
        <f>HYPERLINK("http://www.threevvv.it/","www.threevvv.it")</f>
        <v>www.threevvv.it</v>
      </c>
      <c r="J3357" s="12">
        <v>948.11400000000003</v>
      </c>
      <c r="K3357" s="12">
        <v>948.11400000000003</v>
      </c>
      <c r="L3357" s="13">
        <v>724.70899999999995</v>
      </c>
      <c r="M3357" s="12">
        <v>18.306999999999999</v>
      </c>
      <c r="N3357" s="12">
        <v>18.306999999999999</v>
      </c>
      <c r="O3357" s="12">
        <v>0.27100000000000002</v>
      </c>
      <c r="P3357" s="12">
        <v>7</v>
      </c>
      <c r="Q3357" s="12">
        <v>7</v>
      </c>
      <c r="R3357" s="12">
        <v>7</v>
      </c>
    </row>
    <row r="3358" spans="1:18" ht="17" customHeight="1" x14ac:dyDescent="0.15">
      <c r="A3358" s="8" t="s">
        <v>18039</v>
      </c>
      <c r="B3358" s="9" t="s">
        <v>18040</v>
      </c>
      <c r="C3358" s="8" t="s">
        <v>18041</v>
      </c>
      <c r="D3358" s="8" t="s">
        <v>18041</v>
      </c>
      <c r="E3358" s="8" t="s">
        <v>18042</v>
      </c>
      <c r="F3358" s="8" t="s">
        <v>17910</v>
      </c>
      <c r="G3358" s="8" t="s">
        <v>17930</v>
      </c>
      <c r="H3358" s="8" t="s">
        <v>17931</v>
      </c>
      <c r="I3358" s="8" t="str">
        <f>HYPERLINK("http://www.skplastsrl.com/","www.skplastsrl.com")</f>
        <v>www.skplastsrl.com</v>
      </c>
      <c r="J3358" s="10">
        <v>1516.251</v>
      </c>
      <c r="K3358" s="10">
        <v>1516.251</v>
      </c>
      <c r="L3358" s="10">
        <v>724.55700000000002</v>
      </c>
      <c r="M3358" s="10">
        <v>1.508</v>
      </c>
      <c r="N3358" s="10">
        <v>1.508</v>
      </c>
      <c r="O3358" s="10">
        <v>7.1079999999999997</v>
      </c>
      <c r="P3358" s="15" t="s">
        <v>17905</v>
      </c>
      <c r="Q3358" s="15" t="s">
        <v>17905</v>
      </c>
      <c r="R3358" s="15" t="s">
        <v>17905</v>
      </c>
    </row>
    <row r="3359" spans="1:18" ht="17" customHeight="1" x14ac:dyDescent="0.15">
      <c r="A3359" s="11" t="s">
        <v>18043</v>
      </c>
      <c r="B3359" s="1" t="s">
        <v>18044</v>
      </c>
      <c r="C3359" s="11" t="s">
        <v>18045</v>
      </c>
      <c r="D3359" s="11" t="s">
        <v>18045</v>
      </c>
      <c r="E3359" s="11" t="s">
        <v>18046</v>
      </c>
      <c r="F3359" s="11" t="s">
        <v>17941</v>
      </c>
      <c r="G3359" s="11" t="s">
        <v>18047</v>
      </c>
      <c r="H3359" s="11" t="s">
        <v>17931</v>
      </c>
      <c r="I3359" s="11" t="str">
        <f>HYPERLINK("http://www.virnadro.com/","www.virnadro.com")</f>
        <v>www.virnadro.com</v>
      </c>
      <c r="J3359" s="12">
        <v>687.67499999999995</v>
      </c>
      <c r="K3359" s="12">
        <v>687.67499999999995</v>
      </c>
      <c r="L3359" s="13">
        <v>724.64499999999998</v>
      </c>
      <c r="M3359" s="12">
        <v>3.335</v>
      </c>
      <c r="N3359" s="12">
        <v>3.335</v>
      </c>
      <c r="O3359" s="12">
        <v>67.093000000000004</v>
      </c>
      <c r="P3359" s="12">
        <v>4</v>
      </c>
      <c r="Q3359" s="12">
        <v>4</v>
      </c>
      <c r="R3359" s="12">
        <v>4</v>
      </c>
    </row>
    <row r="3360" spans="1:18" ht="17" customHeight="1" x14ac:dyDescent="0.15">
      <c r="A3360" s="8" t="s">
        <v>18048</v>
      </c>
      <c r="B3360" s="9" t="s">
        <v>18049</v>
      </c>
      <c r="C3360" s="8" t="s">
        <v>18050</v>
      </c>
      <c r="D3360" s="8" t="s">
        <v>18050</v>
      </c>
      <c r="E3360" s="8" t="s">
        <v>18051</v>
      </c>
      <c r="F3360" s="8" t="s">
        <v>18052</v>
      </c>
      <c r="G3360" s="8" t="s">
        <v>18047</v>
      </c>
      <c r="H3360" s="8" t="s">
        <v>17931</v>
      </c>
      <c r="I3360" s="8" t="str">
        <f>HYPERLINK("http://www.guardolificio.eu/","www.guardolificio.eu")</f>
        <v>www.guardolificio.eu</v>
      </c>
      <c r="J3360" s="10">
        <v>844.31600000000003</v>
      </c>
      <c r="K3360" s="10">
        <v>844.31600000000003</v>
      </c>
      <c r="L3360" s="10">
        <v>722.60799999999995</v>
      </c>
      <c r="M3360" s="10">
        <v>18.731000000000002</v>
      </c>
      <c r="N3360" s="10">
        <v>18.731000000000002</v>
      </c>
      <c r="O3360" s="10">
        <v>45.845999999999997</v>
      </c>
      <c r="P3360" s="15" t="s">
        <v>17905</v>
      </c>
      <c r="Q3360" s="15" t="s">
        <v>17905</v>
      </c>
      <c r="R3360" s="10">
        <v>1</v>
      </c>
    </row>
    <row r="3361" spans="1:18" ht="17" customHeight="1" x14ac:dyDescent="0.15">
      <c r="A3361" s="11" t="s">
        <v>18053</v>
      </c>
      <c r="B3361" s="1" t="s">
        <v>18054</v>
      </c>
      <c r="C3361" s="11" t="s">
        <v>18055</v>
      </c>
      <c r="D3361" s="11" t="s">
        <v>18055</v>
      </c>
      <c r="E3361" s="11" t="s">
        <v>18056</v>
      </c>
      <c r="F3361" s="11" t="s">
        <v>18057</v>
      </c>
      <c r="G3361" s="11" t="s">
        <v>18058</v>
      </c>
      <c r="H3361" s="11" t="s">
        <v>18059</v>
      </c>
      <c r="I3361" s="11" t="str">
        <f>HYPERLINK("http://www.mevisrl.it/","www.mevisrl.it")</f>
        <v>www.mevisrl.it</v>
      </c>
      <c r="J3361" s="12">
        <v>772.89400000000001</v>
      </c>
      <c r="K3361" s="12">
        <v>772.89400000000001</v>
      </c>
      <c r="L3361" s="13">
        <v>722.15499999999997</v>
      </c>
      <c r="M3361" s="12">
        <v>22.722999999999999</v>
      </c>
      <c r="N3361" s="12">
        <v>22.722999999999999</v>
      </c>
      <c r="O3361" s="12">
        <v>16.259</v>
      </c>
      <c r="P3361" s="14" t="s">
        <v>18060</v>
      </c>
      <c r="Q3361" s="14" t="s">
        <v>18060</v>
      </c>
      <c r="R3361" s="12">
        <v>10</v>
      </c>
    </row>
    <row r="3362" spans="1:18" ht="17" customHeight="1" x14ac:dyDescent="0.15">
      <c r="A3362" s="8" t="s">
        <v>18061</v>
      </c>
      <c r="B3362" s="9" t="s">
        <v>18062</v>
      </c>
      <c r="C3362" s="8" t="s">
        <v>18063</v>
      </c>
      <c r="D3362" s="8" t="s">
        <v>18063</v>
      </c>
      <c r="E3362" s="8" t="s">
        <v>18064</v>
      </c>
      <c r="F3362" s="8" t="s">
        <v>18065</v>
      </c>
      <c r="G3362" s="8" t="s">
        <v>18066</v>
      </c>
      <c r="H3362" s="8" t="s">
        <v>18067</v>
      </c>
      <c r="I3362" s="8" t="str">
        <f>HYPERLINK("http://pellasportswear.com/","pellasportswear.com")</f>
        <v>pellasportswear.com</v>
      </c>
      <c r="J3362" s="10">
        <v>542.24699999999996</v>
      </c>
      <c r="K3362" s="10">
        <v>542.24699999999996</v>
      </c>
      <c r="L3362" s="10">
        <v>722.16800000000001</v>
      </c>
      <c r="M3362" s="10">
        <v>2.2799999999999998</v>
      </c>
      <c r="N3362" s="10">
        <v>2.2799999999999998</v>
      </c>
      <c r="O3362" s="10">
        <v>8.5449999999999999</v>
      </c>
      <c r="P3362" s="15" t="s">
        <v>18060</v>
      </c>
      <c r="Q3362" s="15" t="s">
        <v>18060</v>
      </c>
      <c r="R3362" s="10">
        <v>10</v>
      </c>
    </row>
    <row r="3363" spans="1:18" ht="17" customHeight="1" x14ac:dyDescent="0.15">
      <c r="A3363" s="11" t="s">
        <v>18068</v>
      </c>
      <c r="B3363" s="1" t="s">
        <v>18069</v>
      </c>
      <c r="C3363" s="11" t="s">
        <v>18070</v>
      </c>
      <c r="D3363" s="11" t="s">
        <v>18070</v>
      </c>
      <c r="E3363" s="11" t="s">
        <v>18071</v>
      </c>
      <c r="F3363" s="11" t="s">
        <v>18072</v>
      </c>
      <c r="G3363" s="11" t="s">
        <v>18073</v>
      </c>
      <c r="H3363" s="11" t="s">
        <v>18067</v>
      </c>
      <c r="I3363" s="11" t="str">
        <f>HYPERLINK("http://footsocks.com/","footsocks.com")</f>
        <v>footsocks.com</v>
      </c>
      <c r="J3363" s="12">
        <v>455.40499999999997</v>
      </c>
      <c r="K3363" s="12">
        <v>455.40499999999997</v>
      </c>
      <c r="L3363" s="13">
        <v>721.81299999999999</v>
      </c>
      <c r="M3363" s="12">
        <v>-26.042000000000002</v>
      </c>
      <c r="N3363" s="12">
        <v>-26.042000000000002</v>
      </c>
      <c r="O3363" s="12">
        <v>-17.393000000000001</v>
      </c>
      <c r="P3363" s="12">
        <v>3</v>
      </c>
      <c r="Q3363" s="12">
        <v>3</v>
      </c>
      <c r="R3363" s="12">
        <v>5</v>
      </c>
    </row>
    <row r="3364" spans="1:18" ht="17" customHeight="1" x14ac:dyDescent="0.15">
      <c r="A3364" s="8" t="s">
        <v>18074</v>
      </c>
      <c r="B3364" s="9" t="s">
        <v>18075</v>
      </c>
      <c r="C3364" s="8" t="s">
        <v>18076</v>
      </c>
      <c r="D3364" s="8" t="s">
        <v>18077</v>
      </c>
      <c r="E3364" s="8" t="s">
        <v>18078</v>
      </c>
      <c r="F3364" s="8" t="s">
        <v>18079</v>
      </c>
      <c r="G3364" s="8" t="s">
        <v>18080</v>
      </c>
      <c r="H3364" s="8" t="s">
        <v>18081</v>
      </c>
      <c r="I3364" s="8" t="str">
        <f>HYPERLINK("http://pelleitalia.com/","pelleitalia.com")</f>
        <v>pelleitalia.com</v>
      </c>
      <c r="J3364" s="10">
        <v>718.32600000000002</v>
      </c>
      <c r="K3364" s="10">
        <v>718.32600000000002</v>
      </c>
      <c r="L3364" s="10">
        <v>721.53399999999999</v>
      </c>
      <c r="M3364" s="10">
        <v>15.009</v>
      </c>
      <c r="N3364" s="10">
        <v>15.009</v>
      </c>
      <c r="O3364" s="10">
        <v>97.539000000000001</v>
      </c>
      <c r="P3364" s="15" t="s">
        <v>18060</v>
      </c>
      <c r="Q3364" s="15" t="s">
        <v>18060</v>
      </c>
      <c r="R3364" s="10">
        <v>1</v>
      </c>
    </row>
    <row r="3365" spans="1:18" ht="29.5" customHeight="1" x14ac:dyDescent="0.15">
      <c r="A3365" s="11" t="s">
        <v>18082</v>
      </c>
      <c r="B3365" s="1" t="s">
        <v>18083</v>
      </c>
      <c r="C3365" s="11" t="s">
        <v>18084</v>
      </c>
      <c r="D3365" s="11" t="s">
        <v>18084</v>
      </c>
      <c r="E3365" s="11" t="s">
        <v>18085</v>
      </c>
      <c r="F3365" s="11" t="s">
        <v>18086</v>
      </c>
      <c r="G3365" s="11" t="s">
        <v>18087</v>
      </c>
      <c r="H3365" s="11" t="s">
        <v>18088</v>
      </c>
      <c r="I3365" s="11" t="str">
        <f>HYPERLINK("http://www.gemositalia.com/","www.gemositalia.com")</f>
        <v>www.gemositalia.com</v>
      </c>
      <c r="J3365" s="12">
        <v>1988.7650000000001</v>
      </c>
      <c r="K3365" s="12">
        <v>1651.095</v>
      </c>
      <c r="L3365" s="13">
        <v>720.77499999999998</v>
      </c>
      <c r="M3365" s="12">
        <v>46.106000000000002</v>
      </c>
      <c r="N3365" s="12">
        <v>10.615</v>
      </c>
      <c r="O3365" s="12">
        <v>1.901</v>
      </c>
      <c r="P3365" s="14" t="s">
        <v>18060</v>
      </c>
      <c r="Q3365" s="14" t="s">
        <v>18060</v>
      </c>
      <c r="R3365" s="12">
        <v>4</v>
      </c>
    </row>
    <row r="3366" spans="1:18" ht="17" customHeight="1" x14ac:dyDescent="0.15">
      <c r="A3366" s="8" t="s">
        <v>18089</v>
      </c>
      <c r="B3366" s="9" t="s">
        <v>18090</v>
      </c>
      <c r="C3366" s="8" t="s">
        <v>18091</v>
      </c>
      <c r="D3366" s="8" t="s">
        <v>18091</v>
      </c>
      <c r="E3366" s="8" t="s">
        <v>18092</v>
      </c>
      <c r="F3366" s="8" t="s">
        <v>18065</v>
      </c>
      <c r="G3366" s="8" t="s">
        <v>18093</v>
      </c>
      <c r="H3366" s="8" t="s">
        <v>18094</v>
      </c>
      <c r="I3366" s="8" t="str">
        <f>HYPERLINK("http://www.bsposa.it/","www.bsposa.it")</f>
        <v>www.bsposa.it</v>
      </c>
      <c r="J3366" s="10">
        <v>820.86300000000006</v>
      </c>
      <c r="K3366" s="10">
        <v>820.86300000000006</v>
      </c>
      <c r="L3366" s="10">
        <v>719.72699999999998</v>
      </c>
      <c r="M3366" s="10">
        <v>26.779</v>
      </c>
      <c r="N3366" s="10">
        <v>26.779</v>
      </c>
      <c r="O3366" s="10">
        <v>-132.673</v>
      </c>
      <c r="P3366" s="10">
        <v>10</v>
      </c>
      <c r="Q3366" s="10">
        <v>10</v>
      </c>
      <c r="R3366" s="10">
        <v>13</v>
      </c>
    </row>
    <row r="3367" spans="1:18" ht="17" customHeight="1" x14ac:dyDescent="0.15">
      <c r="A3367" s="11" t="s">
        <v>18095</v>
      </c>
      <c r="B3367" s="1" t="s">
        <v>18096</v>
      </c>
      <c r="C3367" s="11" t="s">
        <v>18097</v>
      </c>
      <c r="D3367" s="11" t="s">
        <v>18097</v>
      </c>
      <c r="E3367" s="11" t="s">
        <v>18098</v>
      </c>
      <c r="F3367" s="11" t="s">
        <v>18099</v>
      </c>
      <c r="G3367" s="11" t="s">
        <v>18080</v>
      </c>
      <c r="H3367" s="11" t="s">
        <v>18081</v>
      </c>
      <c r="I3367" s="11" t="str">
        <f>HYPERLINK("http://www.prima-linea.it/","www.prima-linea.it")</f>
        <v>www.prima-linea.it</v>
      </c>
      <c r="J3367" s="12">
        <v>907.202</v>
      </c>
      <c r="K3367" s="12">
        <v>907.202</v>
      </c>
      <c r="L3367" s="13">
        <v>718.53599999999994</v>
      </c>
      <c r="M3367" s="12">
        <v>18.914999999999999</v>
      </c>
      <c r="N3367" s="12">
        <v>18.914999999999999</v>
      </c>
      <c r="O3367" s="12">
        <v>4.4619999999999997</v>
      </c>
      <c r="P3367" s="12">
        <v>14</v>
      </c>
      <c r="Q3367" s="12">
        <v>14</v>
      </c>
      <c r="R3367" s="12">
        <v>14</v>
      </c>
    </row>
    <row r="3368" spans="1:18" ht="17" customHeight="1" x14ac:dyDescent="0.15">
      <c r="A3368" s="8" t="s">
        <v>18100</v>
      </c>
      <c r="B3368" s="9" t="s">
        <v>18101</v>
      </c>
      <c r="C3368" s="8" t="s">
        <v>18102</v>
      </c>
      <c r="D3368" s="8" t="s">
        <v>18102</v>
      </c>
      <c r="E3368" s="8" t="s">
        <v>18103</v>
      </c>
      <c r="F3368" s="8" t="s">
        <v>18104</v>
      </c>
      <c r="G3368" s="8" t="s">
        <v>18105</v>
      </c>
      <c r="H3368" s="8" t="s">
        <v>18081</v>
      </c>
      <c r="I3368" s="8" t="str">
        <f>HYPERLINK("http://www.paoul.com/","www.paoul.com")</f>
        <v>www.paoul.com</v>
      </c>
      <c r="J3368" s="10">
        <v>898.83699999999999</v>
      </c>
      <c r="K3368" s="10">
        <v>898.83699999999999</v>
      </c>
      <c r="L3368" s="10">
        <v>717.54100000000005</v>
      </c>
      <c r="M3368" s="10">
        <v>10.989000000000001</v>
      </c>
      <c r="N3368" s="10">
        <v>10.989000000000001</v>
      </c>
      <c r="O3368" s="10">
        <v>6.22</v>
      </c>
      <c r="P3368" s="10">
        <v>10</v>
      </c>
      <c r="Q3368" s="10">
        <v>10</v>
      </c>
      <c r="R3368" s="10">
        <v>11</v>
      </c>
    </row>
    <row r="3369" spans="1:18" ht="17" customHeight="1" x14ac:dyDescent="0.15">
      <c r="A3369" s="11" t="s">
        <v>18106</v>
      </c>
      <c r="B3369" s="1" t="s">
        <v>18107</v>
      </c>
      <c r="C3369" s="11" t="s">
        <v>18108</v>
      </c>
      <c r="D3369" s="11" t="s">
        <v>18108</v>
      </c>
      <c r="E3369" s="11" t="s">
        <v>18109</v>
      </c>
      <c r="F3369" s="11" t="s">
        <v>18065</v>
      </c>
      <c r="G3369" s="11" t="s">
        <v>18110</v>
      </c>
      <c r="H3369" s="11" t="s">
        <v>18081</v>
      </c>
      <c r="I3369" s="11" t="str">
        <f>HYPERLINK("http://alterfashionstudio.it/","alterfashionstudio.it")</f>
        <v>alterfashionstudio.it</v>
      </c>
      <c r="J3369" s="12">
        <v>736.96799999999996</v>
      </c>
      <c r="K3369" s="12">
        <v>736.96799999999996</v>
      </c>
      <c r="L3369" s="13">
        <v>717.22799999999995</v>
      </c>
      <c r="M3369" s="12">
        <v>31.437000000000001</v>
      </c>
      <c r="N3369" s="12">
        <v>31.437000000000001</v>
      </c>
      <c r="O3369" s="12">
        <v>10.349</v>
      </c>
      <c r="P3369" s="14" t="s">
        <v>18060</v>
      </c>
      <c r="Q3369" s="14" t="s">
        <v>18060</v>
      </c>
      <c r="R3369" s="12">
        <v>3</v>
      </c>
    </row>
    <row r="3370" spans="1:18" ht="17" customHeight="1" x14ac:dyDescent="0.15">
      <c r="A3370" s="8" t="s">
        <v>18111</v>
      </c>
      <c r="B3370" s="9" t="s">
        <v>18112</v>
      </c>
      <c r="C3370" s="8" t="s">
        <v>18113</v>
      </c>
      <c r="D3370" s="8" t="s">
        <v>18113</v>
      </c>
      <c r="E3370" s="8" t="s">
        <v>18114</v>
      </c>
      <c r="F3370" s="8" t="s">
        <v>18057</v>
      </c>
      <c r="G3370" s="8" t="s">
        <v>18115</v>
      </c>
      <c r="H3370" s="8" t="s">
        <v>18116</v>
      </c>
      <c r="I3370" s="8" t="str">
        <f>HYPERLINK("http://www.deltawear.es/","www.deltawear.es")</f>
        <v>www.deltawear.es</v>
      </c>
      <c r="J3370" s="10">
        <v>711.94500000000005</v>
      </c>
      <c r="K3370" s="10">
        <v>711.94500000000005</v>
      </c>
      <c r="L3370" s="10">
        <v>716.56299999999999</v>
      </c>
      <c r="M3370" s="10">
        <v>-17.056999999999999</v>
      </c>
      <c r="N3370" s="10">
        <v>-17.056999999999999</v>
      </c>
      <c r="O3370" s="10">
        <v>63.218000000000004</v>
      </c>
      <c r="P3370" s="15" t="s">
        <v>18060</v>
      </c>
      <c r="Q3370" s="15" t="s">
        <v>18060</v>
      </c>
      <c r="R3370" s="10">
        <v>7</v>
      </c>
    </row>
    <row r="3371" spans="1:18" ht="17" customHeight="1" x14ac:dyDescent="0.15">
      <c r="A3371" s="11" t="s">
        <v>18117</v>
      </c>
      <c r="B3371" s="1" t="s">
        <v>18118</v>
      </c>
      <c r="C3371" s="11" t="s">
        <v>18119</v>
      </c>
      <c r="D3371" s="11" t="s">
        <v>18119</v>
      </c>
      <c r="E3371" s="11" t="s">
        <v>18120</v>
      </c>
      <c r="F3371" s="11" t="s">
        <v>18099</v>
      </c>
      <c r="G3371" s="11" t="s">
        <v>18121</v>
      </c>
      <c r="H3371" s="11" t="s">
        <v>18067</v>
      </c>
      <c r="I3371" s="11" t="str">
        <f>HYPERLINK("http://pielleitalia.com/","pielleitalia.com")</f>
        <v>pielleitalia.com</v>
      </c>
      <c r="J3371" s="12">
        <v>712.02599999999995</v>
      </c>
      <c r="K3371" s="12">
        <v>712.02599999999995</v>
      </c>
      <c r="L3371" s="13">
        <v>716.52099999999996</v>
      </c>
      <c r="M3371" s="12">
        <v>12.254</v>
      </c>
      <c r="N3371" s="12">
        <v>12.254</v>
      </c>
      <c r="O3371" s="12">
        <v>-123.73099999999999</v>
      </c>
      <c r="P3371" s="14" t="s">
        <v>18060</v>
      </c>
      <c r="Q3371" s="14" t="s">
        <v>18060</v>
      </c>
      <c r="R3371" s="12">
        <v>7</v>
      </c>
    </row>
    <row r="3372" spans="1:18" ht="17" customHeight="1" x14ac:dyDescent="0.15">
      <c r="A3372" s="8" t="s">
        <v>18122</v>
      </c>
      <c r="B3372" s="9" t="s">
        <v>18123</v>
      </c>
      <c r="C3372" s="8" t="s">
        <v>18124</v>
      </c>
      <c r="D3372" s="8" t="s">
        <v>18124</v>
      </c>
      <c r="E3372" s="8" t="s">
        <v>18125</v>
      </c>
      <c r="F3372" s="8" t="s">
        <v>18079</v>
      </c>
      <c r="G3372" s="8" t="s">
        <v>18080</v>
      </c>
      <c r="H3372" s="8" t="s">
        <v>18081</v>
      </c>
      <c r="I3372" s="8" t="str">
        <f>HYPERLINK("http://www.margisrl.mobi/","www.margisrl.mobi")</f>
        <v>www.margisrl.mobi</v>
      </c>
      <c r="J3372" s="10">
        <v>615.28700000000003</v>
      </c>
      <c r="K3372" s="10">
        <v>615.28700000000003</v>
      </c>
      <c r="L3372" s="10">
        <v>715.40099999999995</v>
      </c>
      <c r="M3372" s="10">
        <v>-2.4380000000000002</v>
      </c>
      <c r="N3372" s="10">
        <v>-2.4380000000000002</v>
      </c>
      <c r="O3372" s="10">
        <v>-81.453000000000003</v>
      </c>
      <c r="P3372" s="10">
        <v>9</v>
      </c>
      <c r="Q3372" s="10">
        <v>9</v>
      </c>
      <c r="R3372" s="10">
        <v>11</v>
      </c>
    </row>
    <row r="3373" spans="1:18" ht="29.5" customHeight="1" x14ac:dyDescent="0.15">
      <c r="A3373" s="11" t="s">
        <v>18126</v>
      </c>
      <c r="B3373" s="1" t="s">
        <v>18127</v>
      </c>
      <c r="C3373" s="11" t="s">
        <v>18128</v>
      </c>
      <c r="D3373" s="11" t="s">
        <v>18128</v>
      </c>
      <c r="E3373" s="11" t="s">
        <v>18129</v>
      </c>
      <c r="F3373" s="11" t="s">
        <v>18130</v>
      </c>
      <c r="G3373" s="11" t="s">
        <v>18080</v>
      </c>
      <c r="H3373" s="11" t="s">
        <v>18081</v>
      </c>
      <c r="I3373" s="11" t="str">
        <f>HYPERLINK("http://amabilia.it/","amabilia.it")</f>
        <v>amabilia.it</v>
      </c>
      <c r="J3373" s="12">
        <v>818.89499999999998</v>
      </c>
      <c r="K3373" s="12">
        <v>818.89499999999998</v>
      </c>
      <c r="L3373" s="13">
        <v>714.88</v>
      </c>
      <c r="M3373" s="12">
        <v>5.625</v>
      </c>
      <c r="N3373" s="12">
        <v>5.625</v>
      </c>
      <c r="O3373" s="12">
        <v>-12.868</v>
      </c>
      <c r="P3373" s="12">
        <v>9</v>
      </c>
      <c r="Q3373" s="12">
        <v>9</v>
      </c>
      <c r="R3373" s="12">
        <v>8</v>
      </c>
    </row>
    <row r="3374" spans="1:18" ht="17" customHeight="1" x14ac:dyDescent="0.15">
      <c r="A3374" s="8" t="s">
        <v>18131</v>
      </c>
      <c r="B3374" s="9" t="s">
        <v>18132</v>
      </c>
      <c r="C3374" s="8" t="s">
        <v>18133</v>
      </c>
      <c r="D3374" s="8" t="s">
        <v>18133</v>
      </c>
      <c r="E3374" s="8" t="s">
        <v>18134</v>
      </c>
      <c r="F3374" s="8" t="s">
        <v>18099</v>
      </c>
      <c r="G3374" s="8" t="s">
        <v>18066</v>
      </c>
      <c r="H3374" s="8" t="s">
        <v>18067</v>
      </c>
      <c r="I3374" s="8" t="str">
        <f>HYPERLINK("http://www.comiconfezioni.it/","http://www.comiconfezioni.it")</f>
        <v>http://www.comiconfezioni.it</v>
      </c>
      <c r="J3374" s="10">
        <v>1118.837</v>
      </c>
      <c r="K3374" s="10">
        <v>1118.837</v>
      </c>
      <c r="L3374" s="10">
        <v>712.68399999999997</v>
      </c>
      <c r="M3374" s="10">
        <v>10.045</v>
      </c>
      <c r="N3374" s="10">
        <v>10.045</v>
      </c>
      <c r="O3374" s="10">
        <v>5.5730000000000004</v>
      </c>
      <c r="P3374" s="10">
        <v>2</v>
      </c>
      <c r="Q3374" s="10">
        <v>2</v>
      </c>
      <c r="R3374" s="10">
        <v>2</v>
      </c>
    </row>
    <row r="3375" spans="1:18" ht="17" customHeight="1" x14ac:dyDescent="0.15">
      <c r="A3375" s="11" t="s">
        <v>18135</v>
      </c>
      <c r="B3375" s="1" t="s">
        <v>18136</v>
      </c>
      <c r="C3375" s="11" t="s">
        <v>18137</v>
      </c>
      <c r="D3375" s="11" t="s">
        <v>18137</v>
      </c>
      <c r="E3375" s="11" t="s">
        <v>18138</v>
      </c>
      <c r="F3375" s="11" t="s">
        <v>18130</v>
      </c>
      <c r="G3375" s="11" t="s">
        <v>18105</v>
      </c>
      <c r="H3375" s="11" t="s">
        <v>18081</v>
      </c>
      <c r="I3375" s="11" t="str">
        <f>HYPERLINK("http://www.itakasrl.com/","www.itakasrl.com")</f>
        <v>www.itakasrl.com</v>
      </c>
      <c r="J3375" s="12">
        <v>888.32600000000002</v>
      </c>
      <c r="K3375" s="12">
        <v>888.32600000000002</v>
      </c>
      <c r="L3375" s="13">
        <v>712.72</v>
      </c>
      <c r="M3375" s="12">
        <v>-13.664999999999999</v>
      </c>
      <c r="N3375" s="12">
        <v>-13.664999999999999</v>
      </c>
      <c r="O3375" s="12">
        <v>3.6669999999999998</v>
      </c>
      <c r="P3375" s="12">
        <v>4</v>
      </c>
      <c r="Q3375" s="12">
        <v>4</v>
      </c>
      <c r="R3375" s="12">
        <v>3</v>
      </c>
    </row>
    <row r="3376" spans="1:18" ht="17" customHeight="1" x14ac:dyDescent="0.15">
      <c r="A3376" s="8" t="s">
        <v>18139</v>
      </c>
      <c r="B3376" s="9" t="s">
        <v>18140</v>
      </c>
      <c r="C3376" s="8" t="s">
        <v>18141</v>
      </c>
      <c r="D3376" s="8" t="s">
        <v>18141</v>
      </c>
      <c r="E3376" s="8" t="s">
        <v>18142</v>
      </c>
      <c r="F3376" s="8" t="s">
        <v>18143</v>
      </c>
      <c r="G3376" s="8" t="s">
        <v>18144</v>
      </c>
      <c r="H3376" s="8" t="s">
        <v>18081</v>
      </c>
      <c r="I3376" s="8" t="str">
        <f>HYPERLINK("http://www.calzaturificiomepres.com/","www.calzaturificiomepres.com")</f>
        <v>www.calzaturificiomepres.com</v>
      </c>
      <c r="J3376" s="10">
        <v>496.30200000000002</v>
      </c>
      <c r="K3376" s="10">
        <v>496.30200000000002</v>
      </c>
      <c r="L3376" s="10">
        <v>712.40599999999995</v>
      </c>
      <c r="M3376" s="10">
        <v>9.35</v>
      </c>
      <c r="N3376" s="10">
        <v>9.35</v>
      </c>
      <c r="O3376" s="10">
        <v>37.109000000000002</v>
      </c>
      <c r="P3376" s="10">
        <v>7</v>
      </c>
      <c r="Q3376" s="10">
        <v>7</v>
      </c>
      <c r="R3376" s="10">
        <v>12</v>
      </c>
    </row>
    <row r="3377" spans="1:18" ht="17" customHeight="1" x14ac:dyDescent="0.15">
      <c r="A3377" s="11" t="s">
        <v>18145</v>
      </c>
      <c r="B3377" s="1" t="s">
        <v>18146</v>
      </c>
      <c r="C3377" s="11" t="s">
        <v>18147</v>
      </c>
      <c r="D3377" s="11" t="s">
        <v>18147</v>
      </c>
      <c r="E3377" s="11" t="s">
        <v>18148</v>
      </c>
      <c r="F3377" s="11" t="s">
        <v>18065</v>
      </c>
      <c r="G3377" s="11" t="s">
        <v>18149</v>
      </c>
      <c r="H3377" s="11" t="s">
        <v>18150</v>
      </c>
      <c r="I3377" s="11" t="str">
        <f>HYPERLINK("http://www.confezionigierre.it/","www.confezionigierre.it")</f>
        <v>www.confezionigierre.it</v>
      </c>
      <c r="J3377" s="12">
        <v>571.74400000000003</v>
      </c>
      <c r="K3377" s="12">
        <v>571.74400000000003</v>
      </c>
      <c r="L3377" s="13">
        <v>711.779</v>
      </c>
      <c r="M3377" s="12">
        <v>35.14</v>
      </c>
      <c r="N3377" s="12">
        <v>35.14</v>
      </c>
      <c r="O3377" s="12">
        <v>33.246000000000002</v>
      </c>
      <c r="P3377" s="12">
        <v>12</v>
      </c>
      <c r="Q3377" s="12">
        <v>12</v>
      </c>
      <c r="R3377" s="12">
        <v>7</v>
      </c>
    </row>
    <row r="3378" spans="1:18" ht="17" customHeight="1" x14ac:dyDescent="0.15">
      <c r="A3378" s="8" t="s">
        <v>18151</v>
      </c>
      <c r="B3378" s="9" t="s">
        <v>18152</v>
      </c>
      <c r="C3378" s="8" t="s">
        <v>18153</v>
      </c>
      <c r="D3378" s="8" t="s">
        <v>18153</v>
      </c>
      <c r="E3378" s="8" t="s">
        <v>18154</v>
      </c>
      <c r="F3378" s="8" t="s">
        <v>18104</v>
      </c>
      <c r="G3378" s="8" t="s">
        <v>18155</v>
      </c>
      <c r="H3378" s="8" t="s">
        <v>18156</v>
      </c>
      <c r="I3378" s="8" t="str">
        <f>HYPERLINK("http://www.king.it/","www.king.it")</f>
        <v>www.king.it</v>
      </c>
      <c r="J3378" s="10">
        <v>714.53899999999999</v>
      </c>
      <c r="K3378" s="10">
        <v>714.53899999999999</v>
      </c>
      <c r="L3378" s="10">
        <v>711.73699999999997</v>
      </c>
      <c r="M3378" s="10">
        <v>0.85099999999999998</v>
      </c>
      <c r="N3378" s="10">
        <v>0.85099999999999998</v>
      </c>
      <c r="O3378" s="10">
        <v>1.24</v>
      </c>
      <c r="P3378" s="10">
        <v>4</v>
      </c>
      <c r="Q3378" s="10">
        <v>4</v>
      </c>
      <c r="R3378" s="10">
        <v>4</v>
      </c>
    </row>
    <row r="3379" spans="1:18" ht="29.5" customHeight="1" x14ac:dyDescent="0.15">
      <c r="A3379" s="11" t="s">
        <v>18157</v>
      </c>
      <c r="B3379" s="1" t="s">
        <v>18158</v>
      </c>
      <c r="C3379" s="11" t="s">
        <v>18159</v>
      </c>
      <c r="D3379" s="11" t="s">
        <v>18159</v>
      </c>
      <c r="E3379" s="11" t="s">
        <v>18160</v>
      </c>
      <c r="F3379" s="11" t="s">
        <v>18057</v>
      </c>
      <c r="G3379" s="11" t="s">
        <v>18161</v>
      </c>
      <c r="H3379" s="11" t="s">
        <v>18150</v>
      </c>
      <c r="I3379" s="11" t="str">
        <f>HYPERLINK("http://hair.westrose.it/","hair.westrose.it")</f>
        <v>hair.westrose.it</v>
      </c>
      <c r="J3379" s="12">
        <v>793.59199999999998</v>
      </c>
      <c r="K3379" s="12">
        <v>793.59199999999998</v>
      </c>
      <c r="L3379" s="13">
        <v>710.71799999999996</v>
      </c>
      <c r="M3379" s="12">
        <v>5.7439999999999998</v>
      </c>
      <c r="N3379" s="12">
        <v>5.7439999999999998</v>
      </c>
      <c r="O3379" s="12">
        <v>2.0310000000000001</v>
      </c>
      <c r="P3379" s="12">
        <v>9</v>
      </c>
      <c r="Q3379" s="12">
        <v>9</v>
      </c>
      <c r="R3379" s="12">
        <v>5</v>
      </c>
    </row>
    <row r="3380" spans="1:18" ht="17" customHeight="1" x14ac:dyDescent="0.15">
      <c r="A3380" s="8" t="s">
        <v>18162</v>
      </c>
      <c r="B3380" s="9" t="s">
        <v>18163</v>
      </c>
      <c r="C3380" s="8" t="s">
        <v>18164</v>
      </c>
      <c r="D3380" s="8" t="s">
        <v>18164</v>
      </c>
      <c r="E3380" s="8" t="s">
        <v>18165</v>
      </c>
      <c r="F3380" s="8" t="s">
        <v>18104</v>
      </c>
      <c r="G3380" s="8" t="s">
        <v>18155</v>
      </c>
      <c r="H3380" s="8" t="s">
        <v>18156</v>
      </c>
      <c r="I3380" s="8" t="str">
        <f>HYPERLINK("http://www.calzaturificioromitellishoes.com/","www.calzaturificioromitellishoes.com")</f>
        <v>www.calzaturificioromitellishoes.com</v>
      </c>
      <c r="J3380" s="10">
        <v>618.71900000000005</v>
      </c>
      <c r="K3380" s="10">
        <v>618.71900000000005</v>
      </c>
      <c r="L3380" s="10">
        <v>709.85</v>
      </c>
      <c r="M3380" s="10">
        <v>10.42</v>
      </c>
      <c r="N3380" s="10">
        <v>10.42</v>
      </c>
      <c r="O3380" s="10">
        <v>5.0819999999999999</v>
      </c>
      <c r="P3380" s="15" t="s">
        <v>18060</v>
      </c>
      <c r="Q3380" s="15" t="s">
        <v>18060</v>
      </c>
      <c r="R3380" s="10">
        <v>9</v>
      </c>
    </row>
    <row r="3381" spans="1:18" ht="17" customHeight="1" x14ac:dyDescent="0.15">
      <c r="A3381" s="11" t="s">
        <v>18166</v>
      </c>
      <c r="B3381" s="1" t="s">
        <v>18167</v>
      </c>
      <c r="C3381" s="11" t="s">
        <v>18168</v>
      </c>
      <c r="D3381" s="11" t="s">
        <v>18168</v>
      </c>
      <c r="E3381" s="11" t="s">
        <v>18169</v>
      </c>
      <c r="F3381" s="11" t="s">
        <v>18130</v>
      </c>
      <c r="G3381" s="11" t="s">
        <v>18170</v>
      </c>
      <c r="H3381" s="11" t="s">
        <v>18088</v>
      </c>
      <c r="I3381" s="11" t="str">
        <f>HYPERLINK("http://www.traibecca.com/","www.traibecca.com")</f>
        <v>www.traibecca.com</v>
      </c>
      <c r="J3381" s="12">
        <v>832.56500000000005</v>
      </c>
      <c r="K3381" s="12">
        <v>832.56500000000005</v>
      </c>
      <c r="L3381" s="13">
        <v>708.5</v>
      </c>
      <c r="M3381" s="12">
        <v>-1.6259999999999999</v>
      </c>
      <c r="N3381" s="12">
        <v>-1.6259999999999999</v>
      </c>
      <c r="O3381" s="12">
        <v>-21.190999999999999</v>
      </c>
      <c r="P3381" s="14" t="s">
        <v>18060</v>
      </c>
      <c r="Q3381" s="14" t="s">
        <v>18060</v>
      </c>
      <c r="R3381" s="12">
        <v>20</v>
      </c>
    </row>
    <row r="3382" spans="1:18" ht="17" customHeight="1" x14ac:dyDescent="0.15">
      <c r="A3382" s="8" t="s">
        <v>18171</v>
      </c>
      <c r="B3382" s="9" t="s">
        <v>18172</v>
      </c>
      <c r="C3382" s="8" t="s">
        <v>18173</v>
      </c>
      <c r="D3382" s="8" t="s">
        <v>18173</v>
      </c>
      <c r="E3382" s="8" t="s">
        <v>18174</v>
      </c>
      <c r="F3382" s="8" t="s">
        <v>18175</v>
      </c>
      <c r="G3382" s="8" t="s">
        <v>18176</v>
      </c>
      <c r="H3382" s="8" t="s">
        <v>18094</v>
      </c>
      <c r="I3382" s="8" t="str">
        <f>HYPERLINK("http://www.dvn.it/","www.dvn.it")</f>
        <v>www.dvn.it</v>
      </c>
      <c r="J3382" s="10">
        <v>436.58199999999999</v>
      </c>
      <c r="K3382" s="10">
        <v>436.58199999999999</v>
      </c>
      <c r="L3382" s="10">
        <v>708.34400000000005</v>
      </c>
      <c r="M3382" s="10">
        <v>25.143999999999998</v>
      </c>
      <c r="N3382" s="10">
        <v>25.143999999999998</v>
      </c>
      <c r="O3382" s="10">
        <v>44.841999999999999</v>
      </c>
      <c r="P3382" s="15" t="s">
        <v>18060</v>
      </c>
      <c r="Q3382" s="15" t="s">
        <v>18060</v>
      </c>
      <c r="R3382" s="10">
        <v>2</v>
      </c>
    </row>
    <row r="3383" spans="1:18" ht="17" customHeight="1" x14ac:dyDescent="0.15">
      <c r="A3383" s="11" t="s">
        <v>18177</v>
      </c>
      <c r="B3383" s="1" t="s">
        <v>18178</v>
      </c>
      <c r="C3383" s="11" t="s">
        <v>18179</v>
      </c>
      <c r="D3383" s="11" t="s">
        <v>18179</v>
      </c>
      <c r="E3383" s="11" t="s">
        <v>18180</v>
      </c>
      <c r="F3383" s="11" t="s">
        <v>18175</v>
      </c>
      <c r="G3383" s="11" t="s">
        <v>18181</v>
      </c>
      <c r="H3383" s="11" t="s">
        <v>18059</v>
      </c>
      <c r="I3383" s="11" t="str">
        <f>HYPERLINK("http://www.mayete.it/","www.mayete.it")</f>
        <v>www.mayete.it</v>
      </c>
      <c r="J3383" s="12">
        <v>739.88800000000003</v>
      </c>
      <c r="K3383" s="12">
        <v>739.88800000000003</v>
      </c>
      <c r="L3383" s="13">
        <v>708.22500000000002</v>
      </c>
      <c r="M3383" s="12">
        <v>1.117</v>
      </c>
      <c r="N3383" s="12">
        <v>1.117</v>
      </c>
      <c r="O3383" s="12">
        <v>33.573999999999998</v>
      </c>
      <c r="P3383" s="14" t="s">
        <v>18060</v>
      </c>
      <c r="Q3383" s="14" t="s">
        <v>18060</v>
      </c>
      <c r="R3383" s="12">
        <v>14</v>
      </c>
    </row>
    <row r="3384" spans="1:18" ht="29.5" customHeight="1" x14ac:dyDescent="0.15">
      <c r="A3384" s="8" t="s">
        <v>18182</v>
      </c>
      <c r="B3384" s="9" t="s">
        <v>18183</v>
      </c>
      <c r="C3384" s="8" t="s">
        <v>18184</v>
      </c>
      <c r="D3384" s="8" t="s">
        <v>18184</v>
      </c>
      <c r="E3384" s="8" t="s">
        <v>18185</v>
      </c>
      <c r="F3384" s="8" t="s">
        <v>18130</v>
      </c>
      <c r="G3384" s="8" t="s">
        <v>18186</v>
      </c>
      <c r="H3384" s="8" t="s">
        <v>18088</v>
      </c>
      <c r="I3384" s="8" t="str">
        <f>HYPERLINK("http://www.dooney.com/","www.dooney.com")</f>
        <v>www.dooney.com</v>
      </c>
      <c r="J3384" s="10">
        <v>1184.1079999999999</v>
      </c>
      <c r="K3384" s="10">
        <v>1184.1079999999999</v>
      </c>
      <c r="L3384" s="10">
        <v>706.43899999999996</v>
      </c>
      <c r="M3384" s="10">
        <v>32.921999999999997</v>
      </c>
      <c r="N3384" s="10">
        <v>32.921999999999997</v>
      </c>
      <c r="O3384" s="10">
        <v>-3.8479999999999999</v>
      </c>
      <c r="P3384" s="10">
        <v>4</v>
      </c>
      <c r="Q3384" s="10">
        <v>4</v>
      </c>
      <c r="R3384" s="10">
        <v>5</v>
      </c>
    </row>
    <row r="3385" spans="1:18" ht="17" customHeight="1" x14ac:dyDescent="0.15">
      <c r="A3385" s="11" t="s">
        <v>18187</v>
      </c>
      <c r="B3385" s="1" t="s">
        <v>18188</v>
      </c>
      <c r="C3385" s="11" t="s">
        <v>18189</v>
      </c>
      <c r="D3385" s="11" t="s">
        <v>18189</v>
      </c>
      <c r="E3385" s="11" t="s">
        <v>18190</v>
      </c>
      <c r="F3385" s="11" t="s">
        <v>18130</v>
      </c>
      <c r="G3385" s="11" t="s">
        <v>18191</v>
      </c>
      <c r="H3385" s="11" t="s">
        <v>18156</v>
      </c>
      <c r="I3385" s="11" t="str">
        <f>HYPERLINK("http://studioimmaginelab.it/","studioimmaginelab.it")</f>
        <v>studioimmaginelab.it</v>
      </c>
      <c r="J3385" s="12">
        <v>601.125</v>
      </c>
      <c r="K3385" s="12">
        <v>601.125</v>
      </c>
      <c r="L3385" s="13">
        <v>705.05</v>
      </c>
      <c r="M3385" s="12">
        <v>25.536000000000001</v>
      </c>
      <c r="N3385" s="12">
        <v>25.536000000000001</v>
      </c>
      <c r="O3385" s="12">
        <v>33.530999999999999</v>
      </c>
      <c r="P3385" s="12">
        <v>8</v>
      </c>
      <c r="Q3385" s="12">
        <v>8</v>
      </c>
      <c r="R3385" s="12">
        <v>14</v>
      </c>
    </row>
    <row r="3386" spans="1:18" ht="17" customHeight="1" x14ac:dyDescent="0.15">
      <c r="A3386" s="8" t="s">
        <v>18192</v>
      </c>
      <c r="B3386" s="9" t="s">
        <v>18193</v>
      </c>
      <c r="C3386" s="8" t="s">
        <v>18194</v>
      </c>
      <c r="D3386" s="8" t="s">
        <v>18194</v>
      </c>
      <c r="E3386" s="8" t="s">
        <v>18195</v>
      </c>
      <c r="F3386" s="8" t="s">
        <v>18079</v>
      </c>
      <c r="G3386" s="8" t="s">
        <v>18196</v>
      </c>
      <c r="H3386" s="8" t="s">
        <v>18088</v>
      </c>
      <c r="I3386" s="8" t="str">
        <f>HYPERLINK("http://www.marpellsrl.it/","www.marpellsrl.it")</f>
        <v>www.marpellsrl.it</v>
      </c>
      <c r="J3386" s="10">
        <v>707.29600000000005</v>
      </c>
      <c r="K3386" s="10">
        <v>707.29600000000005</v>
      </c>
      <c r="L3386" s="10">
        <v>704.83</v>
      </c>
      <c r="M3386" s="10">
        <v>132.15100000000001</v>
      </c>
      <c r="N3386" s="10">
        <v>132.15100000000001</v>
      </c>
      <c r="O3386" s="10">
        <v>59.259</v>
      </c>
      <c r="P3386" s="10">
        <v>4</v>
      </c>
      <c r="Q3386" s="10">
        <v>4</v>
      </c>
      <c r="R3386" s="10">
        <v>5</v>
      </c>
    </row>
    <row r="3387" spans="1:18" ht="29.5" customHeight="1" x14ac:dyDescent="0.15">
      <c r="A3387" s="11" t="s">
        <v>18197</v>
      </c>
      <c r="B3387" s="1" t="s">
        <v>18198</v>
      </c>
      <c r="C3387" s="11" t="s">
        <v>18199</v>
      </c>
      <c r="D3387" s="11" t="s">
        <v>18199</v>
      </c>
      <c r="E3387" s="11" t="s">
        <v>18200</v>
      </c>
      <c r="F3387" s="11" t="s">
        <v>18130</v>
      </c>
      <c r="G3387" s="11" t="s">
        <v>18087</v>
      </c>
      <c r="H3387" s="11" t="s">
        <v>18088</v>
      </c>
      <c r="I3387" s="11" t="str">
        <f>HYPERLINK("http://www.quadraro.it/","www.quadraro.it")</f>
        <v>www.quadraro.it</v>
      </c>
      <c r="J3387" s="12">
        <v>914.04399999999998</v>
      </c>
      <c r="K3387" s="12">
        <v>914.04399999999998</v>
      </c>
      <c r="L3387" s="13">
        <v>704.26</v>
      </c>
      <c r="M3387" s="12">
        <v>4.9560000000000004</v>
      </c>
      <c r="N3387" s="12">
        <v>4.9560000000000004</v>
      </c>
      <c r="O3387" s="12">
        <v>3.4620000000000002</v>
      </c>
      <c r="P3387" s="12">
        <v>7</v>
      </c>
      <c r="Q3387" s="12">
        <v>7</v>
      </c>
      <c r="R3387" s="12">
        <v>7</v>
      </c>
    </row>
    <row r="3388" spans="1:18" ht="17" customHeight="1" x14ac:dyDescent="0.15">
      <c r="A3388" s="8" t="s">
        <v>18201</v>
      </c>
      <c r="B3388" s="9" t="s">
        <v>18202</v>
      </c>
      <c r="C3388" s="8" t="s">
        <v>18203</v>
      </c>
      <c r="D3388" s="8" t="s">
        <v>18203</v>
      </c>
      <c r="E3388" s="8" t="s">
        <v>18204</v>
      </c>
      <c r="F3388" s="8" t="s">
        <v>18205</v>
      </c>
      <c r="G3388" s="8" t="s">
        <v>18206</v>
      </c>
      <c r="H3388" s="8" t="s">
        <v>18207</v>
      </c>
      <c r="I3388" s="8" t="str">
        <f>HYPERLINK("http://www.falcim.it/","www.falcim.it")</f>
        <v>www.falcim.it</v>
      </c>
      <c r="J3388" s="10">
        <v>822.63499999999999</v>
      </c>
      <c r="K3388" s="10">
        <v>822.63499999999999</v>
      </c>
      <c r="L3388" s="10">
        <v>703.89599999999996</v>
      </c>
      <c r="M3388" s="10">
        <v>16.565000000000001</v>
      </c>
      <c r="N3388" s="10">
        <v>16.565000000000001</v>
      </c>
      <c r="O3388" s="10">
        <v>10.834</v>
      </c>
      <c r="P3388" s="15" t="s">
        <v>18060</v>
      </c>
      <c r="Q3388" s="15" t="s">
        <v>18060</v>
      </c>
      <c r="R3388" s="10">
        <v>3</v>
      </c>
    </row>
    <row r="3389" spans="1:18" ht="17" customHeight="1" x14ac:dyDescent="0.15">
      <c r="A3389" s="11" t="s">
        <v>18208</v>
      </c>
      <c r="B3389" s="1" t="s">
        <v>18209</v>
      </c>
      <c r="C3389" s="11" t="s">
        <v>18210</v>
      </c>
      <c r="D3389" s="11" t="s">
        <v>18210</v>
      </c>
      <c r="E3389" s="11" t="s">
        <v>18211</v>
      </c>
      <c r="F3389" s="11" t="s">
        <v>18065</v>
      </c>
      <c r="G3389" s="11" t="s">
        <v>18212</v>
      </c>
      <c r="H3389" s="11" t="s">
        <v>18213</v>
      </c>
      <c r="I3389" s="11" t="str">
        <f>HYPERLINK("http://belisarioitaly.com/","belisarioitaly.com")</f>
        <v>belisarioitaly.com</v>
      </c>
      <c r="J3389" s="12">
        <v>731.39300000000003</v>
      </c>
      <c r="K3389" s="12">
        <v>731.39300000000003</v>
      </c>
      <c r="L3389" s="13">
        <v>702.16499999999996</v>
      </c>
      <c r="M3389" s="12">
        <v>8.2780000000000005</v>
      </c>
      <c r="N3389" s="12">
        <v>8.2780000000000005</v>
      </c>
      <c r="O3389" s="12">
        <v>33.737000000000002</v>
      </c>
      <c r="P3389" s="14" t="s">
        <v>18060</v>
      </c>
      <c r="Q3389" s="14" t="s">
        <v>18060</v>
      </c>
      <c r="R3389" s="12">
        <v>21</v>
      </c>
    </row>
    <row r="3390" spans="1:18" ht="17" customHeight="1" x14ac:dyDescent="0.15">
      <c r="A3390" s="8" t="s">
        <v>18214</v>
      </c>
      <c r="B3390" s="9" t="s">
        <v>18215</v>
      </c>
      <c r="C3390" s="8" t="s">
        <v>18216</v>
      </c>
      <c r="D3390" s="8" t="s">
        <v>18216</v>
      </c>
      <c r="E3390" s="8" t="s">
        <v>18217</v>
      </c>
      <c r="F3390" s="8" t="s">
        <v>18065</v>
      </c>
      <c r="G3390" s="8" t="s">
        <v>18110</v>
      </c>
      <c r="H3390" s="8" t="s">
        <v>18081</v>
      </c>
      <c r="I3390" s="8" t="str">
        <f>HYPERLINK("http://jeansmarket.it/","jeansmarket.it")</f>
        <v>jeansmarket.it</v>
      </c>
      <c r="J3390" s="10">
        <v>778.976</v>
      </c>
      <c r="K3390" s="10">
        <v>778.976</v>
      </c>
      <c r="L3390" s="10">
        <v>702.06600000000003</v>
      </c>
      <c r="M3390" s="10">
        <v>-6.6859999999999999</v>
      </c>
      <c r="N3390" s="10">
        <v>-6.6859999999999999</v>
      </c>
      <c r="O3390" s="10">
        <v>-16.66</v>
      </c>
      <c r="P3390" s="15" t="s">
        <v>18060</v>
      </c>
      <c r="Q3390" s="15" t="s">
        <v>18060</v>
      </c>
      <c r="R3390" s="10">
        <v>3</v>
      </c>
    </row>
    <row r="3391" spans="1:18" ht="17" customHeight="1" x14ac:dyDescent="0.15">
      <c r="A3391" s="11" t="s">
        <v>18218</v>
      </c>
      <c r="B3391" s="1" t="s">
        <v>18219</v>
      </c>
      <c r="C3391" s="11" t="s">
        <v>18220</v>
      </c>
      <c r="D3391" s="11" t="s">
        <v>18220</v>
      </c>
      <c r="E3391" s="11" t="s">
        <v>18221</v>
      </c>
      <c r="F3391" s="11" t="s">
        <v>18104</v>
      </c>
      <c r="G3391" s="11" t="s">
        <v>18115</v>
      </c>
      <c r="H3391" s="11" t="s">
        <v>18116</v>
      </c>
      <c r="I3391" s="11" t="str">
        <f>HYPERLINK("http://www.altamodapositano.com/","www.altamodapositano.com")</f>
        <v>www.altamodapositano.com</v>
      </c>
      <c r="J3391" s="12">
        <v>839.13900000000001</v>
      </c>
      <c r="K3391" s="12">
        <v>839.13900000000001</v>
      </c>
      <c r="L3391" s="13">
        <v>700.33600000000001</v>
      </c>
      <c r="M3391" s="12">
        <v>18.337</v>
      </c>
      <c r="N3391" s="12">
        <v>18.337</v>
      </c>
      <c r="O3391" s="12">
        <v>16.777000000000001</v>
      </c>
      <c r="P3391" s="14" t="s">
        <v>18060</v>
      </c>
      <c r="Q3391" s="14" t="s">
        <v>18060</v>
      </c>
      <c r="R3391" s="12">
        <v>6</v>
      </c>
    </row>
    <row r="3392" spans="1:18" ht="17" customHeight="1" x14ac:dyDescent="0.15">
      <c r="A3392" s="8" t="s">
        <v>18222</v>
      </c>
      <c r="B3392" s="9" t="s">
        <v>18223</v>
      </c>
      <c r="C3392" s="8" t="s">
        <v>18224</v>
      </c>
      <c r="D3392" s="8" t="s">
        <v>18224</v>
      </c>
      <c r="E3392" s="8" t="s">
        <v>18225</v>
      </c>
      <c r="F3392" s="8" t="s">
        <v>18086</v>
      </c>
      <c r="G3392" s="8" t="s">
        <v>18115</v>
      </c>
      <c r="H3392" s="8" t="s">
        <v>18116</v>
      </c>
      <c r="I3392" s="8" t="str">
        <f>HYPERLINK("http://albertoluti.it/","albertoluti.it")</f>
        <v>albertoluti.it</v>
      </c>
      <c r="J3392" s="10">
        <v>1120.7940000000001</v>
      </c>
      <c r="K3392" s="10">
        <v>1120.7940000000001</v>
      </c>
      <c r="L3392" s="10">
        <v>699.10599999999999</v>
      </c>
      <c r="M3392" s="10">
        <v>18.359000000000002</v>
      </c>
      <c r="N3392" s="10">
        <v>18.359000000000002</v>
      </c>
      <c r="O3392" s="10">
        <v>11.456</v>
      </c>
      <c r="P3392" s="15" t="s">
        <v>18060</v>
      </c>
      <c r="Q3392" s="15" t="s">
        <v>18060</v>
      </c>
      <c r="R3392" s="10">
        <v>5</v>
      </c>
    </row>
    <row r="3393" spans="1:18" ht="17" customHeight="1" x14ac:dyDescent="0.15">
      <c r="A3393" s="11" t="s">
        <v>18226</v>
      </c>
      <c r="B3393" s="1" t="s">
        <v>18227</v>
      </c>
      <c r="C3393" s="11" t="s">
        <v>18228</v>
      </c>
      <c r="D3393" s="11" t="s">
        <v>18228</v>
      </c>
      <c r="E3393" s="11" t="s">
        <v>18229</v>
      </c>
      <c r="F3393" s="11" t="s">
        <v>18230</v>
      </c>
      <c r="G3393" s="11" t="s">
        <v>18231</v>
      </c>
      <c r="H3393" s="11" t="s">
        <v>18232</v>
      </c>
      <c r="I3393" s="11" t="str">
        <f>HYPERLINK("http://www.calzaturepoca.com/","www.calzaturepoca.com")</f>
        <v>www.calzaturepoca.com</v>
      </c>
      <c r="J3393" s="12">
        <v>966.57299999999998</v>
      </c>
      <c r="K3393" s="12">
        <v>966.57299999999998</v>
      </c>
      <c r="L3393" s="13">
        <v>697.82600000000002</v>
      </c>
      <c r="M3393" s="12">
        <v>142.32</v>
      </c>
      <c r="N3393" s="12">
        <v>142.32</v>
      </c>
      <c r="O3393" s="12">
        <v>35.764000000000003</v>
      </c>
      <c r="P3393" s="12">
        <v>10</v>
      </c>
      <c r="Q3393" s="12">
        <v>10</v>
      </c>
      <c r="R3393" s="12">
        <v>9</v>
      </c>
    </row>
    <row r="3394" spans="1:18" ht="17" customHeight="1" x14ac:dyDescent="0.15">
      <c r="A3394" s="8" t="s">
        <v>18233</v>
      </c>
      <c r="B3394" s="9" t="s">
        <v>18234</v>
      </c>
      <c r="C3394" s="8" t="s">
        <v>18235</v>
      </c>
      <c r="D3394" s="8" t="s">
        <v>18235</v>
      </c>
      <c r="E3394" s="8" t="s">
        <v>18236</v>
      </c>
      <c r="F3394" s="8" t="s">
        <v>18237</v>
      </c>
      <c r="G3394" s="8" t="s">
        <v>18238</v>
      </c>
      <c r="H3394" s="8" t="s">
        <v>18239</v>
      </c>
      <c r="I3394" s="8" t="str">
        <f>HYPERLINK("http://www.mouche.it/","www.mouche.it")</f>
        <v>www.mouche.it</v>
      </c>
      <c r="J3394" s="10">
        <v>660.10500000000002</v>
      </c>
      <c r="K3394" s="10">
        <v>660.10500000000002</v>
      </c>
      <c r="L3394" s="10">
        <v>697.61199999999997</v>
      </c>
      <c r="M3394" s="10">
        <v>0.151</v>
      </c>
      <c r="N3394" s="10">
        <v>0.151</v>
      </c>
      <c r="O3394" s="10">
        <v>0.21199999999999999</v>
      </c>
      <c r="P3394" s="10">
        <v>6</v>
      </c>
      <c r="Q3394" s="10">
        <v>6</v>
      </c>
      <c r="R3394" s="10">
        <v>6</v>
      </c>
    </row>
    <row r="3395" spans="1:18" ht="17" customHeight="1" x14ac:dyDescent="0.15">
      <c r="A3395" s="11" t="s">
        <v>18240</v>
      </c>
      <c r="B3395" s="1" t="s">
        <v>18241</v>
      </c>
      <c r="C3395" s="11" t="s">
        <v>18242</v>
      </c>
      <c r="D3395" s="11" t="s">
        <v>18242</v>
      </c>
      <c r="E3395" s="11" t="s">
        <v>18243</v>
      </c>
      <c r="F3395" s="11" t="s">
        <v>18244</v>
      </c>
      <c r="G3395" s="11" t="s">
        <v>18245</v>
      </c>
      <c r="H3395" s="11" t="s">
        <v>18246</v>
      </c>
      <c r="I3395" s="11" t="str">
        <f>HYPERLINK("http://www.atelieritalia.com/","www.atelieritalia.com")</f>
        <v>www.atelieritalia.com</v>
      </c>
      <c r="J3395" s="12">
        <v>602.79200000000003</v>
      </c>
      <c r="K3395" s="12">
        <v>602.79200000000003</v>
      </c>
      <c r="L3395" s="13">
        <v>696.91700000000003</v>
      </c>
      <c r="M3395" s="12">
        <v>-21.846</v>
      </c>
      <c r="N3395" s="12">
        <v>-21.846</v>
      </c>
      <c r="O3395" s="12">
        <v>1.5029999999999999</v>
      </c>
      <c r="P3395" s="12">
        <v>16</v>
      </c>
      <c r="Q3395" s="12">
        <v>16</v>
      </c>
      <c r="R3395" s="12">
        <v>17</v>
      </c>
    </row>
    <row r="3396" spans="1:18" ht="17" customHeight="1" x14ac:dyDescent="0.15">
      <c r="A3396" s="8" t="s">
        <v>18247</v>
      </c>
      <c r="B3396" s="9" t="s">
        <v>18248</v>
      </c>
      <c r="C3396" s="8" t="s">
        <v>18249</v>
      </c>
      <c r="D3396" s="8" t="s">
        <v>18249</v>
      </c>
      <c r="E3396" s="8" t="s">
        <v>18250</v>
      </c>
      <c r="F3396" s="8" t="s">
        <v>18237</v>
      </c>
      <c r="G3396" s="8" t="s">
        <v>18251</v>
      </c>
      <c r="H3396" s="8" t="s">
        <v>18252</v>
      </c>
      <c r="I3396" s="8" t="str">
        <f>HYPERLINK("http://newenergymoda.it/","newenergymoda.it")</f>
        <v>newenergymoda.it</v>
      </c>
      <c r="J3396" s="10">
        <v>586.87</v>
      </c>
      <c r="K3396" s="10">
        <v>586.87</v>
      </c>
      <c r="L3396" s="10">
        <v>696.91200000000003</v>
      </c>
      <c r="M3396" s="10">
        <v>2.0950000000000002</v>
      </c>
      <c r="N3396" s="10">
        <v>2.0950000000000002</v>
      </c>
      <c r="O3396" s="10">
        <v>0.54</v>
      </c>
      <c r="P3396" s="10">
        <v>9</v>
      </c>
      <c r="Q3396" s="10">
        <v>9</v>
      </c>
      <c r="R3396" s="10">
        <v>6</v>
      </c>
    </row>
    <row r="3397" spans="1:18" ht="17" customHeight="1" x14ac:dyDescent="0.15">
      <c r="A3397" s="11" t="s">
        <v>18253</v>
      </c>
      <c r="B3397" s="1" t="s">
        <v>18254</v>
      </c>
      <c r="C3397" s="11" t="s">
        <v>18255</v>
      </c>
      <c r="D3397" s="11" t="s">
        <v>18255</v>
      </c>
      <c r="E3397" s="11" t="s">
        <v>18256</v>
      </c>
      <c r="F3397" s="11" t="s">
        <v>18257</v>
      </c>
      <c r="G3397" s="11" t="s">
        <v>18258</v>
      </c>
      <c r="H3397" s="11" t="s">
        <v>18246</v>
      </c>
      <c r="I3397" s="11" t="str">
        <f>HYPERLINK("http://clairesrl.it/","clairesrl.it")</f>
        <v>clairesrl.it</v>
      </c>
      <c r="J3397" s="12">
        <v>510.798</v>
      </c>
      <c r="K3397" s="12">
        <v>510.798</v>
      </c>
      <c r="L3397" s="13">
        <v>696.59900000000005</v>
      </c>
      <c r="M3397" s="12">
        <v>1.5469999999999999</v>
      </c>
      <c r="N3397" s="12">
        <v>1.5469999999999999</v>
      </c>
      <c r="O3397" s="12">
        <v>58.264000000000003</v>
      </c>
      <c r="P3397" s="12">
        <v>5</v>
      </c>
      <c r="Q3397" s="12">
        <v>5</v>
      </c>
      <c r="R3397" s="12">
        <v>7</v>
      </c>
    </row>
    <row r="3398" spans="1:18" ht="17" customHeight="1" x14ac:dyDescent="0.15">
      <c r="A3398" s="8" t="s">
        <v>18259</v>
      </c>
      <c r="B3398" s="9" t="s">
        <v>18260</v>
      </c>
      <c r="C3398" s="8" t="s">
        <v>18261</v>
      </c>
      <c r="D3398" s="8" t="s">
        <v>18261</v>
      </c>
      <c r="E3398" s="8" t="s">
        <v>18262</v>
      </c>
      <c r="F3398" s="8" t="s">
        <v>18237</v>
      </c>
      <c r="G3398" s="8" t="s">
        <v>18263</v>
      </c>
      <c r="H3398" s="8" t="s">
        <v>18252</v>
      </c>
      <c r="I3398" s="8" t="str">
        <f>HYPERLINK("http://www.idea90.com/","http://www.idea90.com/")</f>
        <v>http://www.idea90.com/</v>
      </c>
      <c r="J3398" s="10">
        <v>746.846</v>
      </c>
      <c r="K3398" s="10">
        <v>746.846</v>
      </c>
      <c r="L3398" s="10">
        <v>695.38499999999999</v>
      </c>
      <c r="M3398" s="10">
        <v>64.561000000000007</v>
      </c>
      <c r="N3398" s="10">
        <v>64.561000000000007</v>
      </c>
      <c r="O3398" s="10">
        <v>41.378</v>
      </c>
      <c r="P3398" s="10">
        <v>14</v>
      </c>
      <c r="Q3398" s="10">
        <v>14</v>
      </c>
      <c r="R3398" s="10">
        <v>14</v>
      </c>
    </row>
    <row r="3399" spans="1:18" ht="17" customHeight="1" x14ac:dyDescent="0.15">
      <c r="A3399" s="11" t="s">
        <v>18264</v>
      </c>
      <c r="B3399" s="1" t="s">
        <v>18265</v>
      </c>
      <c r="C3399" s="11" t="s">
        <v>18266</v>
      </c>
      <c r="D3399" s="11" t="s">
        <v>18266</v>
      </c>
      <c r="E3399" s="11" t="s">
        <v>18267</v>
      </c>
      <c r="F3399" s="11" t="s">
        <v>18237</v>
      </c>
      <c r="G3399" s="11" t="s">
        <v>18268</v>
      </c>
      <c r="H3399" s="11" t="s">
        <v>18269</v>
      </c>
      <c r="I3399" s="11" t="str">
        <f>HYPERLINK("http://www.avfaccessorimoda.it/","www.avfaccessorimoda.it")</f>
        <v>www.avfaccessorimoda.it</v>
      </c>
      <c r="J3399" s="12">
        <v>877.846</v>
      </c>
      <c r="K3399" s="12">
        <v>877.846</v>
      </c>
      <c r="L3399" s="13">
        <v>695.04700000000003</v>
      </c>
      <c r="M3399" s="12">
        <v>179.43100000000001</v>
      </c>
      <c r="N3399" s="12">
        <v>179.43100000000001</v>
      </c>
      <c r="O3399" s="12">
        <v>37.677999999999997</v>
      </c>
      <c r="P3399" s="12">
        <v>3</v>
      </c>
      <c r="Q3399" s="12">
        <v>3</v>
      </c>
      <c r="R3399" s="12">
        <v>3</v>
      </c>
    </row>
    <row r="3400" spans="1:18" ht="17" customHeight="1" x14ac:dyDescent="0.15">
      <c r="A3400" s="8" t="s">
        <v>18270</v>
      </c>
      <c r="B3400" s="9" t="s">
        <v>18271</v>
      </c>
      <c r="C3400" s="8" t="s">
        <v>18272</v>
      </c>
      <c r="D3400" s="8" t="s">
        <v>18272</v>
      </c>
      <c r="E3400" s="8" t="s">
        <v>18273</v>
      </c>
      <c r="F3400" s="8" t="s">
        <v>18237</v>
      </c>
      <c r="G3400" s="8" t="s">
        <v>18274</v>
      </c>
      <c r="H3400" s="8" t="s">
        <v>18275</v>
      </c>
      <c r="I3400" s="8" t="str">
        <f>HYPERLINK("http://www.sorgentemodacollezioni.it/","www.sorgentemodacollezioni.it")</f>
        <v>www.sorgentemodacollezioni.it</v>
      </c>
      <c r="J3400" s="10">
        <v>694.85900000000004</v>
      </c>
      <c r="K3400" s="15" t="s">
        <v>18276</v>
      </c>
      <c r="L3400" s="10">
        <v>694.85900000000004</v>
      </c>
      <c r="M3400" s="10">
        <v>80.432000000000002</v>
      </c>
      <c r="N3400" s="15" t="s">
        <v>18276</v>
      </c>
      <c r="O3400" s="10">
        <v>80.432000000000002</v>
      </c>
      <c r="P3400" s="10">
        <v>0</v>
      </c>
      <c r="Q3400" s="15" t="s">
        <v>18276</v>
      </c>
      <c r="R3400" s="10">
        <v>0</v>
      </c>
    </row>
    <row r="3401" spans="1:18" ht="17" customHeight="1" x14ac:dyDescent="0.15">
      <c r="A3401" s="11" t="s">
        <v>18277</v>
      </c>
      <c r="B3401" s="1" t="s">
        <v>18278</v>
      </c>
      <c r="C3401" s="11" t="s">
        <v>18279</v>
      </c>
      <c r="D3401" s="11" t="s">
        <v>18279</v>
      </c>
      <c r="E3401" s="11" t="s">
        <v>18280</v>
      </c>
      <c r="F3401" s="11" t="s">
        <v>18281</v>
      </c>
      <c r="G3401" s="11" t="s">
        <v>18282</v>
      </c>
      <c r="H3401" s="11" t="s">
        <v>18246</v>
      </c>
      <c r="I3401" s="11" t="str">
        <f>HYPERLINK("http://www.spaccatricedelmugnaio.it/","www.spaccatricedelmugnaio.it")</f>
        <v>www.spaccatricedelmugnaio.it</v>
      </c>
      <c r="J3401" s="12">
        <v>665.524</v>
      </c>
      <c r="K3401" s="12">
        <v>665.524</v>
      </c>
      <c r="L3401" s="13">
        <v>694.798</v>
      </c>
      <c r="M3401" s="12">
        <v>-38.677999999999997</v>
      </c>
      <c r="N3401" s="12">
        <v>-38.677999999999997</v>
      </c>
      <c r="O3401" s="12">
        <v>-43.945</v>
      </c>
      <c r="P3401" s="12">
        <v>6</v>
      </c>
      <c r="Q3401" s="12">
        <v>6</v>
      </c>
      <c r="R3401" s="12">
        <v>5</v>
      </c>
    </row>
    <row r="3402" spans="1:18" ht="17" customHeight="1" x14ac:dyDescent="0.15">
      <c r="A3402" s="8" t="s">
        <v>18283</v>
      </c>
      <c r="B3402" s="9" t="s">
        <v>18284</v>
      </c>
      <c r="C3402" s="8" t="s">
        <v>18285</v>
      </c>
      <c r="D3402" s="8" t="s">
        <v>18285</v>
      </c>
      <c r="E3402" s="8" t="s">
        <v>18286</v>
      </c>
      <c r="F3402" s="8" t="s">
        <v>18287</v>
      </c>
      <c r="G3402" s="8" t="s">
        <v>18274</v>
      </c>
      <c r="H3402" s="8" t="s">
        <v>18275</v>
      </c>
      <c r="I3402" s="8" t="str">
        <f>HYPERLINK("http://lucarellapellicce.it/","lucarellapellicce.it")</f>
        <v>lucarellapellicce.it</v>
      </c>
      <c r="J3402" s="10">
        <v>444.80200000000002</v>
      </c>
      <c r="K3402" s="10">
        <v>444.80200000000002</v>
      </c>
      <c r="L3402" s="10">
        <v>692.822</v>
      </c>
      <c r="M3402" s="10">
        <v>0.438</v>
      </c>
      <c r="N3402" s="10">
        <v>0.438</v>
      </c>
      <c r="O3402" s="10">
        <v>37.171999999999997</v>
      </c>
      <c r="P3402" s="10">
        <v>0</v>
      </c>
      <c r="Q3402" s="10">
        <v>0</v>
      </c>
      <c r="R3402" s="10">
        <v>2</v>
      </c>
    </row>
    <row r="3403" spans="1:18" ht="17" customHeight="1" x14ac:dyDescent="0.15">
      <c r="A3403" s="11" t="s">
        <v>18288</v>
      </c>
      <c r="B3403" s="1" t="s">
        <v>18289</v>
      </c>
      <c r="C3403" s="11" t="s">
        <v>18290</v>
      </c>
      <c r="D3403" s="11" t="s">
        <v>18290</v>
      </c>
      <c r="E3403" s="11" t="s">
        <v>18291</v>
      </c>
      <c r="F3403" s="11" t="s">
        <v>18292</v>
      </c>
      <c r="G3403" s="11" t="s">
        <v>18293</v>
      </c>
      <c r="H3403" s="11" t="s">
        <v>18232</v>
      </c>
      <c r="I3403" s="11" t="str">
        <f>HYPERLINK("http://sartoriasecchi.it/","sartoriasecchi.it")</f>
        <v>sartoriasecchi.it</v>
      </c>
      <c r="J3403" s="12">
        <v>931.96699999999998</v>
      </c>
      <c r="K3403" s="12">
        <v>931.96699999999998</v>
      </c>
      <c r="L3403" s="13">
        <v>692.31899999999996</v>
      </c>
      <c r="M3403" s="12">
        <v>13.708</v>
      </c>
      <c r="N3403" s="12">
        <v>13.708</v>
      </c>
      <c r="O3403" s="12">
        <v>1.29</v>
      </c>
      <c r="P3403" s="12">
        <v>6</v>
      </c>
      <c r="Q3403" s="12">
        <v>6</v>
      </c>
      <c r="R3403" s="12">
        <v>7</v>
      </c>
    </row>
    <row r="3404" spans="1:18" ht="17" customHeight="1" x14ac:dyDescent="0.15">
      <c r="A3404" s="8" t="s">
        <v>18294</v>
      </c>
      <c r="B3404" s="9" t="s">
        <v>18295</v>
      </c>
      <c r="C3404" s="8" t="s">
        <v>18296</v>
      </c>
      <c r="D3404" s="8" t="s">
        <v>18296</v>
      </c>
      <c r="E3404" s="8" t="s">
        <v>18297</v>
      </c>
      <c r="F3404" s="8" t="s">
        <v>18257</v>
      </c>
      <c r="G3404" s="8" t="s">
        <v>18231</v>
      </c>
      <c r="H3404" s="8" t="s">
        <v>18232</v>
      </c>
      <c r="I3404" s="8" t="str">
        <f>HYPERLINK("http://www.trizioflightcase.com/","www.trizioflightcase.com")</f>
        <v>www.trizioflightcase.com</v>
      </c>
      <c r="J3404" s="10">
        <v>709.91899999999998</v>
      </c>
      <c r="K3404" s="10">
        <v>709.91899999999998</v>
      </c>
      <c r="L3404" s="10">
        <v>691.41399999999999</v>
      </c>
      <c r="M3404" s="10">
        <v>15.718</v>
      </c>
      <c r="N3404" s="10">
        <v>15.718</v>
      </c>
      <c r="O3404" s="10">
        <v>19.254000000000001</v>
      </c>
      <c r="P3404" s="15" t="s">
        <v>18276</v>
      </c>
      <c r="Q3404" s="15" t="s">
        <v>18276</v>
      </c>
      <c r="R3404" s="10">
        <v>8</v>
      </c>
    </row>
    <row r="3405" spans="1:18" ht="17" customHeight="1" x14ac:dyDescent="0.15">
      <c r="A3405" s="11" t="s">
        <v>18298</v>
      </c>
      <c r="B3405" s="1" t="s">
        <v>18299</v>
      </c>
      <c r="C3405" s="11" t="s">
        <v>18300</v>
      </c>
      <c r="D3405" s="11" t="s">
        <v>18300</v>
      </c>
      <c r="E3405" s="11" t="s">
        <v>18301</v>
      </c>
      <c r="F3405" s="11" t="s">
        <v>18302</v>
      </c>
      <c r="G3405" s="11" t="s">
        <v>18263</v>
      </c>
      <c r="H3405" s="11" t="s">
        <v>18252</v>
      </c>
      <c r="I3405" s="11" t="str">
        <f>HYPERLINK("http://www.airdpstyle.com/","www.airdpstyle.com")</f>
        <v>www.airdpstyle.com</v>
      </c>
      <c r="J3405" s="12">
        <v>607.505</v>
      </c>
      <c r="K3405" s="12">
        <v>607.505</v>
      </c>
      <c r="L3405" s="13">
        <v>691.255</v>
      </c>
      <c r="M3405" s="12">
        <v>-143.72200000000001</v>
      </c>
      <c r="N3405" s="12">
        <v>-143.72200000000001</v>
      </c>
      <c r="O3405" s="12">
        <v>-41.814</v>
      </c>
      <c r="P3405" s="12">
        <v>4</v>
      </c>
      <c r="Q3405" s="12">
        <v>4</v>
      </c>
      <c r="R3405" s="12">
        <v>4</v>
      </c>
    </row>
    <row r="3406" spans="1:18" ht="29.5" customHeight="1" x14ac:dyDescent="0.15">
      <c r="A3406" s="8" t="s">
        <v>18303</v>
      </c>
      <c r="B3406" s="9" t="s">
        <v>18304</v>
      </c>
      <c r="C3406" s="8" t="s">
        <v>18305</v>
      </c>
      <c r="D3406" s="8" t="s">
        <v>18305</v>
      </c>
      <c r="E3406" s="8" t="s">
        <v>18306</v>
      </c>
      <c r="F3406" s="8" t="s">
        <v>18307</v>
      </c>
      <c r="G3406" s="8" t="s">
        <v>18308</v>
      </c>
      <c r="H3406" s="8" t="s">
        <v>18309</v>
      </c>
      <c r="I3406" s="8" t="str">
        <f>HYPERLINK("http://www.belts-parma.it/","www.belts-parma.it")</f>
        <v>www.belts-parma.it</v>
      </c>
      <c r="J3406" s="10">
        <v>713.49300000000005</v>
      </c>
      <c r="K3406" s="10">
        <v>713.49300000000005</v>
      </c>
      <c r="L3406" s="10">
        <v>691.24900000000002</v>
      </c>
      <c r="M3406" s="10">
        <v>28.007000000000001</v>
      </c>
      <c r="N3406" s="10">
        <v>28.007000000000001</v>
      </c>
      <c r="O3406" s="10">
        <v>22.544</v>
      </c>
      <c r="P3406" s="10">
        <v>5</v>
      </c>
      <c r="Q3406" s="10">
        <v>5</v>
      </c>
      <c r="R3406" s="10">
        <v>5</v>
      </c>
    </row>
    <row r="3407" spans="1:18" ht="17" customHeight="1" x14ac:dyDescent="0.15">
      <c r="A3407" s="11" t="s">
        <v>18310</v>
      </c>
      <c r="B3407" s="1" t="s">
        <v>18311</v>
      </c>
      <c r="C3407" s="11" t="s">
        <v>18312</v>
      </c>
      <c r="D3407" s="11" t="s">
        <v>18312</v>
      </c>
      <c r="E3407" s="11" t="s">
        <v>18313</v>
      </c>
      <c r="F3407" s="11" t="s">
        <v>18302</v>
      </c>
      <c r="G3407" s="11" t="s">
        <v>18314</v>
      </c>
      <c r="H3407" s="11" t="s">
        <v>18232</v>
      </c>
      <c r="I3407" s="11" t="str">
        <f>HYPERLINK("http://www.serteo.it/","www.serteo.it")</f>
        <v>www.serteo.it</v>
      </c>
      <c r="J3407" s="12">
        <v>1070.0540000000001</v>
      </c>
      <c r="K3407" s="12">
        <v>1070.0540000000001</v>
      </c>
      <c r="L3407" s="13">
        <v>690.40300000000002</v>
      </c>
      <c r="M3407" s="12">
        <v>19.716999999999999</v>
      </c>
      <c r="N3407" s="12">
        <v>19.716999999999999</v>
      </c>
      <c r="O3407" s="12">
        <v>-32.039000000000001</v>
      </c>
      <c r="P3407" s="12">
        <v>6</v>
      </c>
      <c r="Q3407" s="12">
        <v>6</v>
      </c>
      <c r="R3407" s="12">
        <v>4</v>
      </c>
    </row>
    <row r="3408" spans="1:18" ht="29.5" customHeight="1" x14ac:dyDescent="0.15">
      <c r="A3408" s="8" t="s">
        <v>18315</v>
      </c>
      <c r="B3408" s="9" t="s">
        <v>18316</v>
      </c>
      <c r="C3408" s="8" t="s">
        <v>18317</v>
      </c>
      <c r="D3408" s="8" t="s">
        <v>18317</v>
      </c>
      <c r="E3408" s="8" t="s">
        <v>18318</v>
      </c>
      <c r="F3408" s="8" t="s">
        <v>18230</v>
      </c>
      <c r="G3408" s="8" t="s">
        <v>18319</v>
      </c>
      <c r="H3408" s="8" t="s">
        <v>18275</v>
      </c>
      <c r="I3408" s="8" t="str">
        <f>HYPERLINK("http://www.morisshoes.it/","www.morisshoes.it")</f>
        <v>www.morisshoes.it</v>
      </c>
      <c r="J3408" s="10">
        <v>774.26800000000003</v>
      </c>
      <c r="K3408" s="10">
        <v>774.26800000000003</v>
      </c>
      <c r="L3408" s="10">
        <v>690.10299999999995</v>
      </c>
      <c r="M3408" s="10">
        <v>2.72</v>
      </c>
      <c r="N3408" s="10">
        <v>2.72</v>
      </c>
      <c r="O3408" s="10">
        <v>-23.068999999999999</v>
      </c>
      <c r="P3408" s="10">
        <v>13</v>
      </c>
      <c r="Q3408" s="10">
        <v>13</v>
      </c>
      <c r="R3408" s="10">
        <v>10</v>
      </c>
    </row>
    <row r="3409" spans="1:18" ht="17" customHeight="1" x14ac:dyDescent="0.15">
      <c r="A3409" s="11" t="s">
        <v>18320</v>
      </c>
      <c r="B3409" s="1" t="s">
        <v>18321</v>
      </c>
      <c r="C3409" s="11" t="s">
        <v>18322</v>
      </c>
      <c r="D3409" s="11" t="s">
        <v>18322</v>
      </c>
      <c r="E3409" s="11" t="s">
        <v>18323</v>
      </c>
      <c r="F3409" s="11" t="s">
        <v>18324</v>
      </c>
      <c r="G3409" s="11" t="s">
        <v>18231</v>
      </c>
      <c r="H3409" s="11" t="s">
        <v>18232</v>
      </c>
      <c r="I3409" s="11" t="str">
        <f>HYPERLINK("http://www.elvicart.it/","www.elvicart.it")</f>
        <v>www.elvicart.it</v>
      </c>
      <c r="J3409" s="12">
        <v>616.89599999999996</v>
      </c>
      <c r="K3409" s="12">
        <v>616.89599999999996</v>
      </c>
      <c r="L3409" s="13">
        <v>689.15599999999995</v>
      </c>
      <c r="M3409" s="12">
        <v>26.620999999999999</v>
      </c>
      <c r="N3409" s="12">
        <v>26.620999999999999</v>
      </c>
      <c r="O3409" s="12">
        <v>33.201999999999998</v>
      </c>
      <c r="P3409" s="12">
        <v>1</v>
      </c>
      <c r="Q3409" s="12">
        <v>1</v>
      </c>
      <c r="R3409" s="12">
        <v>1</v>
      </c>
    </row>
    <row r="3410" spans="1:18" ht="17" customHeight="1" x14ac:dyDescent="0.15">
      <c r="A3410" s="8" t="s">
        <v>18325</v>
      </c>
      <c r="B3410" s="9" t="s">
        <v>18326</v>
      </c>
      <c r="C3410" s="8" t="s">
        <v>18327</v>
      </c>
      <c r="D3410" s="8" t="s">
        <v>18327</v>
      </c>
      <c r="E3410" s="8" t="s">
        <v>18328</v>
      </c>
      <c r="F3410" s="8" t="s">
        <v>18302</v>
      </c>
      <c r="G3410" s="8" t="s">
        <v>18251</v>
      </c>
      <c r="H3410" s="8" t="s">
        <v>18252</v>
      </c>
      <c r="I3410" s="8" t="str">
        <f>HYPERLINK("http://cinturificiogg.it/","cinturificiogg.it")</f>
        <v>cinturificiogg.it</v>
      </c>
      <c r="J3410" s="10">
        <v>720.94600000000003</v>
      </c>
      <c r="K3410" s="10">
        <v>720.94600000000003</v>
      </c>
      <c r="L3410" s="10">
        <v>687.37</v>
      </c>
      <c r="M3410" s="10">
        <v>77.209999999999994</v>
      </c>
      <c r="N3410" s="10">
        <v>77.209999999999994</v>
      </c>
      <c r="O3410" s="10">
        <v>60.307000000000002</v>
      </c>
      <c r="P3410" s="15" t="s">
        <v>18276</v>
      </c>
      <c r="Q3410" s="15" t="s">
        <v>18276</v>
      </c>
      <c r="R3410" s="10">
        <v>7</v>
      </c>
    </row>
    <row r="3411" spans="1:18" ht="29.5" customHeight="1" x14ac:dyDescent="0.15">
      <c r="A3411" s="11" t="s">
        <v>18329</v>
      </c>
      <c r="B3411" s="1" t="s">
        <v>18330</v>
      </c>
      <c r="C3411" s="11" t="s">
        <v>18331</v>
      </c>
      <c r="D3411" s="11" t="s">
        <v>18331</v>
      </c>
      <c r="E3411" s="11" t="s">
        <v>18332</v>
      </c>
      <c r="F3411" s="11" t="s">
        <v>18302</v>
      </c>
      <c r="G3411" s="11" t="s">
        <v>18333</v>
      </c>
      <c r="H3411" s="11" t="s">
        <v>18246</v>
      </c>
      <c r="I3411" s="11" t="str">
        <f>HYPERLINK("http://www.ilovemydog.it/","www.ilovemydog.it")</f>
        <v>www.ilovemydog.it</v>
      </c>
      <c r="J3411" s="12">
        <v>606.36699999999996</v>
      </c>
      <c r="K3411" s="12">
        <v>606.36699999999996</v>
      </c>
      <c r="L3411" s="13">
        <v>687.35299999999995</v>
      </c>
      <c r="M3411" s="12">
        <v>6.9950000000000001</v>
      </c>
      <c r="N3411" s="12">
        <v>6.9950000000000001</v>
      </c>
      <c r="O3411" s="12">
        <v>4.75</v>
      </c>
      <c r="P3411" s="12">
        <v>1</v>
      </c>
      <c r="Q3411" s="12">
        <v>1</v>
      </c>
      <c r="R3411" s="12">
        <v>1</v>
      </c>
    </row>
    <row r="3412" spans="1:18" ht="17" customHeight="1" x14ac:dyDescent="0.15">
      <c r="A3412" s="8" t="s">
        <v>18334</v>
      </c>
      <c r="B3412" s="9" t="s">
        <v>18335</v>
      </c>
      <c r="C3412" s="8" t="s">
        <v>18336</v>
      </c>
      <c r="D3412" s="8" t="s">
        <v>18336</v>
      </c>
      <c r="E3412" s="8" t="s">
        <v>18337</v>
      </c>
      <c r="F3412" s="8" t="s">
        <v>18338</v>
      </c>
      <c r="G3412" s="8" t="s">
        <v>18339</v>
      </c>
      <c r="H3412" s="8" t="s">
        <v>18340</v>
      </c>
      <c r="I3412" s="8" t="str">
        <f>HYPERLINK("http://www.maxmil.it/","www.maxmil.it")</f>
        <v>www.maxmil.it</v>
      </c>
      <c r="J3412" s="10">
        <v>764.803</v>
      </c>
      <c r="K3412" s="10">
        <v>764.803</v>
      </c>
      <c r="L3412" s="10">
        <v>687.31299999999999</v>
      </c>
      <c r="M3412" s="10">
        <v>79.497</v>
      </c>
      <c r="N3412" s="10">
        <v>79.497</v>
      </c>
      <c r="O3412" s="10">
        <v>29.911000000000001</v>
      </c>
      <c r="P3412" s="10">
        <v>15</v>
      </c>
      <c r="Q3412" s="10">
        <v>15</v>
      </c>
      <c r="R3412" s="10">
        <v>14</v>
      </c>
    </row>
    <row r="3413" spans="1:18" ht="17" customHeight="1" x14ac:dyDescent="0.15">
      <c r="A3413" s="11" t="s">
        <v>18341</v>
      </c>
      <c r="B3413" s="1" t="s">
        <v>18342</v>
      </c>
      <c r="C3413" s="11" t="s">
        <v>18343</v>
      </c>
      <c r="D3413" s="11" t="s">
        <v>18343</v>
      </c>
      <c r="E3413" s="11" t="s">
        <v>18344</v>
      </c>
      <c r="F3413" s="11" t="s">
        <v>18345</v>
      </c>
      <c r="G3413" s="11" t="s">
        <v>18319</v>
      </c>
      <c r="H3413" s="11" t="s">
        <v>18275</v>
      </c>
      <c r="I3413" s="11" t="str">
        <f>HYPERLINK("http://claudiomariani.it/","claudiomariani.it")</f>
        <v>claudiomariani.it</v>
      </c>
      <c r="J3413" s="12">
        <v>919.92499999999995</v>
      </c>
      <c r="K3413" s="12">
        <v>919.92499999999995</v>
      </c>
      <c r="L3413" s="13">
        <v>685.197</v>
      </c>
      <c r="M3413" s="12">
        <v>38.347999999999999</v>
      </c>
      <c r="N3413" s="12">
        <v>38.347999999999999</v>
      </c>
      <c r="O3413" s="12">
        <v>53.2</v>
      </c>
      <c r="P3413" s="12">
        <v>6</v>
      </c>
      <c r="Q3413" s="12">
        <v>6</v>
      </c>
      <c r="R3413" s="12">
        <v>5</v>
      </c>
    </row>
    <row r="3414" spans="1:18" ht="29.5" customHeight="1" x14ac:dyDescent="0.15">
      <c r="A3414" s="8" t="s">
        <v>18346</v>
      </c>
      <c r="B3414" s="9" t="s">
        <v>18347</v>
      </c>
      <c r="C3414" s="8" t="s">
        <v>18348</v>
      </c>
      <c r="D3414" s="8" t="s">
        <v>18348</v>
      </c>
      <c r="E3414" s="8" t="s">
        <v>18349</v>
      </c>
      <c r="F3414" s="8" t="s">
        <v>18350</v>
      </c>
      <c r="G3414" s="8" t="s">
        <v>18351</v>
      </c>
      <c r="H3414" s="8" t="s">
        <v>18232</v>
      </c>
      <c r="I3414" s="8" t="str">
        <f>HYPERLINK("http://www.suolificiopalazzo.it/","www.suolificiopalazzo.it")</f>
        <v>www.suolificiopalazzo.it</v>
      </c>
      <c r="J3414" s="10">
        <v>684.16700000000003</v>
      </c>
      <c r="K3414" s="15" t="s">
        <v>18276</v>
      </c>
      <c r="L3414" s="10">
        <v>684.16700000000003</v>
      </c>
      <c r="M3414" s="10">
        <v>30.757999999999999</v>
      </c>
      <c r="N3414" s="15" t="s">
        <v>18276</v>
      </c>
      <c r="O3414" s="10">
        <v>30.757999999999999</v>
      </c>
      <c r="P3414" s="10">
        <v>5</v>
      </c>
      <c r="Q3414" s="15" t="s">
        <v>18276</v>
      </c>
      <c r="R3414" s="10">
        <v>5</v>
      </c>
    </row>
    <row r="3415" spans="1:18" ht="17" customHeight="1" x14ac:dyDescent="0.15">
      <c r="A3415" s="11" t="s">
        <v>18352</v>
      </c>
      <c r="B3415" s="1" t="s">
        <v>18353</v>
      </c>
      <c r="C3415" s="11" t="s">
        <v>18354</v>
      </c>
      <c r="D3415" s="11" t="s">
        <v>18354</v>
      </c>
      <c r="E3415" s="11" t="s">
        <v>18355</v>
      </c>
      <c r="F3415" s="11" t="s">
        <v>18302</v>
      </c>
      <c r="G3415" s="11" t="s">
        <v>18356</v>
      </c>
      <c r="H3415" s="11" t="s">
        <v>18246</v>
      </c>
      <c r="I3415" s="11" t="str">
        <f>HYPERLINK("http://www.sunstar.ch/","www.sunstar.ch")</f>
        <v>www.sunstar.ch</v>
      </c>
      <c r="J3415" s="12">
        <v>978.55</v>
      </c>
      <c r="K3415" s="12">
        <v>978.55</v>
      </c>
      <c r="L3415" s="13">
        <v>684.06</v>
      </c>
      <c r="M3415" s="12">
        <v>29.666</v>
      </c>
      <c r="N3415" s="12">
        <v>29.666</v>
      </c>
      <c r="O3415" s="12">
        <v>31.831</v>
      </c>
      <c r="P3415" s="12">
        <v>1</v>
      </c>
      <c r="Q3415" s="12">
        <v>1</v>
      </c>
      <c r="R3415" s="14" t="s">
        <v>18276</v>
      </c>
    </row>
    <row r="3416" spans="1:18" ht="17" customHeight="1" x14ac:dyDescent="0.15">
      <c r="A3416" s="8" t="s">
        <v>18357</v>
      </c>
      <c r="B3416" s="9" t="s">
        <v>18358</v>
      </c>
      <c r="C3416" s="8" t="s">
        <v>18359</v>
      </c>
      <c r="D3416" s="8" t="s">
        <v>18359</v>
      </c>
      <c r="E3416" s="8" t="s">
        <v>18360</v>
      </c>
      <c r="F3416" s="8" t="s">
        <v>18338</v>
      </c>
      <c r="G3416" s="8" t="s">
        <v>18231</v>
      </c>
      <c r="H3416" s="8" t="s">
        <v>18232</v>
      </c>
      <c r="I3416" s="8" t="str">
        <f>HYPERLINK("http://www.alcostricot.com/","www.alcostricot.com")</f>
        <v>www.alcostricot.com</v>
      </c>
      <c r="J3416" s="10">
        <v>607.25900000000001</v>
      </c>
      <c r="K3416" s="10">
        <v>607.25900000000001</v>
      </c>
      <c r="L3416" s="10">
        <v>683.64</v>
      </c>
      <c r="M3416" s="10">
        <v>32.119</v>
      </c>
      <c r="N3416" s="10">
        <v>32.119</v>
      </c>
      <c r="O3416" s="10">
        <v>11.661</v>
      </c>
      <c r="P3416" s="10">
        <v>11</v>
      </c>
      <c r="Q3416" s="10">
        <v>11</v>
      </c>
      <c r="R3416" s="10">
        <v>7</v>
      </c>
    </row>
    <row r="3417" spans="1:18" ht="43" customHeight="1" x14ac:dyDescent="0.15">
      <c r="A3417" s="11" t="s">
        <v>18361</v>
      </c>
      <c r="B3417" s="1" t="s">
        <v>18362</v>
      </c>
      <c r="C3417" s="11" t="s">
        <v>18363</v>
      </c>
      <c r="D3417" s="11" t="s">
        <v>18363</v>
      </c>
      <c r="E3417" s="11" t="s">
        <v>18364</v>
      </c>
      <c r="F3417" s="11" t="s">
        <v>18302</v>
      </c>
      <c r="G3417" s="11" t="s">
        <v>18365</v>
      </c>
      <c r="H3417" s="11" t="s">
        <v>18232</v>
      </c>
      <c r="I3417" s="11" t="str">
        <f>HYPERLINK("http://www.florioli.it/","www.florioli.it")</f>
        <v>www.florioli.it</v>
      </c>
      <c r="J3417" s="12">
        <v>343.17700000000002</v>
      </c>
      <c r="K3417" s="12">
        <v>343.17700000000002</v>
      </c>
      <c r="L3417" s="13">
        <v>683.096</v>
      </c>
      <c r="M3417" s="12">
        <v>15.590999999999999</v>
      </c>
      <c r="N3417" s="12">
        <v>15.590999999999999</v>
      </c>
      <c r="O3417" s="12">
        <v>43.134999999999998</v>
      </c>
      <c r="P3417" s="12">
        <v>0</v>
      </c>
      <c r="Q3417" s="12">
        <v>0</v>
      </c>
      <c r="R3417" s="12">
        <v>0</v>
      </c>
    </row>
    <row r="3418" spans="1:18" ht="17" customHeight="1" x14ac:dyDescent="0.15">
      <c r="A3418" s="8" t="s">
        <v>18366</v>
      </c>
      <c r="B3418" s="9" t="s">
        <v>18367</v>
      </c>
      <c r="C3418" s="8" t="s">
        <v>18368</v>
      </c>
      <c r="D3418" s="8" t="s">
        <v>18368</v>
      </c>
      <c r="E3418" s="8" t="s">
        <v>18369</v>
      </c>
      <c r="F3418" s="8" t="s">
        <v>18370</v>
      </c>
      <c r="G3418" s="8" t="s">
        <v>18371</v>
      </c>
      <c r="H3418" s="8" t="s">
        <v>18372</v>
      </c>
      <c r="I3418" s="8" t="str">
        <f>HYPERLINK("http://www.fontanashoes.it/","www.fontanashoes.it")</f>
        <v>www.fontanashoes.it</v>
      </c>
      <c r="J3418" s="10">
        <v>872.88199999999995</v>
      </c>
      <c r="K3418" s="10">
        <v>872.88199999999995</v>
      </c>
      <c r="L3418" s="10">
        <v>680.66200000000003</v>
      </c>
      <c r="M3418" s="10">
        <v>8.1720000000000006</v>
      </c>
      <c r="N3418" s="10">
        <v>8.1720000000000006</v>
      </c>
      <c r="O3418" s="10">
        <v>7.8220000000000001</v>
      </c>
      <c r="P3418" s="10">
        <v>4</v>
      </c>
      <c r="Q3418" s="10">
        <v>4</v>
      </c>
      <c r="R3418" s="10">
        <v>2</v>
      </c>
    </row>
    <row r="3419" spans="1:18" ht="17" customHeight="1" x14ac:dyDescent="0.15">
      <c r="A3419" s="11" t="s">
        <v>18373</v>
      </c>
      <c r="B3419" s="1" t="s">
        <v>18374</v>
      </c>
      <c r="C3419" s="11" t="s">
        <v>18375</v>
      </c>
      <c r="D3419" s="11" t="s">
        <v>18375</v>
      </c>
      <c r="E3419" s="11" t="s">
        <v>18376</v>
      </c>
      <c r="F3419" s="11" t="s">
        <v>18281</v>
      </c>
      <c r="G3419" s="11" t="s">
        <v>18377</v>
      </c>
      <c r="H3419" s="11" t="s">
        <v>18269</v>
      </c>
      <c r="I3419" s="11" t="str">
        <f>HYPERLINK("http://equitime.it/","equitime.it")</f>
        <v>equitime.it</v>
      </c>
      <c r="J3419" s="12">
        <v>721.64599999999996</v>
      </c>
      <c r="K3419" s="12">
        <v>721.64599999999996</v>
      </c>
      <c r="L3419" s="13">
        <v>680.63699999999994</v>
      </c>
      <c r="M3419" s="12">
        <v>16.878</v>
      </c>
      <c r="N3419" s="12">
        <v>16.878</v>
      </c>
      <c r="O3419" s="12">
        <v>-2.5129999999999999</v>
      </c>
      <c r="P3419" s="12">
        <v>4</v>
      </c>
      <c r="Q3419" s="12">
        <v>4</v>
      </c>
      <c r="R3419" s="12">
        <v>5</v>
      </c>
    </row>
    <row r="3420" spans="1:18" ht="17" customHeight="1" x14ac:dyDescent="0.15">
      <c r="A3420" s="8" t="s">
        <v>18378</v>
      </c>
      <c r="B3420" s="9" t="s">
        <v>18379</v>
      </c>
      <c r="C3420" s="8" t="s">
        <v>18380</v>
      </c>
      <c r="D3420" s="8" t="s">
        <v>18380</v>
      </c>
      <c r="E3420" s="8" t="s">
        <v>18381</v>
      </c>
      <c r="F3420" s="8" t="s">
        <v>18257</v>
      </c>
      <c r="G3420" s="8" t="s">
        <v>18382</v>
      </c>
      <c r="H3420" s="8" t="s">
        <v>18252</v>
      </c>
      <c r="I3420" s="8" t="str">
        <f>HYPERLINK("http://www.angivenezia.it/","www.angivenezia.it")</f>
        <v>www.angivenezia.it</v>
      </c>
      <c r="J3420" s="10">
        <v>778.62099999999998</v>
      </c>
      <c r="K3420" s="10">
        <v>778.62099999999998</v>
      </c>
      <c r="L3420" s="10">
        <v>680.5</v>
      </c>
      <c r="M3420" s="10">
        <v>11.316000000000001</v>
      </c>
      <c r="N3420" s="10">
        <v>11.316000000000001</v>
      </c>
      <c r="O3420" s="10">
        <v>66.241</v>
      </c>
      <c r="P3420" s="10">
        <v>1</v>
      </c>
      <c r="Q3420" s="10">
        <v>1</v>
      </c>
      <c r="R3420" s="10">
        <v>1</v>
      </c>
    </row>
    <row r="3421" spans="1:18" ht="17" customHeight="1" x14ac:dyDescent="0.15">
      <c r="A3421" s="11" t="s">
        <v>18383</v>
      </c>
      <c r="B3421" s="1" t="s">
        <v>18384</v>
      </c>
      <c r="C3421" s="11" t="s">
        <v>18385</v>
      </c>
      <c r="D3421" s="11" t="s">
        <v>18385</v>
      </c>
      <c r="E3421" s="11" t="s">
        <v>18386</v>
      </c>
      <c r="F3421" s="11" t="s">
        <v>18237</v>
      </c>
      <c r="G3421" s="11" t="s">
        <v>18365</v>
      </c>
      <c r="H3421" s="11" t="s">
        <v>18232</v>
      </c>
      <c r="I3421" s="11" t="str">
        <f>HYPERLINK("http://www.ghedesi.it/","www.ghedesi.it")</f>
        <v>www.ghedesi.it</v>
      </c>
      <c r="J3421" s="12">
        <v>726.46100000000001</v>
      </c>
      <c r="K3421" s="12">
        <v>726.46100000000001</v>
      </c>
      <c r="L3421" s="13">
        <v>679.82299999999998</v>
      </c>
      <c r="M3421" s="12">
        <v>-22.614999999999998</v>
      </c>
      <c r="N3421" s="12">
        <v>-22.614999999999998</v>
      </c>
      <c r="O3421" s="12">
        <v>-27.032</v>
      </c>
      <c r="P3421" s="12">
        <v>3</v>
      </c>
      <c r="Q3421" s="12">
        <v>3</v>
      </c>
      <c r="R3421" s="12">
        <v>3</v>
      </c>
    </row>
    <row r="3422" spans="1:18" ht="17" customHeight="1" x14ac:dyDescent="0.15">
      <c r="A3422" s="8" t="s">
        <v>18387</v>
      </c>
      <c r="B3422" s="9" t="s">
        <v>18388</v>
      </c>
      <c r="C3422" s="8" t="s">
        <v>18389</v>
      </c>
      <c r="D3422" s="8" t="s">
        <v>18389</v>
      </c>
      <c r="E3422" s="8" t="s">
        <v>18390</v>
      </c>
      <c r="F3422" s="8" t="s">
        <v>18281</v>
      </c>
      <c r="G3422" s="8" t="s">
        <v>18382</v>
      </c>
      <c r="H3422" s="8" t="s">
        <v>18252</v>
      </c>
      <c r="I3422" s="8" t="str">
        <f>HYPERLINK("http://www.stamperiamast.it/","www.stamperiamast.it")</f>
        <v>www.stamperiamast.it</v>
      </c>
      <c r="J3422" s="10">
        <v>587.41499999999996</v>
      </c>
      <c r="K3422" s="10">
        <v>587.41499999999996</v>
      </c>
      <c r="L3422" s="10">
        <v>679.75800000000004</v>
      </c>
      <c r="M3422" s="10">
        <v>-27.411000000000001</v>
      </c>
      <c r="N3422" s="10">
        <v>-27.411000000000001</v>
      </c>
      <c r="O3422" s="10">
        <v>-45.48</v>
      </c>
      <c r="P3422" s="10">
        <v>10</v>
      </c>
      <c r="Q3422" s="10">
        <v>10</v>
      </c>
      <c r="R3422" s="10">
        <v>10</v>
      </c>
    </row>
    <row r="3423" spans="1:18" ht="17" customHeight="1" x14ac:dyDescent="0.15">
      <c r="A3423" s="11" t="s">
        <v>18391</v>
      </c>
      <c r="B3423" s="1" t="s">
        <v>18392</v>
      </c>
      <c r="C3423" s="11" t="s">
        <v>18393</v>
      </c>
      <c r="D3423" s="11" t="s">
        <v>18393</v>
      </c>
      <c r="E3423" s="11" t="s">
        <v>18394</v>
      </c>
      <c r="F3423" s="11" t="s">
        <v>18338</v>
      </c>
      <c r="G3423" s="11" t="s">
        <v>18395</v>
      </c>
      <c r="H3423" s="11" t="s">
        <v>18372</v>
      </c>
      <c r="I3423" s="11" t="str">
        <f>HYPERLINK("http://www.maglificiogivu.it/","www.maglificiogivu.it")</f>
        <v>www.maglificiogivu.it</v>
      </c>
      <c r="J3423" s="12">
        <v>893.97900000000004</v>
      </c>
      <c r="K3423" s="12">
        <v>893.97900000000004</v>
      </c>
      <c r="L3423" s="13">
        <v>679.255</v>
      </c>
      <c r="M3423" s="12">
        <v>177.261</v>
      </c>
      <c r="N3423" s="12">
        <v>177.261</v>
      </c>
      <c r="O3423" s="12">
        <v>98.575000000000003</v>
      </c>
      <c r="P3423" s="12">
        <v>11</v>
      </c>
      <c r="Q3423" s="12">
        <v>11</v>
      </c>
      <c r="R3423" s="12">
        <v>10</v>
      </c>
    </row>
    <row r="3424" spans="1:18" ht="17" customHeight="1" x14ac:dyDescent="0.15">
      <c r="A3424" s="8" t="s">
        <v>18396</v>
      </c>
      <c r="B3424" s="9" t="s">
        <v>18397</v>
      </c>
      <c r="C3424" s="8" t="s">
        <v>18398</v>
      </c>
      <c r="D3424" s="8" t="s">
        <v>18399</v>
      </c>
      <c r="E3424" s="8" t="s">
        <v>18400</v>
      </c>
      <c r="F3424" s="8" t="s">
        <v>18237</v>
      </c>
      <c r="G3424" s="8" t="s">
        <v>18365</v>
      </c>
      <c r="H3424" s="8" t="s">
        <v>18232</v>
      </c>
      <c r="I3424" s="8" t="str">
        <f>HYPERLINK("http://www.forza9.it/","http://www.forza9.it")</f>
        <v>http://www.forza9.it</v>
      </c>
      <c r="J3424" s="10">
        <v>1389.0809999999999</v>
      </c>
      <c r="K3424" s="10">
        <v>1389.0809999999999</v>
      </c>
      <c r="L3424" s="10">
        <v>678.65800000000002</v>
      </c>
      <c r="M3424" s="10">
        <v>5.5570000000000004</v>
      </c>
      <c r="N3424" s="10">
        <v>5.5570000000000004</v>
      </c>
      <c r="O3424" s="10">
        <v>10.867000000000001</v>
      </c>
      <c r="P3424" s="10">
        <v>6</v>
      </c>
      <c r="Q3424" s="10">
        <v>6</v>
      </c>
      <c r="R3424" s="10">
        <v>11</v>
      </c>
    </row>
    <row r="3425" spans="1:18" ht="17" customHeight="1" x14ac:dyDescent="0.15">
      <c r="A3425" s="11" t="s">
        <v>18401</v>
      </c>
      <c r="B3425" s="1" t="s">
        <v>18402</v>
      </c>
      <c r="C3425" s="11" t="s">
        <v>18403</v>
      </c>
      <c r="D3425" s="11" t="s">
        <v>18403</v>
      </c>
      <c r="E3425" s="11" t="s">
        <v>18404</v>
      </c>
      <c r="F3425" s="11" t="s">
        <v>18405</v>
      </c>
      <c r="G3425" s="11" t="s">
        <v>18406</v>
      </c>
      <c r="H3425" s="11" t="s">
        <v>18407</v>
      </c>
      <c r="I3425" s="11" t="str">
        <f>HYPERLINK("http://www.demarchi.com/","www.demarchi.com")</f>
        <v>www.demarchi.com</v>
      </c>
      <c r="J3425" s="12">
        <v>481.084</v>
      </c>
      <c r="K3425" s="12">
        <v>481.084</v>
      </c>
      <c r="L3425" s="13">
        <v>677.85900000000004</v>
      </c>
      <c r="M3425" s="12">
        <v>-411.68099999999998</v>
      </c>
      <c r="N3425" s="12">
        <v>-411.68099999999998</v>
      </c>
      <c r="O3425" s="12">
        <v>-463.82799999999997</v>
      </c>
      <c r="P3425" s="12">
        <v>4</v>
      </c>
      <c r="Q3425" s="12">
        <v>4</v>
      </c>
      <c r="R3425" s="12">
        <v>3</v>
      </c>
    </row>
    <row r="3426" spans="1:18" ht="17" customHeight="1" x14ac:dyDescent="0.15">
      <c r="A3426" s="8" t="s">
        <v>18408</v>
      </c>
      <c r="B3426" s="9" t="s">
        <v>18409</v>
      </c>
      <c r="C3426" s="8" t="s">
        <v>18410</v>
      </c>
      <c r="D3426" s="8" t="s">
        <v>18410</v>
      </c>
      <c r="E3426" s="8" t="s">
        <v>18411</v>
      </c>
      <c r="F3426" s="8" t="s">
        <v>18412</v>
      </c>
      <c r="G3426" s="8" t="s">
        <v>18413</v>
      </c>
      <c r="H3426" s="8" t="s">
        <v>18414</v>
      </c>
      <c r="I3426" s="8" t="str">
        <f>HYPERLINK("http://www.manifatturegiulia.it/","www.manifatturegiulia.it")</f>
        <v>www.manifatturegiulia.it</v>
      </c>
      <c r="J3426" s="10">
        <v>672.26099999999997</v>
      </c>
      <c r="K3426" s="10">
        <v>672.26099999999997</v>
      </c>
      <c r="L3426" s="10">
        <v>677.61099999999999</v>
      </c>
      <c r="M3426" s="10">
        <v>20.754000000000001</v>
      </c>
      <c r="N3426" s="10">
        <v>20.754000000000001</v>
      </c>
      <c r="O3426" s="10">
        <v>2.032</v>
      </c>
      <c r="P3426" s="10">
        <v>1</v>
      </c>
      <c r="Q3426" s="10">
        <v>1</v>
      </c>
      <c r="R3426" s="10">
        <v>1</v>
      </c>
    </row>
    <row r="3427" spans="1:18" ht="43" customHeight="1" x14ac:dyDescent="0.15">
      <c r="A3427" s="11" t="s">
        <v>18415</v>
      </c>
      <c r="B3427" s="1" t="s">
        <v>18416</v>
      </c>
      <c r="C3427" s="11" t="s">
        <v>18417</v>
      </c>
      <c r="D3427" s="11" t="s">
        <v>18417</v>
      </c>
      <c r="E3427" s="11" t="s">
        <v>18418</v>
      </c>
      <c r="F3427" s="11" t="s">
        <v>18412</v>
      </c>
      <c r="G3427" s="11" t="s">
        <v>18419</v>
      </c>
      <c r="H3427" s="11" t="s">
        <v>18414</v>
      </c>
      <c r="I3427" s="11" t="str">
        <f>HYPERLINK("http://gaiasegattiniknotwear.it/","gaiasegattiniknotwear.it")</f>
        <v>gaiasegattiniknotwear.it</v>
      </c>
      <c r="J3427" s="12">
        <v>562.17600000000004</v>
      </c>
      <c r="K3427" s="12">
        <v>562.17600000000004</v>
      </c>
      <c r="L3427" s="13">
        <v>677.54600000000005</v>
      </c>
      <c r="M3427" s="12">
        <v>21.748999999999999</v>
      </c>
      <c r="N3427" s="12">
        <v>21.748999999999999</v>
      </c>
      <c r="O3427" s="12">
        <v>48.234000000000002</v>
      </c>
      <c r="P3427" s="12">
        <v>2</v>
      </c>
      <c r="Q3427" s="12">
        <v>2</v>
      </c>
      <c r="R3427" s="12">
        <v>0</v>
      </c>
    </row>
    <row r="3428" spans="1:18" ht="17" customHeight="1" x14ac:dyDescent="0.15">
      <c r="A3428" s="8" t="s">
        <v>18420</v>
      </c>
      <c r="B3428" s="9" t="s">
        <v>18421</v>
      </c>
      <c r="C3428" s="8" t="s">
        <v>18422</v>
      </c>
      <c r="D3428" s="8" t="s">
        <v>18422</v>
      </c>
      <c r="E3428" s="8" t="s">
        <v>18423</v>
      </c>
      <c r="F3428" s="8" t="s">
        <v>18412</v>
      </c>
      <c r="G3428" s="8" t="s">
        <v>18424</v>
      </c>
      <c r="H3428" s="8" t="s">
        <v>18425</v>
      </c>
      <c r="I3428" s="8" t="str">
        <f>HYPERLINK("http://princeofflorence.it/","princeofflorence.it")</f>
        <v>princeofflorence.it</v>
      </c>
      <c r="J3428" s="10">
        <v>583.351</v>
      </c>
      <c r="K3428" s="10">
        <v>583.351</v>
      </c>
      <c r="L3428" s="10">
        <v>677.197</v>
      </c>
      <c r="M3428" s="10">
        <v>-370.94099999999997</v>
      </c>
      <c r="N3428" s="10">
        <v>-370.94099999999997</v>
      </c>
      <c r="O3428" s="10">
        <v>-0.86199999999999999</v>
      </c>
      <c r="P3428" s="10">
        <v>2</v>
      </c>
      <c r="Q3428" s="10">
        <v>2</v>
      </c>
      <c r="R3428" s="10">
        <v>2</v>
      </c>
    </row>
    <row r="3429" spans="1:18" ht="17" customHeight="1" x14ac:dyDescent="0.15">
      <c r="A3429" s="11" t="s">
        <v>18426</v>
      </c>
      <c r="B3429" s="1" t="s">
        <v>18427</v>
      </c>
      <c r="C3429" s="11" t="s">
        <v>18428</v>
      </c>
      <c r="D3429" s="11" t="s">
        <v>18428</v>
      </c>
      <c r="E3429" s="11" t="s">
        <v>18429</v>
      </c>
      <c r="F3429" s="11" t="s">
        <v>18430</v>
      </c>
      <c r="G3429" s="11" t="s">
        <v>18431</v>
      </c>
      <c r="H3429" s="11" t="s">
        <v>18407</v>
      </c>
      <c r="I3429" s="11" t="str">
        <f>HYPERLINK("http://www.nikiconfezioni.it/","www.nikiconfezioni.it")</f>
        <v>www.nikiconfezioni.it</v>
      </c>
      <c r="J3429" s="12">
        <v>571.91999999999996</v>
      </c>
      <c r="K3429" s="12">
        <v>571.91999999999996</v>
      </c>
      <c r="L3429" s="13">
        <v>676.88099999999997</v>
      </c>
      <c r="M3429" s="12">
        <v>30.097999999999999</v>
      </c>
      <c r="N3429" s="12">
        <v>30.097999999999999</v>
      </c>
      <c r="O3429" s="12">
        <v>32.037999999999997</v>
      </c>
      <c r="P3429" s="14" t="s">
        <v>18432</v>
      </c>
      <c r="Q3429" s="14" t="s">
        <v>18432</v>
      </c>
      <c r="R3429" s="12">
        <v>14</v>
      </c>
    </row>
    <row r="3430" spans="1:18" ht="29.5" customHeight="1" x14ac:dyDescent="0.15">
      <c r="A3430" s="8" t="s">
        <v>18433</v>
      </c>
      <c r="B3430" s="9" t="s">
        <v>18434</v>
      </c>
      <c r="C3430" s="8" t="s">
        <v>18435</v>
      </c>
      <c r="D3430" s="8" t="s">
        <v>18435</v>
      </c>
      <c r="E3430" s="8" t="s">
        <v>18436</v>
      </c>
      <c r="F3430" s="8" t="s">
        <v>18437</v>
      </c>
      <c r="G3430" s="8" t="s">
        <v>18431</v>
      </c>
      <c r="H3430" s="8" t="s">
        <v>18407</v>
      </c>
      <c r="I3430" s="8" t="str">
        <f>HYPERLINK("http://www.cmforatura.it/","www.cmforatura.it")</f>
        <v>www.cmforatura.it</v>
      </c>
      <c r="J3430" s="10">
        <v>803.01300000000003</v>
      </c>
      <c r="K3430" s="10">
        <v>803.01300000000003</v>
      </c>
      <c r="L3430" s="10">
        <v>675.95899999999995</v>
      </c>
      <c r="M3430" s="10">
        <v>122.804</v>
      </c>
      <c r="N3430" s="10">
        <v>122.804</v>
      </c>
      <c r="O3430" s="10">
        <v>49.622999999999998</v>
      </c>
      <c r="P3430" s="10">
        <v>4</v>
      </c>
      <c r="Q3430" s="10">
        <v>4</v>
      </c>
      <c r="R3430" s="10">
        <v>4</v>
      </c>
    </row>
    <row r="3431" spans="1:18" ht="17" customHeight="1" x14ac:dyDescent="0.15">
      <c r="A3431" s="11" t="s">
        <v>18438</v>
      </c>
      <c r="B3431" s="1" t="s">
        <v>18439</v>
      </c>
      <c r="C3431" s="11" t="s">
        <v>18440</v>
      </c>
      <c r="D3431" s="11" t="s">
        <v>18440</v>
      </c>
      <c r="E3431" s="11" t="s">
        <v>18441</v>
      </c>
      <c r="F3431" s="11" t="s">
        <v>18430</v>
      </c>
      <c r="G3431" s="11" t="s">
        <v>18442</v>
      </c>
      <c r="H3431" s="11" t="s">
        <v>18443</v>
      </c>
      <c r="I3431" s="11" t="str">
        <f>HYPERLINK("http://shop.spio.it/","shop.spio.it")</f>
        <v>shop.spio.it</v>
      </c>
      <c r="J3431" s="12">
        <v>572.28</v>
      </c>
      <c r="K3431" s="12">
        <v>572.28</v>
      </c>
      <c r="L3431" s="13">
        <v>675.50199999999995</v>
      </c>
      <c r="M3431" s="12">
        <v>23.22</v>
      </c>
      <c r="N3431" s="12">
        <v>23.22</v>
      </c>
      <c r="O3431" s="12">
        <v>161.66999999999999</v>
      </c>
      <c r="P3431" s="14" t="s">
        <v>18432</v>
      </c>
      <c r="Q3431" s="14" t="s">
        <v>18432</v>
      </c>
      <c r="R3431" s="12">
        <v>5</v>
      </c>
    </row>
    <row r="3432" spans="1:18" ht="17" customHeight="1" x14ac:dyDescent="0.15">
      <c r="A3432" s="8" t="s">
        <v>18444</v>
      </c>
      <c r="B3432" s="9" t="s">
        <v>18445</v>
      </c>
      <c r="C3432" s="8" t="s">
        <v>18446</v>
      </c>
      <c r="D3432" s="8" t="s">
        <v>18446</v>
      </c>
      <c r="E3432" s="8" t="s">
        <v>18447</v>
      </c>
      <c r="F3432" s="8" t="s">
        <v>18448</v>
      </c>
      <c r="G3432" s="8" t="s">
        <v>18449</v>
      </c>
      <c r="H3432" s="8" t="s">
        <v>18425</v>
      </c>
      <c r="I3432" s="8" t="str">
        <f>HYPERLINK("http://www.sunjoyfashion.com/","www.sunjoyfashion.com")</f>
        <v>www.sunjoyfashion.com</v>
      </c>
      <c r="J3432" s="10">
        <v>1590.692</v>
      </c>
      <c r="K3432" s="10">
        <v>1590.692</v>
      </c>
      <c r="L3432" s="10">
        <v>674.91600000000005</v>
      </c>
      <c r="M3432" s="10">
        <v>69.594999999999999</v>
      </c>
      <c r="N3432" s="10">
        <v>69.594999999999999</v>
      </c>
      <c r="O3432" s="10">
        <v>-93.789000000000001</v>
      </c>
      <c r="P3432" s="10">
        <v>3</v>
      </c>
      <c r="Q3432" s="10">
        <v>3</v>
      </c>
      <c r="R3432" s="10">
        <v>5</v>
      </c>
    </row>
    <row r="3433" spans="1:18" ht="17" customHeight="1" x14ac:dyDescent="0.15">
      <c r="A3433" s="11" t="s">
        <v>18450</v>
      </c>
      <c r="B3433" s="1" t="s">
        <v>18451</v>
      </c>
      <c r="C3433" s="11" t="s">
        <v>18452</v>
      </c>
      <c r="D3433" s="11" t="s">
        <v>18452</v>
      </c>
      <c r="E3433" s="11" t="s">
        <v>18453</v>
      </c>
      <c r="F3433" s="11" t="s">
        <v>18405</v>
      </c>
      <c r="G3433" s="11" t="s">
        <v>18454</v>
      </c>
      <c r="H3433" s="11" t="s">
        <v>18455</v>
      </c>
      <c r="I3433" s="11" t="str">
        <f>HYPERLINK("http://www.bonza.it/","www.bonza.it")</f>
        <v>www.bonza.it</v>
      </c>
      <c r="J3433" s="12">
        <v>540.99099999999999</v>
      </c>
      <c r="K3433" s="12">
        <v>540.99099999999999</v>
      </c>
      <c r="L3433" s="13">
        <v>673.68200000000002</v>
      </c>
      <c r="M3433" s="12">
        <v>-63.084000000000003</v>
      </c>
      <c r="N3433" s="12">
        <v>-63.084000000000003</v>
      </c>
      <c r="O3433" s="12">
        <v>-407.39800000000002</v>
      </c>
      <c r="P3433" s="12">
        <v>10</v>
      </c>
      <c r="Q3433" s="12">
        <v>10</v>
      </c>
      <c r="R3433" s="12">
        <v>11</v>
      </c>
    </row>
    <row r="3434" spans="1:18" ht="17" customHeight="1" x14ac:dyDescent="0.15">
      <c r="A3434" s="8" t="s">
        <v>18456</v>
      </c>
      <c r="B3434" s="9" t="s">
        <v>18457</v>
      </c>
      <c r="C3434" s="8" t="s">
        <v>18458</v>
      </c>
      <c r="D3434" s="8" t="s">
        <v>18458</v>
      </c>
      <c r="E3434" s="8" t="s">
        <v>18459</v>
      </c>
      <c r="F3434" s="8" t="s">
        <v>18460</v>
      </c>
      <c r="G3434" s="8" t="s">
        <v>18413</v>
      </c>
      <c r="H3434" s="8" t="s">
        <v>18414</v>
      </c>
      <c r="I3434" s="8" t="str">
        <f>HYPERLINK("http://www.scenzasrl.com/","www.scenzasrl.com")</f>
        <v>www.scenzasrl.com</v>
      </c>
      <c r="J3434" s="10">
        <v>542.69500000000005</v>
      </c>
      <c r="K3434" s="10">
        <v>542.69500000000005</v>
      </c>
      <c r="L3434" s="10">
        <v>672.94100000000003</v>
      </c>
      <c r="M3434" s="10">
        <v>2.6440000000000001</v>
      </c>
      <c r="N3434" s="10">
        <v>2.6440000000000001</v>
      </c>
      <c r="O3434" s="10">
        <v>14.919</v>
      </c>
      <c r="P3434" s="15" t="s">
        <v>18432</v>
      </c>
      <c r="Q3434" s="15" t="s">
        <v>18432</v>
      </c>
      <c r="R3434" s="10">
        <v>3</v>
      </c>
    </row>
    <row r="3435" spans="1:18" ht="29.5" customHeight="1" x14ac:dyDescent="0.15">
      <c r="A3435" s="11" t="s">
        <v>18461</v>
      </c>
      <c r="B3435" s="1" t="s">
        <v>18462</v>
      </c>
      <c r="C3435" s="11" t="s">
        <v>18463</v>
      </c>
      <c r="D3435" s="11" t="s">
        <v>18463</v>
      </c>
      <c r="E3435" s="11" t="s">
        <v>18464</v>
      </c>
      <c r="F3435" s="11" t="s">
        <v>18437</v>
      </c>
      <c r="G3435" s="11" t="s">
        <v>18413</v>
      </c>
      <c r="H3435" s="11" t="s">
        <v>18414</v>
      </c>
      <c r="I3435" s="11" t="str">
        <f>HYPERLINK("http://conceriadelchienti.com/","conceriadelchienti.com")</f>
        <v>conceriadelchienti.com</v>
      </c>
      <c r="J3435" s="12">
        <v>2492.6149999999998</v>
      </c>
      <c r="K3435" s="12">
        <v>2492.6149999999998</v>
      </c>
      <c r="L3435" s="13">
        <v>672.82500000000005</v>
      </c>
      <c r="M3435" s="12">
        <v>-256.99799999999999</v>
      </c>
      <c r="N3435" s="12">
        <v>-256.99799999999999</v>
      </c>
      <c r="O3435" s="12">
        <v>-55.156999999999996</v>
      </c>
      <c r="P3435" s="12">
        <v>16</v>
      </c>
      <c r="Q3435" s="12">
        <v>16</v>
      </c>
      <c r="R3435" s="12">
        <v>14</v>
      </c>
    </row>
    <row r="3436" spans="1:18" ht="17" customHeight="1" x14ac:dyDescent="0.15">
      <c r="A3436" s="8" t="s">
        <v>18465</v>
      </c>
      <c r="B3436" s="9" t="s">
        <v>18466</v>
      </c>
      <c r="C3436" s="8" t="s">
        <v>18467</v>
      </c>
      <c r="D3436" s="8" t="s">
        <v>18467</v>
      </c>
      <c r="E3436" s="8" t="s">
        <v>18468</v>
      </c>
      <c r="F3436" s="8" t="s">
        <v>18460</v>
      </c>
      <c r="G3436" s="8" t="s">
        <v>18469</v>
      </c>
      <c r="H3436" s="8" t="s">
        <v>18407</v>
      </c>
      <c r="I3436" s="8" t="str">
        <f>HYPERLINK("http://lhortopedico20srl.it/","lhortopedico20srl.it")</f>
        <v>lhortopedico20srl.it</v>
      </c>
      <c r="J3436" s="10">
        <v>886.94200000000001</v>
      </c>
      <c r="K3436" s="10">
        <v>886.94200000000001</v>
      </c>
      <c r="L3436" s="10">
        <v>670.048</v>
      </c>
      <c r="M3436" s="10">
        <v>4.0179999999999998</v>
      </c>
      <c r="N3436" s="10">
        <v>4.0179999999999998</v>
      </c>
      <c r="O3436" s="10">
        <v>3.8260000000000001</v>
      </c>
      <c r="P3436" s="10">
        <v>7</v>
      </c>
      <c r="Q3436" s="10">
        <v>7</v>
      </c>
      <c r="R3436" s="10">
        <v>7</v>
      </c>
    </row>
    <row r="3437" spans="1:18" ht="17" customHeight="1" x14ac:dyDescent="0.15">
      <c r="A3437" s="11" t="s">
        <v>18470</v>
      </c>
      <c r="B3437" s="1" t="s">
        <v>18471</v>
      </c>
      <c r="C3437" s="11" t="s">
        <v>18472</v>
      </c>
      <c r="D3437" s="11" t="s">
        <v>18472</v>
      </c>
      <c r="E3437" s="11" t="s">
        <v>18473</v>
      </c>
      <c r="F3437" s="11" t="s">
        <v>18460</v>
      </c>
      <c r="G3437" s="11" t="s">
        <v>18406</v>
      </c>
      <c r="H3437" s="11" t="s">
        <v>18407</v>
      </c>
      <c r="I3437" s="11" t="str">
        <f>HYPERLINK("http://www.acstudio.it/","www.acstudio.it")</f>
        <v>www.acstudio.it</v>
      </c>
      <c r="J3437" s="12">
        <v>619.16200000000003</v>
      </c>
      <c r="K3437" s="12">
        <v>619.16200000000003</v>
      </c>
      <c r="L3437" s="13">
        <v>669.625</v>
      </c>
      <c r="M3437" s="12">
        <v>36.198999999999998</v>
      </c>
      <c r="N3437" s="12">
        <v>36.198999999999998</v>
      </c>
      <c r="O3437" s="12">
        <v>36.304000000000002</v>
      </c>
      <c r="P3437" s="12">
        <v>4</v>
      </c>
      <c r="Q3437" s="12">
        <v>4</v>
      </c>
      <c r="R3437" s="12">
        <v>4</v>
      </c>
    </row>
    <row r="3438" spans="1:18" ht="17" customHeight="1" x14ac:dyDescent="0.15">
      <c r="A3438" s="8" t="s">
        <v>18474</v>
      </c>
      <c r="B3438" s="9" t="s">
        <v>18475</v>
      </c>
      <c r="C3438" s="8" t="s">
        <v>18476</v>
      </c>
      <c r="D3438" s="8" t="s">
        <v>18476</v>
      </c>
      <c r="E3438" s="8" t="s">
        <v>18477</v>
      </c>
      <c r="F3438" s="8" t="s">
        <v>18437</v>
      </c>
      <c r="G3438" s="8" t="s">
        <v>18431</v>
      </c>
      <c r="H3438" s="8" t="s">
        <v>18407</v>
      </c>
      <c r="I3438" s="8" t="str">
        <f>HYPERLINK("http://www.elenpell.it/","www.elenpell.it")</f>
        <v>www.elenpell.it</v>
      </c>
      <c r="J3438" s="10">
        <v>713.12300000000005</v>
      </c>
      <c r="K3438" s="10">
        <v>713.12300000000005</v>
      </c>
      <c r="L3438" s="10">
        <v>669.25199999999995</v>
      </c>
      <c r="M3438" s="10">
        <v>-7.1349999999999998</v>
      </c>
      <c r="N3438" s="10">
        <v>-7.1349999999999998</v>
      </c>
      <c r="O3438" s="10">
        <v>-4.3710000000000004</v>
      </c>
      <c r="P3438" s="10">
        <v>3</v>
      </c>
      <c r="Q3438" s="10">
        <v>3</v>
      </c>
      <c r="R3438" s="10">
        <v>3</v>
      </c>
    </row>
    <row r="3439" spans="1:18" ht="29.5" customHeight="1" x14ac:dyDescent="0.15">
      <c r="A3439" s="11" t="s">
        <v>18478</v>
      </c>
      <c r="B3439" s="1" t="s">
        <v>18479</v>
      </c>
      <c r="C3439" s="11" t="s">
        <v>18480</v>
      </c>
      <c r="D3439" s="11" t="s">
        <v>18480</v>
      </c>
      <c r="E3439" s="11" t="s">
        <v>18481</v>
      </c>
      <c r="F3439" s="11" t="s">
        <v>18460</v>
      </c>
      <c r="G3439" s="11" t="s">
        <v>18482</v>
      </c>
      <c r="H3439" s="11" t="s">
        <v>18425</v>
      </c>
      <c r="I3439" s="11" t="str">
        <f>HYPERLINK("http://www.lepocalzature.it/","www.lepocalzature.it")</f>
        <v>www.lepocalzature.it</v>
      </c>
      <c r="J3439" s="12">
        <v>669.31100000000004</v>
      </c>
      <c r="K3439" s="14" t="s">
        <v>18432</v>
      </c>
      <c r="L3439" s="13">
        <v>669.31100000000004</v>
      </c>
      <c r="M3439" s="12">
        <v>5.9539999999999997</v>
      </c>
      <c r="N3439" s="14" t="s">
        <v>18432</v>
      </c>
      <c r="O3439" s="12">
        <v>5.9539999999999997</v>
      </c>
      <c r="P3439" s="12">
        <v>1</v>
      </c>
      <c r="Q3439" s="14" t="s">
        <v>18432</v>
      </c>
      <c r="R3439" s="12">
        <v>1</v>
      </c>
    </row>
    <row r="3440" spans="1:18" ht="17" customHeight="1" x14ac:dyDescent="0.15">
      <c r="A3440" s="8" t="s">
        <v>18483</v>
      </c>
      <c r="B3440" s="9" t="s">
        <v>18484</v>
      </c>
      <c r="C3440" s="8" t="s">
        <v>18485</v>
      </c>
      <c r="D3440" s="8" t="s">
        <v>18485</v>
      </c>
      <c r="E3440" s="8" t="s">
        <v>18486</v>
      </c>
      <c r="F3440" s="8" t="s">
        <v>18487</v>
      </c>
      <c r="G3440" s="8" t="s">
        <v>18424</v>
      </c>
      <c r="H3440" s="8" t="s">
        <v>18425</v>
      </c>
      <c r="I3440" s="8" t="str">
        <f>HYPERLINK("http://www.alest-pelletterie.com/","www.alest-pelletterie.com")</f>
        <v>www.alest-pelletterie.com</v>
      </c>
      <c r="J3440" s="10">
        <v>390.12200000000001</v>
      </c>
      <c r="K3440" s="10">
        <v>390.12200000000001</v>
      </c>
      <c r="L3440" s="10">
        <v>668.95500000000004</v>
      </c>
      <c r="M3440" s="10">
        <v>-2.5099999999999998</v>
      </c>
      <c r="N3440" s="10">
        <v>-2.5099999999999998</v>
      </c>
      <c r="O3440" s="10">
        <v>-243.00700000000001</v>
      </c>
      <c r="P3440" s="10">
        <v>2</v>
      </c>
      <c r="Q3440" s="10">
        <v>2</v>
      </c>
      <c r="R3440" s="10">
        <v>4</v>
      </c>
    </row>
    <row r="3441" spans="1:18" ht="17" customHeight="1" x14ac:dyDescent="0.15">
      <c r="A3441" s="11" t="s">
        <v>18488</v>
      </c>
      <c r="B3441" s="1" t="s">
        <v>18489</v>
      </c>
      <c r="C3441" s="11" t="s">
        <v>18490</v>
      </c>
      <c r="D3441" s="11" t="s">
        <v>18490</v>
      </c>
      <c r="E3441" s="11" t="s">
        <v>18491</v>
      </c>
      <c r="F3441" s="11" t="s">
        <v>18492</v>
      </c>
      <c r="G3441" s="11" t="s">
        <v>18493</v>
      </c>
      <c r="H3441" s="11" t="s">
        <v>18494</v>
      </c>
      <c r="I3441" s="11" t="str">
        <f>HYPERLINK("http://www.quadernando.it/","www.quadernando.it")</f>
        <v>www.quadernando.it</v>
      </c>
      <c r="J3441" s="12">
        <v>432.50099999999998</v>
      </c>
      <c r="K3441" s="12">
        <v>432.50099999999998</v>
      </c>
      <c r="L3441" s="13">
        <v>668.49099999999999</v>
      </c>
      <c r="M3441" s="12">
        <v>0.72899999999999998</v>
      </c>
      <c r="N3441" s="12">
        <v>0.72899999999999998</v>
      </c>
      <c r="O3441" s="12">
        <v>6.2430000000000003</v>
      </c>
      <c r="P3441" s="12">
        <v>14</v>
      </c>
      <c r="Q3441" s="12">
        <v>14</v>
      </c>
      <c r="R3441" s="12">
        <v>13</v>
      </c>
    </row>
    <row r="3442" spans="1:18" ht="17" customHeight="1" x14ac:dyDescent="0.15">
      <c r="A3442" s="8" t="s">
        <v>18495</v>
      </c>
      <c r="B3442" s="9" t="s">
        <v>18496</v>
      </c>
      <c r="C3442" s="8" t="s">
        <v>18497</v>
      </c>
      <c r="D3442" s="8" t="s">
        <v>18498</v>
      </c>
      <c r="E3442" s="8" t="s">
        <v>18499</v>
      </c>
      <c r="F3442" s="8" t="s">
        <v>18500</v>
      </c>
      <c r="G3442" s="8" t="s">
        <v>18501</v>
      </c>
      <c r="H3442" s="8" t="s">
        <v>18502</v>
      </c>
      <c r="I3442" s="8" t="str">
        <f>HYPERLINK("http://www.tecnorivertintoriacalze.com/","www.tecnorivertintoriacalze.com")</f>
        <v>www.tecnorivertintoriacalze.com</v>
      </c>
      <c r="J3442" s="10">
        <v>362.447</v>
      </c>
      <c r="K3442" s="10">
        <v>362.447</v>
      </c>
      <c r="L3442" s="10">
        <v>666.54600000000005</v>
      </c>
      <c r="M3442" s="10">
        <v>-194.75299999999999</v>
      </c>
      <c r="N3442" s="10">
        <v>-194.75299999999999</v>
      </c>
      <c r="O3442" s="10">
        <v>-169.03</v>
      </c>
      <c r="P3442" s="10">
        <v>11</v>
      </c>
      <c r="Q3442" s="10">
        <v>11</v>
      </c>
      <c r="R3442" s="10">
        <v>18</v>
      </c>
    </row>
    <row r="3443" spans="1:18" ht="17" customHeight="1" x14ac:dyDescent="0.15">
      <c r="A3443" s="11" t="s">
        <v>18503</v>
      </c>
      <c r="B3443" s="1" t="s">
        <v>18504</v>
      </c>
      <c r="C3443" s="11" t="s">
        <v>18505</v>
      </c>
      <c r="D3443" s="11" t="s">
        <v>18505</v>
      </c>
      <c r="E3443" s="11" t="s">
        <v>18506</v>
      </c>
      <c r="F3443" s="11" t="s">
        <v>18460</v>
      </c>
      <c r="G3443" s="11" t="s">
        <v>18507</v>
      </c>
      <c r="H3443" s="11" t="s">
        <v>18414</v>
      </c>
      <c r="I3443" s="11" t="str">
        <f>HYPERLINK("http://www.gianfrancobutteri.com/","www.gianfrancobutteri.com")</f>
        <v>www.gianfrancobutteri.com</v>
      </c>
      <c r="J3443" s="12">
        <v>677.77099999999996</v>
      </c>
      <c r="K3443" s="12">
        <v>677.77099999999996</v>
      </c>
      <c r="L3443" s="13">
        <v>665.94100000000003</v>
      </c>
      <c r="M3443" s="12">
        <v>-127.26900000000001</v>
      </c>
      <c r="N3443" s="12">
        <v>-127.26900000000001</v>
      </c>
      <c r="O3443" s="12">
        <v>6.37</v>
      </c>
      <c r="P3443" s="12">
        <v>5</v>
      </c>
      <c r="Q3443" s="12">
        <v>5</v>
      </c>
      <c r="R3443" s="12">
        <v>7</v>
      </c>
    </row>
    <row r="3444" spans="1:18" ht="17" customHeight="1" x14ac:dyDescent="0.15">
      <c r="A3444" s="8" t="s">
        <v>18508</v>
      </c>
      <c r="B3444" s="9" t="s">
        <v>18509</v>
      </c>
      <c r="C3444" s="8" t="s">
        <v>18510</v>
      </c>
      <c r="D3444" s="8" t="s">
        <v>18510</v>
      </c>
      <c r="E3444" s="8" t="s">
        <v>18511</v>
      </c>
      <c r="F3444" s="8" t="s">
        <v>18430</v>
      </c>
      <c r="G3444" s="8" t="s">
        <v>18442</v>
      </c>
      <c r="H3444" s="8" t="s">
        <v>18443</v>
      </c>
      <c r="I3444" s="8" t="str">
        <f>HYPERLINK("http://www.marchesanodenim.com/","www.marchesanodenim.com")</f>
        <v>www.marchesanodenim.com</v>
      </c>
      <c r="J3444" s="10">
        <v>947.02499999999998</v>
      </c>
      <c r="K3444" s="10">
        <v>947.02499999999998</v>
      </c>
      <c r="L3444" s="10">
        <v>664.96299999999997</v>
      </c>
      <c r="M3444" s="10">
        <v>17.071000000000002</v>
      </c>
      <c r="N3444" s="10">
        <v>17.071000000000002</v>
      </c>
      <c r="O3444" s="10">
        <v>11.464</v>
      </c>
      <c r="P3444" s="10">
        <v>8</v>
      </c>
      <c r="Q3444" s="10">
        <v>8</v>
      </c>
      <c r="R3444" s="10">
        <v>9</v>
      </c>
    </row>
    <row r="3445" spans="1:18" ht="17" customHeight="1" x14ac:dyDescent="0.15">
      <c r="A3445" s="11" t="s">
        <v>18512</v>
      </c>
      <c r="B3445" s="1" t="s">
        <v>18513</v>
      </c>
      <c r="C3445" s="11" t="s">
        <v>18514</v>
      </c>
      <c r="D3445" s="11" t="s">
        <v>18514</v>
      </c>
      <c r="E3445" s="11" t="s">
        <v>18515</v>
      </c>
      <c r="F3445" s="11" t="s">
        <v>18412</v>
      </c>
      <c r="G3445" s="11" t="s">
        <v>18442</v>
      </c>
      <c r="H3445" s="11" t="s">
        <v>18443</v>
      </c>
      <c r="I3445" s="11" t="str">
        <f>HYPERLINK("http://farella.it/","farella.it")</f>
        <v>farella.it</v>
      </c>
      <c r="J3445" s="12">
        <v>640.90499999999997</v>
      </c>
      <c r="K3445" s="12">
        <v>640.90499999999997</v>
      </c>
      <c r="L3445" s="13">
        <v>664.99300000000005</v>
      </c>
      <c r="M3445" s="12">
        <v>65.695999999999998</v>
      </c>
      <c r="N3445" s="12">
        <v>65.695999999999998</v>
      </c>
      <c r="O3445" s="12">
        <v>67.498999999999995</v>
      </c>
      <c r="P3445" s="12">
        <v>4</v>
      </c>
      <c r="Q3445" s="12">
        <v>4</v>
      </c>
      <c r="R3445" s="12">
        <v>6</v>
      </c>
    </row>
    <row r="3446" spans="1:18" ht="43" customHeight="1" x14ac:dyDescent="0.15">
      <c r="A3446" s="8" t="s">
        <v>18516</v>
      </c>
      <c r="B3446" s="9" t="s">
        <v>18517</v>
      </c>
      <c r="C3446" s="8" t="s">
        <v>18518</v>
      </c>
      <c r="D3446" s="8" t="s">
        <v>18518</v>
      </c>
      <c r="E3446" s="8" t="s">
        <v>18519</v>
      </c>
      <c r="F3446" s="8" t="s">
        <v>18492</v>
      </c>
      <c r="G3446" s="8" t="s">
        <v>18520</v>
      </c>
      <c r="H3446" s="8" t="s">
        <v>18455</v>
      </c>
      <c r="I3446" s="8" t="str">
        <f>HYPERLINK("http://www.delcomm.it/","www.delcomm.it")</f>
        <v>www.delcomm.it</v>
      </c>
      <c r="J3446" s="10">
        <v>883.55499999999995</v>
      </c>
      <c r="K3446" s="10">
        <v>883.55499999999995</v>
      </c>
      <c r="L3446" s="10">
        <v>664.36699999999996</v>
      </c>
      <c r="M3446" s="10">
        <v>32.237000000000002</v>
      </c>
      <c r="N3446" s="10">
        <v>32.237000000000002</v>
      </c>
      <c r="O3446" s="10">
        <v>5.8760000000000003</v>
      </c>
      <c r="P3446" s="15" t="s">
        <v>18432</v>
      </c>
      <c r="Q3446" s="15" t="s">
        <v>18432</v>
      </c>
      <c r="R3446" s="10">
        <v>11</v>
      </c>
    </row>
    <row r="3447" spans="1:18" ht="17" customHeight="1" x14ac:dyDescent="0.15">
      <c r="A3447" s="11" t="s">
        <v>18521</v>
      </c>
      <c r="B3447" s="1" t="s">
        <v>18522</v>
      </c>
      <c r="C3447" s="11" t="s">
        <v>18523</v>
      </c>
      <c r="D3447" s="11" t="s">
        <v>18523</v>
      </c>
      <c r="E3447" s="11" t="s">
        <v>18524</v>
      </c>
      <c r="F3447" s="11" t="s">
        <v>18460</v>
      </c>
      <c r="G3447" s="11" t="s">
        <v>18431</v>
      </c>
      <c r="H3447" s="11" t="s">
        <v>18407</v>
      </c>
      <c r="I3447" s="11" t="str">
        <f>HYPERLINK("http://www.gianfort.it/","www.gianfort.it")</f>
        <v>www.gianfort.it</v>
      </c>
      <c r="J3447" s="12">
        <v>549.15099999999995</v>
      </c>
      <c r="K3447" s="12">
        <v>549.15099999999995</v>
      </c>
      <c r="L3447" s="13">
        <v>664.25300000000004</v>
      </c>
      <c r="M3447" s="12">
        <v>-146.083</v>
      </c>
      <c r="N3447" s="12">
        <v>-146.083</v>
      </c>
      <c r="O3447" s="12">
        <v>-121.30200000000001</v>
      </c>
      <c r="P3447" s="12">
        <v>12</v>
      </c>
      <c r="Q3447" s="12">
        <v>12</v>
      </c>
      <c r="R3447" s="12">
        <v>15</v>
      </c>
    </row>
    <row r="3448" spans="1:18" ht="17" customHeight="1" x14ac:dyDescent="0.15">
      <c r="A3448" s="8" t="s">
        <v>18525</v>
      </c>
      <c r="B3448" s="9" t="s">
        <v>18526</v>
      </c>
      <c r="C3448" s="8" t="s">
        <v>18527</v>
      </c>
      <c r="D3448" s="8" t="s">
        <v>18527</v>
      </c>
      <c r="E3448" s="8" t="s">
        <v>18528</v>
      </c>
      <c r="F3448" s="8" t="s">
        <v>18437</v>
      </c>
      <c r="G3448" s="8" t="s">
        <v>18431</v>
      </c>
      <c r="H3448" s="8" t="s">
        <v>18407</v>
      </c>
      <c r="I3448" s="8" t="str">
        <f>HYPERLINK("http://www.virtuspellami.it/","www.virtuspellami.it")</f>
        <v>www.virtuspellami.it</v>
      </c>
      <c r="J3448" s="10">
        <v>1712.981</v>
      </c>
      <c r="K3448" s="10">
        <v>961.31500000000005</v>
      </c>
      <c r="L3448" s="10">
        <v>664.22400000000005</v>
      </c>
      <c r="M3448" s="10">
        <v>138.05799999999999</v>
      </c>
      <c r="N3448" s="10">
        <v>18.474</v>
      </c>
      <c r="O3448" s="10">
        <v>12.707000000000001</v>
      </c>
      <c r="P3448" s="15" t="s">
        <v>18432</v>
      </c>
      <c r="Q3448" s="15" t="s">
        <v>18432</v>
      </c>
      <c r="R3448" s="10">
        <v>0</v>
      </c>
    </row>
    <row r="3449" spans="1:18" ht="17" customHeight="1" x14ac:dyDescent="0.15">
      <c r="A3449" s="11" t="s">
        <v>18529</v>
      </c>
      <c r="B3449" s="1" t="s">
        <v>18530</v>
      </c>
      <c r="C3449" s="11" t="s">
        <v>18531</v>
      </c>
      <c r="D3449" s="11" t="s">
        <v>18531</v>
      </c>
      <c r="E3449" s="11" t="s">
        <v>18532</v>
      </c>
      <c r="F3449" s="11" t="s">
        <v>18448</v>
      </c>
      <c r="G3449" s="11" t="s">
        <v>18424</v>
      </c>
      <c r="H3449" s="11" t="s">
        <v>18425</v>
      </c>
      <c r="I3449" s="11" t="str">
        <f>HYPERLINK("http://www.dierretex.it/","http://www.dierretex.it/")</f>
        <v>http://www.dierretex.it/</v>
      </c>
      <c r="J3449" s="12">
        <v>736.01499999999999</v>
      </c>
      <c r="K3449" s="12">
        <v>736.01499999999999</v>
      </c>
      <c r="L3449" s="13">
        <v>664.16399999999999</v>
      </c>
      <c r="M3449" s="12">
        <v>81.968999999999994</v>
      </c>
      <c r="N3449" s="12">
        <v>81.968999999999994</v>
      </c>
      <c r="O3449" s="12">
        <v>44.323999999999998</v>
      </c>
      <c r="P3449" s="14" t="s">
        <v>18432</v>
      </c>
      <c r="Q3449" s="14" t="s">
        <v>18432</v>
      </c>
      <c r="R3449" s="12">
        <v>6</v>
      </c>
    </row>
    <row r="3450" spans="1:18" ht="29.5" customHeight="1" x14ac:dyDescent="0.15">
      <c r="A3450" s="8" t="s">
        <v>18533</v>
      </c>
      <c r="B3450" s="9" t="s">
        <v>18534</v>
      </c>
      <c r="C3450" s="8" t="s">
        <v>18535</v>
      </c>
      <c r="D3450" s="8" t="s">
        <v>18535</v>
      </c>
      <c r="E3450" s="8" t="s">
        <v>18536</v>
      </c>
      <c r="F3450" s="8" t="s">
        <v>18537</v>
      </c>
      <c r="G3450" s="8" t="s">
        <v>18538</v>
      </c>
      <c r="H3450" s="8" t="s">
        <v>18539</v>
      </c>
      <c r="I3450" s="8" t="str">
        <f>HYPERLINK("http://www.anpelsrl.it/","www.anpelsrl.it")</f>
        <v>www.anpelsrl.it</v>
      </c>
      <c r="J3450" s="10">
        <v>764.05399999999997</v>
      </c>
      <c r="K3450" s="10">
        <v>764.05399999999997</v>
      </c>
      <c r="L3450" s="10">
        <v>664.07299999999998</v>
      </c>
      <c r="M3450" s="10">
        <v>24.12</v>
      </c>
      <c r="N3450" s="10">
        <v>24.12</v>
      </c>
      <c r="O3450" s="10">
        <v>22.498000000000001</v>
      </c>
      <c r="P3450" s="10">
        <v>6</v>
      </c>
      <c r="Q3450" s="10">
        <v>6</v>
      </c>
      <c r="R3450" s="10">
        <v>6</v>
      </c>
    </row>
    <row r="3451" spans="1:18" ht="17" customHeight="1" x14ac:dyDescent="0.15">
      <c r="A3451" s="11" t="s">
        <v>18540</v>
      </c>
      <c r="B3451" s="1" t="s">
        <v>18541</v>
      </c>
      <c r="C3451" s="11" t="s">
        <v>18542</v>
      </c>
      <c r="D3451" s="11" t="s">
        <v>18542</v>
      </c>
      <c r="E3451" s="11" t="s">
        <v>18543</v>
      </c>
      <c r="F3451" s="11" t="s">
        <v>18544</v>
      </c>
      <c r="G3451" s="11" t="s">
        <v>18545</v>
      </c>
      <c r="H3451" s="11" t="s">
        <v>18546</v>
      </c>
      <c r="I3451" s="11" t="str">
        <f>HYPERLINK("http://www.europrotec.it/","www.europrotec.it")</f>
        <v>www.europrotec.it</v>
      </c>
      <c r="J3451" s="12">
        <v>783.58799999999997</v>
      </c>
      <c r="K3451" s="12">
        <v>783.58799999999997</v>
      </c>
      <c r="L3451" s="13">
        <v>663.32</v>
      </c>
      <c r="M3451" s="12">
        <v>51.579000000000001</v>
      </c>
      <c r="N3451" s="12">
        <v>51.579000000000001</v>
      </c>
      <c r="O3451" s="12">
        <v>55.578000000000003</v>
      </c>
      <c r="P3451" s="14" t="s">
        <v>18432</v>
      </c>
      <c r="Q3451" s="14" t="s">
        <v>18432</v>
      </c>
      <c r="R3451" s="12">
        <v>14</v>
      </c>
    </row>
    <row r="3452" spans="1:18" ht="17" customHeight="1" x14ac:dyDescent="0.15">
      <c r="A3452" s="8" t="s">
        <v>18547</v>
      </c>
      <c r="B3452" s="9" t="s">
        <v>18548</v>
      </c>
      <c r="C3452" s="8" t="s">
        <v>18549</v>
      </c>
      <c r="D3452" s="8" t="s">
        <v>18549</v>
      </c>
      <c r="E3452" s="8" t="s">
        <v>18550</v>
      </c>
      <c r="F3452" s="8" t="s">
        <v>18537</v>
      </c>
      <c r="G3452" s="8" t="s">
        <v>18449</v>
      </c>
      <c r="H3452" s="8" t="s">
        <v>18425</v>
      </c>
      <c r="I3452" s="8" t="str">
        <f>HYPERLINK("http://www.solomodasrl.com/","www.solomodasrl.com")</f>
        <v>www.solomodasrl.com</v>
      </c>
      <c r="J3452" s="10">
        <v>662.66099999999994</v>
      </c>
      <c r="K3452" s="15" t="s">
        <v>18432</v>
      </c>
      <c r="L3452" s="10">
        <v>662.66099999999994</v>
      </c>
      <c r="M3452" s="10">
        <v>11.180999999999999</v>
      </c>
      <c r="N3452" s="15" t="s">
        <v>18432</v>
      </c>
      <c r="O3452" s="10">
        <v>11.180999999999999</v>
      </c>
      <c r="P3452" s="10">
        <v>5</v>
      </c>
      <c r="Q3452" s="15" t="s">
        <v>18432</v>
      </c>
      <c r="R3452" s="10">
        <v>5</v>
      </c>
    </row>
    <row r="3453" spans="1:18" ht="17" customHeight="1" x14ac:dyDescent="0.15">
      <c r="A3453" s="11" t="s">
        <v>18551</v>
      </c>
      <c r="B3453" s="1" t="s">
        <v>18552</v>
      </c>
      <c r="C3453" s="11" t="s">
        <v>18553</v>
      </c>
      <c r="D3453" s="11" t="s">
        <v>18553</v>
      </c>
      <c r="E3453" s="11" t="s">
        <v>18554</v>
      </c>
      <c r="F3453" s="11" t="s">
        <v>18412</v>
      </c>
      <c r="G3453" s="11" t="s">
        <v>18555</v>
      </c>
      <c r="H3453" s="11" t="s">
        <v>18556</v>
      </c>
      <c r="I3453" s="11" t="str">
        <f>HYPERLINK("http://www.barnamartini.it/","www.barnamartini.it")</f>
        <v>www.barnamartini.it</v>
      </c>
      <c r="J3453" s="12">
        <v>582.75099999999998</v>
      </c>
      <c r="K3453" s="12">
        <v>582.75099999999998</v>
      </c>
      <c r="L3453" s="13">
        <v>660.62300000000005</v>
      </c>
      <c r="M3453" s="12">
        <v>10.114000000000001</v>
      </c>
      <c r="N3453" s="12">
        <v>10.114000000000001</v>
      </c>
      <c r="O3453" s="12">
        <v>69.436999999999998</v>
      </c>
      <c r="P3453" s="12">
        <v>5</v>
      </c>
      <c r="Q3453" s="12">
        <v>5</v>
      </c>
      <c r="R3453" s="12">
        <v>5</v>
      </c>
    </row>
    <row r="3454" spans="1:18" ht="17" customHeight="1" x14ac:dyDescent="0.15">
      <c r="A3454" s="8" t="s">
        <v>18557</v>
      </c>
      <c r="B3454" s="9" t="s">
        <v>18558</v>
      </c>
      <c r="C3454" s="8" t="s">
        <v>18559</v>
      </c>
      <c r="D3454" s="8" t="s">
        <v>18559</v>
      </c>
      <c r="E3454" s="8" t="s">
        <v>18560</v>
      </c>
      <c r="F3454" s="8" t="s">
        <v>18561</v>
      </c>
      <c r="G3454" s="8" t="s">
        <v>18424</v>
      </c>
      <c r="H3454" s="8" t="s">
        <v>18425</v>
      </c>
      <c r="I3454" s="8" t="str">
        <f>HYPERLINK("http://www.conceriasolaris.it/","www.conceriasolaris.it")</f>
        <v>www.conceriasolaris.it</v>
      </c>
      <c r="J3454" s="10">
        <v>310.07299999999998</v>
      </c>
      <c r="K3454" s="10">
        <v>452.81299999999999</v>
      </c>
      <c r="L3454" s="10">
        <v>657.904</v>
      </c>
      <c r="M3454" s="10">
        <v>3.6150000000000002</v>
      </c>
      <c r="N3454" s="10">
        <v>-38.142000000000003</v>
      </c>
      <c r="O3454" s="10">
        <v>-1.4810000000000001</v>
      </c>
      <c r="P3454" s="10">
        <v>2</v>
      </c>
      <c r="Q3454" s="10">
        <v>2</v>
      </c>
      <c r="R3454" s="10">
        <v>2</v>
      </c>
    </row>
    <row r="3455" spans="1:18" ht="17" customHeight="1" x14ac:dyDescent="0.15">
      <c r="A3455" s="11" t="s">
        <v>18562</v>
      </c>
      <c r="B3455" s="1" t="s">
        <v>18563</v>
      </c>
      <c r="C3455" s="11" t="s">
        <v>18564</v>
      </c>
      <c r="D3455" s="11" t="s">
        <v>18564</v>
      </c>
      <c r="E3455" s="11" t="s">
        <v>18565</v>
      </c>
      <c r="F3455" s="11" t="s">
        <v>18537</v>
      </c>
      <c r="G3455" s="11" t="s">
        <v>18566</v>
      </c>
      <c r="H3455" s="11" t="s">
        <v>18502</v>
      </c>
      <c r="I3455" s="11" t="str">
        <f>HYPERLINK("http://www.casadartefiore.it/","www.casadartefiore.it")</f>
        <v>www.casadartefiore.it</v>
      </c>
      <c r="J3455" s="12">
        <v>669.01700000000005</v>
      </c>
      <c r="K3455" s="12">
        <v>669.01700000000005</v>
      </c>
      <c r="L3455" s="13">
        <v>656.89099999999996</v>
      </c>
      <c r="M3455" s="12">
        <v>13.227</v>
      </c>
      <c r="N3455" s="12">
        <v>13.227</v>
      </c>
      <c r="O3455" s="12">
        <v>12.923</v>
      </c>
      <c r="P3455" s="12">
        <v>12</v>
      </c>
      <c r="Q3455" s="12">
        <v>12</v>
      </c>
      <c r="R3455" s="12">
        <v>13</v>
      </c>
    </row>
    <row r="3456" spans="1:18" ht="29.5" customHeight="1" x14ac:dyDescent="0.15">
      <c r="A3456" s="8" t="s">
        <v>18567</v>
      </c>
      <c r="B3456" s="9" t="s">
        <v>18568</v>
      </c>
      <c r="C3456" s="8" t="s">
        <v>18569</v>
      </c>
      <c r="D3456" s="8" t="s">
        <v>18569</v>
      </c>
      <c r="E3456" s="8" t="s">
        <v>18570</v>
      </c>
      <c r="F3456" s="8" t="s">
        <v>18537</v>
      </c>
      <c r="G3456" s="8" t="s">
        <v>18566</v>
      </c>
      <c r="H3456" s="8" t="s">
        <v>18502</v>
      </c>
      <c r="I3456" s="8" t="str">
        <f>HYPERLINK("http://www.stefaniacarrera.com/","www.stefaniacarrera.com")</f>
        <v>www.stefaniacarrera.com</v>
      </c>
      <c r="J3456" s="10">
        <v>637.04200000000003</v>
      </c>
      <c r="K3456" s="10">
        <v>637.04200000000003</v>
      </c>
      <c r="L3456" s="10">
        <v>655.65499999999997</v>
      </c>
      <c r="M3456" s="10">
        <v>8.5389999999999997</v>
      </c>
      <c r="N3456" s="10">
        <v>8.5389999999999997</v>
      </c>
      <c r="O3456" s="10">
        <v>6.1950000000000003</v>
      </c>
      <c r="P3456" s="10">
        <v>1</v>
      </c>
      <c r="Q3456" s="10">
        <v>1</v>
      </c>
      <c r="R3456" s="10">
        <v>2</v>
      </c>
    </row>
    <row r="3457" spans="1:18" ht="17" customHeight="1" x14ac:dyDescent="0.15">
      <c r="A3457" s="11" t="s">
        <v>18571</v>
      </c>
      <c r="B3457" s="1" t="s">
        <v>18572</v>
      </c>
      <c r="C3457" s="11" t="s">
        <v>18573</v>
      </c>
      <c r="D3457" s="11" t="s">
        <v>18573</v>
      </c>
      <c r="E3457" s="11" t="s">
        <v>18574</v>
      </c>
      <c r="F3457" s="11" t="s">
        <v>18575</v>
      </c>
      <c r="G3457" s="11" t="s">
        <v>18576</v>
      </c>
      <c r="H3457" s="11" t="s">
        <v>18577</v>
      </c>
      <c r="I3457" s="11" t="str">
        <f>HYPERLINK("http://www.parmamadein.com/","www.parmamadein.com")</f>
        <v>www.parmamadein.com</v>
      </c>
      <c r="J3457" s="12">
        <v>1135.277</v>
      </c>
      <c r="K3457" s="12">
        <v>1135.277</v>
      </c>
      <c r="L3457" s="13">
        <v>654.94399999999996</v>
      </c>
      <c r="M3457" s="12">
        <v>218.66900000000001</v>
      </c>
      <c r="N3457" s="12">
        <v>218.66900000000001</v>
      </c>
      <c r="O3457" s="12">
        <v>17.056000000000001</v>
      </c>
      <c r="P3457" s="12">
        <v>2</v>
      </c>
      <c r="Q3457" s="12">
        <v>2</v>
      </c>
      <c r="R3457" s="12">
        <v>2</v>
      </c>
    </row>
    <row r="3458" spans="1:18" ht="17" customHeight="1" x14ac:dyDescent="0.15">
      <c r="A3458" s="8" t="s">
        <v>18578</v>
      </c>
      <c r="B3458" s="9" t="s">
        <v>18579</v>
      </c>
      <c r="C3458" s="8" t="s">
        <v>18580</v>
      </c>
      <c r="D3458" s="8" t="s">
        <v>18580</v>
      </c>
      <c r="E3458" s="8" t="s">
        <v>18581</v>
      </c>
      <c r="F3458" s="8" t="s">
        <v>18582</v>
      </c>
      <c r="G3458" s="8" t="s">
        <v>18583</v>
      </c>
      <c r="H3458" s="8" t="s">
        <v>18584</v>
      </c>
      <c r="I3458" s="8" t="str">
        <f>HYPERLINK("http://www.legatteshoes.it/","www.legatteshoes.it")</f>
        <v>www.legatteshoes.it</v>
      </c>
      <c r="J3458" s="10">
        <v>604.36599999999999</v>
      </c>
      <c r="K3458" s="10">
        <v>604.36599999999999</v>
      </c>
      <c r="L3458" s="10">
        <v>654.78</v>
      </c>
      <c r="M3458" s="10">
        <v>38.027999999999999</v>
      </c>
      <c r="N3458" s="10">
        <v>38.027999999999999</v>
      </c>
      <c r="O3458" s="10">
        <v>15.939</v>
      </c>
      <c r="P3458" s="10">
        <v>8</v>
      </c>
      <c r="Q3458" s="10">
        <v>8</v>
      </c>
      <c r="R3458" s="10">
        <v>8</v>
      </c>
    </row>
    <row r="3459" spans="1:18" ht="17" customHeight="1" x14ac:dyDescent="0.15">
      <c r="A3459" s="11" t="s">
        <v>18585</v>
      </c>
      <c r="B3459" s="1" t="s">
        <v>18586</v>
      </c>
      <c r="C3459" s="11" t="s">
        <v>18587</v>
      </c>
      <c r="D3459" s="11" t="s">
        <v>18587</v>
      </c>
      <c r="E3459" s="11" t="s">
        <v>18588</v>
      </c>
      <c r="F3459" s="11" t="s">
        <v>18589</v>
      </c>
      <c r="G3459" s="11" t="s">
        <v>18590</v>
      </c>
      <c r="H3459" s="11" t="s">
        <v>18591</v>
      </c>
      <c r="I3459" s="11" t="str">
        <f>HYPERLINK("http://www.sikeliaconfezioni.com/","www.sikeliaconfezioni.com")</f>
        <v>www.sikeliaconfezioni.com</v>
      </c>
      <c r="J3459" s="12">
        <v>774.495</v>
      </c>
      <c r="K3459" s="12">
        <v>774.495</v>
      </c>
      <c r="L3459" s="13">
        <v>654.40300000000002</v>
      </c>
      <c r="M3459" s="12">
        <v>115.836</v>
      </c>
      <c r="N3459" s="12">
        <v>115.836</v>
      </c>
      <c r="O3459" s="12">
        <v>157.25399999999999</v>
      </c>
      <c r="P3459" s="12">
        <v>26</v>
      </c>
      <c r="Q3459" s="12">
        <v>26</v>
      </c>
      <c r="R3459" s="12">
        <v>19</v>
      </c>
    </row>
    <row r="3460" spans="1:18" ht="17" customHeight="1" x14ac:dyDescent="0.15">
      <c r="A3460" s="8" t="s">
        <v>18592</v>
      </c>
      <c r="B3460" s="9" t="s">
        <v>18593</v>
      </c>
      <c r="C3460" s="8" t="s">
        <v>18594</v>
      </c>
      <c r="D3460" s="8" t="s">
        <v>18594</v>
      </c>
      <c r="E3460" s="8" t="s">
        <v>18595</v>
      </c>
      <c r="F3460" s="8" t="s">
        <v>18596</v>
      </c>
      <c r="G3460" s="8" t="s">
        <v>18597</v>
      </c>
      <c r="H3460" s="8" t="s">
        <v>18598</v>
      </c>
      <c r="I3460" s="8" t="str">
        <f>HYPERLINK("http://www.scaranonapoli.it/","www.scaranonapoli.it")</f>
        <v>www.scaranonapoli.it</v>
      </c>
      <c r="J3460" s="10">
        <v>1112.7860000000001</v>
      </c>
      <c r="K3460" s="10">
        <v>1112.7860000000001</v>
      </c>
      <c r="L3460" s="10">
        <v>653.65200000000004</v>
      </c>
      <c r="M3460" s="10">
        <v>27.748999999999999</v>
      </c>
      <c r="N3460" s="10">
        <v>27.748999999999999</v>
      </c>
      <c r="O3460" s="10">
        <v>9.6539999999999999</v>
      </c>
      <c r="P3460" s="15" t="s">
        <v>18599</v>
      </c>
      <c r="Q3460" s="15" t="s">
        <v>18599</v>
      </c>
      <c r="R3460" s="10">
        <v>12</v>
      </c>
    </row>
    <row r="3461" spans="1:18" ht="29.5" customHeight="1" x14ac:dyDescent="0.15">
      <c r="A3461" s="11" t="s">
        <v>18600</v>
      </c>
      <c r="B3461" s="1" t="s">
        <v>18601</v>
      </c>
      <c r="C3461" s="11" t="s">
        <v>18602</v>
      </c>
      <c r="D3461" s="11" t="s">
        <v>18602</v>
      </c>
      <c r="E3461" s="11" t="s">
        <v>18603</v>
      </c>
      <c r="F3461" s="11" t="s">
        <v>18604</v>
      </c>
      <c r="G3461" s="11" t="s">
        <v>18605</v>
      </c>
      <c r="H3461" s="11" t="s">
        <v>18584</v>
      </c>
      <c r="I3461" s="11" t="str">
        <f>HYPERLINK("http://www.bolzonella1934.it/","www.bolzonella1934.it")</f>
        <v>www.bolzonella1934.it</v>
      </c>
      <c r="J3461" s="12">
        <v>798.41700000000003</v>
      </c>
      <c r="K3461" s="12">
        <v>798.41700000000003</v>
      </c>
      <c r="L3461" s="13">
        <v>652.30999999999995</v>
      </c>
      <c r="M3461" s="12">
        <v>18.957999999999998</v>
      </c>
      <c r="N3461" s="12">
        <v>18.957999999999998</v>
      </c>
      <c r="O3461" s="12">
        <v>14.798</v>
      </c>
      <c r="P3461" s="12">
        <v>7</v>
      </c>
      <c r="Q3461" s="12">
        <v>7</v>
      </c>
      <c r="R3461" s="12">
        <v>7</v>
      </c>
    </row>
    <row r="3462" spans="1:18" ht="29.5" customHeight="1" x14ac:dyDescent="0.15">
      <c r="A3462" s="8" t="s">
        <v>18606</v>
      </c>
      <c r="B3462" s="9" t="s">
        <v>18607</v>
      </c>
      <c r="C3462" s="8" t="s">
        <v>18608</v>
      </c>
      <c r="D3462" s="8" t="s">
        <v>18608</v>
      </c>
      <c r="E3462" s="8" t="s">
        <v>18609</v>
      </c>
      <c r="F3462" s="8" t="s">
        <v>18575</v>
      </c>
      <c r="G3462" s="8" t="s">
        <v>18610</v>
      </c>
      <c r="H3462" s="8" t="s">
        <v>18611</v>
      </c>
      <c r="I3462" s="8" t="str">
        <f>HYPERLINK("http://www.dimisport.it/","www.dimisport.it")</f>
        <v>www.dimisport.it</v>
      </c>
      <c r="J3462" s="10">
        <v>651.74900000000002</v>
      </c>
      <c r="K3462" s="15" t="s">
        <v>18599</v>
      </c>
      <c r="L3462" s="10">
        <v>651.74900000000002</v>
      </c>
      <c r="M3462" s="10">
        <v>-19.852</v>
      </c>
      <c r="N3462" s="15" t="s">
        <v>18599</v>
      </c>
      <c r="O3462" s="10">
        <v>-19.852</v>
      </c>
      <c r="P3462" s="10">
        <v>12</v>
      </c>
      <c r="Q3462" s="15" t="s">
        <v>18599</v>
      </c>
      <c r="R3462" s="10">
        <v>12</v>
      </c>
    </row>
    <row r="3463" spans="1:18" ht="17" customHeight="1" x14ac:dyDescent="0.15">
      <c r="A3463" s="11" t="s">
        <v>18612</v>
      </c>
      <c r="B3463" s="1" t="s">
        <v>18613</v>
      </c>
      <c r="C3463" s="11" t="s">
        <v>18614</v>
      </c>
      <c r="D3463" s="11" t="s">
        <v>18614</v>
      </c>
      <c r="E3463" s="11" t="s">
        <v>18615</v>
      </c>
      <c r="F3463" s="11" t="s">
        <v>18616</v>
      </c>
      <c r="G3463" s="11" t="s">
        <v>18597</v>
      </c>
      <c r="H3463" s="11" t="s">
        <v>18598</v>
      </c>
      <c r="I3463" s="11" t="str">
        <f>HYPERLINK("http://www.casanova80.com/","www.casanova80.com")</f>
        <v>www.casanova80.com</v>
      </c>
      <c r="J3463" s="12">
        <v>719.54600000000005</v>
      </c>
      <c r="K3463" s="12">
        <v>719.54600000000005</v>
      </c>
      <c r="L3463" s="13">
        <v>651.4</v>
      </c>
      <c r="M3463" s="12">
        <v>26.492000000000001</v>
      </c>
      <c r="N3463" s="12">
        <v>26.492000000000001</v>
      </c>
      <c r="O3463" s="12">
        <v>20.167999999999999</v>
      </c>
      <c r="P3463" s="14" t="s">
        <v>18599</v>
      </c>
      <c r="Q3463" s="14" t="s">
        <v>18599</v>
      </c>
      <c r="R3463" s="12">
        <v>13</v>
      </c>
    </row>
    <row r="3464" spans="1:18" ht="17" customHeight="1" x14ac:dyDescent="0.15">
      <c r="A3464" s="8" t="s">
        <v>18617</v>
      </c>
      <c r="B3464" s="9" t="s">
        <v>18618</v>
      </c>
      <c r="C3464" s="8" t="s">
        <v>18619</v>
      </c>
      <c r="D3464" s="8" t="s">
        <v>18619</v>
      </c>
      <c r="E3464" s="8" t="s">
        <v>18620</v>
      </c>
      <c r="F3464" s="8" t="s">
        <v>18621</v>
      </c>
      <c r="G3464" s="8" t="s">
        <v>18622</v>
      </c>
      <c r="H3464" s="8" t="s">
        <v>18623</v>
      </c>
      <c r="I3464" s="8" t="str">
        <f>HYPERLINK("http://www.guardolificioalex.net/","www.guardolificioalex.net")</f>
        <v>www.guardolificioalex.net</v>
      </c>
      <c r="J3464" s="10">
        <v>609.58500000000004</v>
      </c>
      <c r="K3464" s="10">
        <v>609.58500000000004</v>
      </c>
      <c r="L3464" s="10">
        <v>650.678</v>
      </c>
      <c r="M3464" s="10">
        <v>-39.023000000000003</v>
      </c>
      <c r="N3464" s="10">
        <v>-39.023000000000003</v>
      </c>
      <c r="O3464" s="10">
        <v>-41.896000000000001</v>
      </c>
      <c r="P3464" s="10">
        <v>8</v>
      </c>
      <c r="Q3464" s="10">
        <v>8</v>
      </c>
      <c r="R3464" s="10">
        <v>7</v>
      </c>
    </row>
    <row r="3465" spans="1:18" ht="17" customHeight="1" x14ac:dyDescent="0.15">
      <c r="A3465" s="11" t="s">
        <v>18624</v>
      </c>
      <c r="B3465" s="1" t="s">
        <v>18625</v>
      </c>
      <c r="C3465" s="11" t="s">
        <v>18626</v>
      </c>
      <c r="D3465" s="11" t="s">
        <v>18626</v>
      </c>
      <c r="E3465" s="11" t="s">
        <v>18627</v>
      </c>
      <c r="F3465" s="11" t="s">
        <v>18575</v>
      </c>
      <c r="G3465" s="11" t="s">
        <v>18628</v>
      </c>
      <c r="H3465" s="11" t="s">
        <v>18629</v>
      </c>
      <c r="I3465" s="11" t="str">
        <f>HYPERLINK("http://lagoaworld.com/","lagoaworld.com")</f>
        <v>lagoaworld.com</v>
      </c>
      <c r="J3465" s="12">
        <v>864.50900000000001</v>
      </c>
      <c r="K3465" s="12">
        <v>864.50900000000001</v>
      </c>
      <c r="L3465" s="13">
        <v>649.79200000000003</v>
      </c>
      <c r="M3465" s="12">
        <v>22.369</v>
      </c>
      <c r="N3465" s="12">
        <v>22.369</v>
      </c>
      <c r="O3465" s="12">
        <v>2.4390000000000001</v>
      </c>
      <c r="P3465" s="14" t="s">
        <v>18599</v>
      </c>
      <c r="Q3465" s="14" t="s">
        <v>18599</v>
      </c>
      <c r="R3465" s="12">
        <v>3</v>
      </c>
    </row>
    <row r="3466" spans="1:18" ht="17" customHeight="1" x14ac:dyDescent="0.15">
      <c r="A3466" s="8" t="s">
        <v>18630</v>
      </c>
      <c r="B3466" s="9" t="s">
        <v>18631</v>
      </c>
      <c r="C3466" s="8" t="s">
        <v>18632</v>
      </c>
      <c r="D3466" s="8" t="s">
        <v>18632</v>
      </c>
      <c r="E3466" s="8" t="s">
        <v>18633</v>
      </c>
      <c r="F3466" s="8" t="s">
        <v>18582</v>
      </c>
      <c r="G3466" s="8" t="s">
        <v>18597</v>
      </c>
      <c r="H3466" s="8" t="s">
        <v>18598</v>
      </c>
      <c r="I3466" s="8" t="str">
        <f>HYPERLINK("http://tissquad.com/","tissquad.com")</f>
        <v>tissquad.com</v>
      </c>
      <c r="J3466" s="10">
        <v>835.048</v>
      </c>
      <c r="K3466" s="10">
        <v>835.048</v>
      </c>
      <c r="L3466" s="10">
        <v>649.01499999999999</v>
      </c>
      <c r="M3466" s="10">
        <v>44.808999999999997</v>
      </c>
      <c r="N3466" s="10">
        <v>44.808999999999997</v>
      </c>
      <c r="O3466" s="10">
        <v>53.52</v>
      </c>
      <c r="P3466" s="15" t="s">
        <v>18599</v>
      </c>
      <c r="Q3466" s="15" t="s">
        <v>18599</v>
      </c>
      <c r="R3466" s="10">
        <v>8</v>
      </c>
    </row>
    <row r="3467" spans="1:18" ht="17" customHeight="1" x14ac:dyDescent="0.15">
      <c r="A3467" s="11" t="s">
        <v>18634</v>
      </c>
      <c r="B3467" s="1" t="s">
        <v>18635</v>
      </c>
      <c r="C3467" s="11" t="s">
        <v>18636</v>
      </c>
      <c r="D3467" s="11" t="s">
        <v>18636</v>
      </c>
      <c r="E3467" s="11" t="s">
        <v>18637</v>
      </c>
      <c r="F3467" s="11" t="s">
        <v>18638</v>
      </c>
      <c r="G3467" s="11" t="s">
        <v>18639</v>
      </c>
      <c r="H3467" s="11" t="s">
        <v>18640</v>
      </c>
      <c r="I3467" s="11" t="str">
        <f>HYPERLINK("http://abiti-da-lavoro.com/","abiti-da-lavoro.com")</f>
        <v>abiti-da-lavoro.com</v>
      </c>
      <c r="J3467" s="12">
        <v>627.25800000000004</v>
      </c>
      <c r="K3467" s="12">
        <v>627.25800000000004</v>
      </c>
      <c r="L3467" s="13">
        <v>648.95899999999995</v>
      </c>
      <c r="M3467" s="12">
        <v>10.585000000000001</v>
      </c>
      <c r="N3467" s="12">
        <v>10.585000000000001</v>
      </c>
      <c r="O3467" s="12">
        <v>1.1180000000000001</v>
      </c>
      <c r="P3467" s="12">
        <v>1</v>
      </c>
      <c r="Q3467" s="12">
        <v>1</v>
      </c>
      <c r="R3467" s="12">
        <v>3</v>
      </c>
    </row>
    <row r="3468" spans="1:18" ht="17" customHeight="1" x14ac:dyDescent="0.15">
      <c r="A3468" s="8" t="s">
        <v>18641</v>
      </c>
      <c r="B3468" s="9" t="s">
        <v>18642</v>
      </c>
      <c r="C3468" s="8" t="s">
        <v>18643</v>
      </c>
      <c r="D3468" s="8" t="s">
        <v>18643</v>
      </c>
      <c r="E3468" s="8" t="s">
        <v>18644</v>
      </c>
      <c r="F3468" s="8" t="s">
        <v>18645</v>
      </c>
      <c r="G3468" s="8" t="s">
        <v>18646</v>
      </c>
      <c r="H3468" s="8" t="s">
        <v>18629</v>
      </c>
      <c r="I3468" s="8" t="str">
        <f>HYPERLINK("http://majolab.com/","majolab.com")</f>
        <v>majolab.com</v>
      </c>
      <c r="J3468" s="10">
        <v>586.26199999999994</v>
      </c>
      <c r="K3468" s="10">
        <v>586.26199999999994</v>
      </c>
      <c r="L3468" s="10">
        <v>648.89400000000001</v>
      </c>
      <c r="M3468" s="10">
        <v>4.4130000000000003</v>
      </c>
      <c r="N3468" s="10">
        <v>4.4130000000000003</v>
      </c>
      <c r="O3468" s="10">
        <v>3.431</v>
      </c>
      <c r="P3468" s="10">
        <v>4</v>
      </c>
      <c r="Q3468" s="10">
        <v>4</v>
      </c>
      <c r="R3468" s="10">
        <v>4</v>
      </c>
    </row>
    <row r="3469" spans="1:18" ht="17" customHeight="1" x14ac:dyDescent="0.15">
      <c r="A3469" s="11" t="s">
        <v>18647</v>
      </c>
      <c r="B3469" s="1" t="s">
        <v>18648</v>
      </c>
      <c r="C3469" s="11" t="s">
        <v>18649</v>
      </c>
      <c r="D3469" s="11" t="s">
        <v>18649</v>
      </c>
      <c r="E3469" s="11" t="s">
        <v>18650</v>
      </c>
      <c r="F3469" s="11" t="s">
        <v>18589</v>
      </c>
      <c r="G3469" s="11" t="s">
        <v>18651</v>
      </c>
      <c r="H3469" s="11" t="s">
        <v>18623</v>
      </c>
      <c r="I3469" s="11" t="str">
        <f>HYPERLINK("http://www.bestdrel.it/","www.bestdrel.it")</f>
        <v>www.bestdrel.it</v>
      </c>
      <c r="J3469" s="12">
        <v>660.678</v>
      </c>
      <c r="K3469" s="12">
        <v>660.678</v>
      </c>
      <c r="L3469" s="13">
        <v>648.65700000000004</v>
      </c>
      <c r="M3469" s="12">
        <v>-18.940000000000001</v>
      </c>
      <c r="N3469" s="12">
        <v>-18.940000000000001</v>
      </c>
      <c r="O3469" s="12">
        <v>46.884</v>
      </c>
      <c r="P3469" s="14" t="s">
        <v>18599</v>
      </c>
      <c r="Q3469" s="14" t="s">
        <v>18599</v>
      </c>
      <c r="R3469" s="12">
        <v>13</v>
      </c>
    </row>
    <row r="3470" spans="1:18" ht="17" customHeight="1" x14ac:dyDescent="0.15">
      <c r="A3470" s="8" t="s">
        <v>18652</v>
      </c>
      <c r="B3470" s="9" t="s">
        <v>18653</v>
      </c>
      <c r="C3470" s="8" t="s">
        <v>18654</v>
      </c>
      <c r="D3470" s="8" t="s">
        <v>18654</v>
      </c>
      <c r="E3470" s="8" t="s">
        <v>18655</v>
      </c>
      <c r="F3470" s="8" t="s">
        <v>18575</v>
      </c>
      <c r="G3470" s="8" t="s">
        <v>18656</v>
      </c>
      <c r="H3470" s="8" t="s">
        <v>18584</v>
      </c>
      <c r="I3470" s="8" t="str">
        <f>HYPERLINK("http://www.montelloshop.com/","www.montelloshop.com")</f>
        <v>www.montelloshop.com</v>
      </c>
      <c r="J3470" s="10">
        <v>654.745</v>
      </c>
      <c r="K3470" s="10">
        <v>654.745</v>
      </c>
      <c r="L3470" s="10">
        <v>645.01599999999996</v>
      </c>
      <c r="M3470" s="10">
        <v>43.268999999999998</v>
      </c>
      <c r="N3470" s="10">
        <v>43.268999999999998</v>
      </c>
      <c r="O3470" s="10">
        <v>48.301000000000002</v>
      </c>
      <c r="P3470" s="10">
        <v>9</v>
      </c>
      <c r="Q3470" s="10">
        <v>9</v>
      </c>
      <c r="R3470" s="10">
        <v>9</v>
      </c>
    </row>
    <row r="3471" spans="1:18" ht="17" customHeight="1" x14ac:dyDescent="0.15">
      <c r="A3471" s="11" t="s">
        <v>18657</v>
      </c>
      <c r="B3471" s="1" t="s">
        <v>18658</v>
      </c>
      <c r="C3471" s="11" t="s">
        <v>18659</v>
      </c>
      <c r="D3471" s="11" t="s">
        <v>18659</v>
      </c>
      <c r="E3471" s="11" t="s">
        <v>18660</v>
      </c>
      <c r="F3471" s="11" t="s">
        <v>18661</v>
      </c>
      <c r="G3471" s="11" t="s">
        <v>18662</v>
      </c>
      <c r="H3471" s="11" t="s">
        <v>18611</v>
      </c>
      <c r="I3471" s="11" t="str">
        <f>HYPERLINK("http://www.regasport.it/","www.regasport.it")</f>
        <v>www.regasport.it</v>
      </c>
      <c r="J3471" s="12">
        <v>491.88099999999997</v>
      </c>
      <c r="K3471" s="12">
        <v>491.88099999999997</v>
      </c>
      <c r="L3471" s="13">
        <v>644.83500000000004</v>
      </c>
      <c r="M3471" s="12">
        <v>19.658000000000001</v>
      </c>
      <c r="N3471" s="12">
        <v>19.658000000000001</v>
      </c>
      <c r="O3471" s="12">
        <v>41.109000000000002</v>
      </c>
      <c r="P3471" s="12">
        <v>7</v>
      </c>
      <c r="Q3471" s="12">
        <v>7</v>
      </c>
      <c r="R3471" s="12">
        <v>7</v>
      </c>
    </row>
    <row r="3472" spans="1:18" ht="17" customHeight="1" x14ac:dyDescent="0.15">
      <c r="A3472" s="8" t="s">
        <v>18663</v>
      </c>
      <c r="B3472" s="9" t="s">
        <v>18664</v>
      </c>
      <c r="C3472" s="8" t="s">
        <v>18665</v>
      </c>
      <c r="D3472" s="8" t="s">
        <v>18665</v>
      </c>
      <c r="E3472" s="8" t="s">
        <v>18666</v>
      </c>
      <c r="F3472" s="8" t="s">
        <v>18589</v>
      </c>
      <c r="G3472" s="8" t="s">
        <v>18667</v>
      </c>
      <c r="H3472" s="8" t="s">
        <v>18668</v>
      </c>
      <c r="I3472" s="8" t="str">
        <f>HYPERLINK("http://kamarpantaloni.com/","kamarpantaloni.com")</f>
        <v>kamarpantaloni.com</v>
      </c>
      <c r="J3472" s="10">
        <v>730.93299999999999</v>
      </c>
      <c r="K3472" s="10">
        <v>730.93299999999999</v>
      </c>
      <c r="L3472" s="10">
        <v>644.40599999999995</v>
      </c>
      <c r="M3472" s="10">
        <v>7.375</v>
      </c>
      <c r="N3472" s="10">
        <v>7.375</v>
      </c>
      <c r="O3472" s="10">
        <v>9.7590000000000003</v>
      </c>
      <c r="P3472" s="15" t="s">
        <v>18599</v>
      </c>
      <c r="Q3472" s="15" t="s">
        <v>18599</v>
      </c>
      <c r="R3472" s="15" t="s">
        <v>18599</v>
      </c>
    </row>
    <row r="3473" spans="1:18" ht="29.5" customHeight="1" x14ac:dyDescent="0.15">
      <c r="A3473" s="11" t="s">
        <v>18669</v>
      </c>
      <c r="B3473" s="1" t="s">
        <v>18670</v>
      </c>
      <c r="C3473" s="11" t="s">
        <v>18671</v>
      </c>
      <c r="D3473" s="11" t="s">
        <v>18671</v>
      </c>
      <c r="E3473" s="11" t="s">
        <v>18672</v>
      </c>
      <c r="F3473" s="11" t="s">
        <v>18673</v>
      </c>
      <c r="G3473" s="11" t="s">
        <v>18674</v>
      </c>
      <c r="H3473" s="11" t="s">
        <v>18623</v>
      </c>
      <c r="I3473" s="11" t="str">
        <f>HYPERLINK("http://www.confezionicricket.it/","www.confezionicricket.it")</f>
        <v>www.confezionicricket.it</v>
      </c>
      <c r="J3473" s="12">
        <v>506.10199999999998</v>
      </c>
      <c r="K3473" s="12">
        <v>506.10199999999998</v>
      </c>
      <c r="L3473" s="13">
        <v>644.17399999999998</v>
      </c>
      <c r="M3473" s="12">
        <v>-19.965</v>
      </c>
      <c r="N3473" s="12">
        <v>-19.965</v>
      </c>
      <c r="O3473" s="12">
        <v>6.2089999999999996</v>
      </c>
      <c r="P3473" s="12">
        <v>3</v>
      </c>
      <c r="Q3473" s="12">
        <v>3</v>
      </c>
      <c r="R3473" s="12">
        <v>3</v>
      </c>
    </row>
    <row r="3474" spans="1:18" ht="43" customHeight="1" x14ac:dyDescent="0.15">
      <c r="A3474" s="8" t="s">
        <v>18675</v>
      </c>
      <c r="B3474" s="9" t="s">
        <v>18676</v>
      </c>
      <c r="C3474" s="8" t="s">
        <v>18677</v>
      </c>
      <c r="D3474" s="8" t="s">
        <v>18677</v>
      </c>
      <c r="E3474" s="8" t="s">
        <v>18678</v>
      </c>
      <c r="F3474" s="8" t="s">
        <v>18575</v>
      </c>
      <c r="G3474" s="8" t="s">
        <v>18628</v>
      </c>
      <c r="H3474" s="8" t="s">
        <v>18629</v>
      </c>
      <c r="I3474" s="8" t="str">
        <f>HYPERLINK("http://calzaturificiolorenzo.it/","calzaturificiolorenzo.it")</f>
        <v>calzaturificiolorenzo.it</v>
      </c>
      <c r="J3474" s="10">
        <v>643.66099999999994</v>
      </c>
      <c r="K3474" s="15" t="s">
        <v>18599</v>
      </c>
      <c r="L3474" s="10">
        <v>643.66099999999994</v>
      </c>
      <c r="M3474" s="10">
        <v>0.71799999999999997</v>
      </c>
      <c r="N3474" s="15" t="s">
        <v>18599</v>
      </c>
      <c r="O3474" s="10">
        <v>0.71799999999999997</v>
      </c>
      <c r="P3474" s="10">
        <v>4</v>
      </c>
      <c r="Q3474" s="15" t="s">
        <v>18599</v>
      </c>
      <c r="R3474" s="10">
        <v>4</v>
      </c>
    </row>
    <row r="3475" spans="1:18" ht="29.5" customHeight="1" x14ac:dyDescent="0.15">
      <c r="A3475" s="11" t="s">
        <v>18679</v>
      </c>
      <c r="B3475" s="1" t="s">
        <v>18680</v>
      </c>
      <c r="C3475" s="11" t="s">
        <v>18681</v>
      </c>
      <c r="D3475" s="11" t="s">
        <v>18681</v>
      </c>
      <c r="E3475" s="11" t="s">
        <v>18682</v>
      </c>
      <c r="F3475" s="11" t="s">
        <v>18589</v>
      </c>
      <c r="G3475" s="11" t="s">
        <v>18605</v>
      </c>
      <c r="H3475" s="11" t="s">
        <v>18584</v>
      </c>
      <c r="I3475" s="11" t="str">
        <f>HYPERLINK("http://si-energy.it/","si-energy.it")</f>
        <v>si-energy.it</v>
      </c>
      <c r="J3475" s="12">
        <v>577.66200000000003</v>
      </c>
      <c r="K3475" s="12">
        <v>577.66200000000003</v>
      </c>
      <c r="L3475" s="13">
        <v>643.62199999999996</v>
      </c>
      <c r="M3475" s="12">
        <v>70.388999999999996</v>
      </c>
      <c r="N3475" s="12">
        <v>70.388999999999996</v>
      </c>
      <c r="O3475" s="12">
        <v>-1.875</v>
      </c>
      <c r="P3475" s="12">
        <v>7</v>
      </c>
      <c r="Q3475" s="12">
        <v>7</v>
      </c>
      <c r="R3475" s="12">
        <v>8</v>
      </c>
    </row>
    <row r="3476" spans="1:18" ht="17" customHeight="1" x14ac:dyDescent="0.15">
      <c r="A3476" s="8" t="s">
        <v>18683</v>
      </c>
      <c r="B3476" s="9" t="s">
        <v>18684</v>
      </c>
      <c r="C3476" s="8" t="s">
        <v>18685</v>
      </c>
      <c r="D3476" s="8" t="s">
        <v>18685</v>
      </c>
      <c r="E3476" s="8" t="s">
        <v>18686</v>
      </c>
      <c r="F3476" s="8" t="s">
        <v>18673</v>
      </c>
      <c r="G3476" s="8" t="s">
        <v>18605</v>
      </c>
      <c r="H3476" s="8" t="s">
        <v>18584</v>
      </c>
      <c r="I3476" s="8" t="str">
        <f>HYPERLINK("http://www.maglificiocristiana.it/","www.maglificiocristiana.it")</f>
        <v>www.maglificiocristiana.it</v>
      </c>
      <c r="J3476" s="10">
        <v>717.59</v>
      </c>
      <c r="K3476" s="10">
        <v>717.59</v>
      </c>
      <c r="L3476" s="10">
        <v>643.19799999999998</v>
      </c>
      <c r="M3476" s="10">
        <v>4.7590000000000003</v>
      </c>
      <c r="N3476" s="10">
        <v>4.7590000000000003</v>
      </c>
      <c r="O3476" s="10">
        <v>16.462</v>
      </c>
      <c r="P3476" s="10">
        <v>9</v>
      </c>
      <c r="Q3476" s="10">
        <v>9</v>
      </c>
      <c r="R3476" s="10">
        <v>9</v>
      </c>
    </row>
    <row r="3477" spans="1:18" ht="17" customHeight="1" x14ac:dyDescent="0.15">
      <c r="A3477" s="11" t="s">
        <v>18687</v>
      </c>
      <c r="B3477" s="1" t="s">
        <v>18688</v>
      </c>
      <c r="C3477" s="11" t="s">
        <v>18689</v>
      </c>
      <c r="D3477" s="11" t="s">
        <v>18689</v>
      </c>
      <c r="E3477" s="11" t="s">
        <v>18690</v>
      </c>
      <c r="F3477" s="11" t="s">
        <v>18575</v>
      </c>
      <c r="G3477" s="11" t="s">
        <v>18691</v>
      </c>
      <c r="H3477" s="11" t="s">
        <v>18668</v>
      </c>
      <c r="I3477" s="11" t="str">
        <f>HYPERLINK("http://www.ncub.it/","www.ncub.it")</f>
        <v>www.ncub.it</v>
      </c>
      <c r="J3477" s="12">
        <v>643.08600000000001</v>
      </c>
      <c r="K3477" s="14" t="s">
        <v>18599</v>
      </c>
      <c r="L3477" s="13">
        <v>643.08600000000001</v>
      </c>
      <c r="M3477" s="12">
        <v>16.274999999999999</v>
      </c>
      <c r="N3477" s="14" t="s">
        <v>18599</v>
      </c>
      <c r="O3477" s="12">
        <v>16.274999999999999</v>
      </c>
      <c r="P3477" s="12">
        <v>12</v>
      </c>
      <c r="Q3477" s="14" t="s">
        <v>18599</v>
      </c>
      <c r="R3477" s="12">
        <v>12</v>
      </c>
    </row>
    <row r="3478" spans="1:18" ht="17" customHeight="1" x14ac:dyDescent="0.15">
      <c r="A3478" s="8" t="s">
        <v>18692</v>
      </c>
      <c r="B3478" s="9" t="s">
        <v>18693</v>
      </c>
      <c r="C3478" s="8" t="s">
        <v>18694</v>
      </c>
      <c r="D3478" s="8" t="s">
        <v>18694</v>
      </c>
      <c r="E3478" s="8" t="s">
        <v>18695</v>
      </c>
      <c r="F3478" s="8" t="s">
        <v>18589</v>
      </c>
      <c r="G3478" s="8" t="s">
        <v>18696</v>
      </c>
      <c r="H3478" s="8" t="s">
        <v>18611</v>
      </c>
      <c r="I3478" s="8" t="str">
        <f>HYPERLINK("http://www.r-evenge.com/","www.r-evenge.com")</f>
        <v>www.r-evenge.com</v>
      </c>
      <c r="J3478" s="10">
        <v>1813.2460000000001</v>
      </c>
      <c r="K3478" s="10">
        <v>733.63699999999994</v>
      </c>
      <c r="L3478" s="10">
        <v>642.38599999999997</v>
      </c>
      <c r="M3478" s="10">
        <v>113.851</v>
      </c>
      <c r="N3478" s="10">
        <v>4.0270000000000001</v>
      </c>
      <c r="O3478" s="10">
        <v>-18.783000000000001</v>
      </c>
      <c r="P3478" s="10">
        <v>1</v>
      </c>
      <c r="Q3478" s="10">
        <v>2</v>
      </c>
      <c r="R3478" s="10">
        <v>2</v>
      </c>
    </row>
    <row r="3479" spans="1:18" ht="17" customHeight="1" x14ac:dyDescent="0.15">
      <c r="A3479" s="11" t="s">
        <v>18697</v>
      </c>
      <c r="B3479" s="1" t="s">
        <v>18698</v>
      </c>
      <c r="C3479" s="11" t="s">
        <v>18699</v>
      </c>
      <c r="D3479" s="11" t="s">
        <v>18699</v>
      </c>
      <c r="E3479" s="11" t="s">
        <v>18700</v>
      </c>
      <c r="F3479" s="11" t="s">
        <v>18645</v>
      </c>
      <c r="G3479" s="11" t="s">
        <v>18701</v>
      </c>
      <c r="H3479" s="11" t="s">
        <v>18623</v>
      </c>
      <c r="I3479" s="11" t="str">
        <f>HYPERLINK("http://www.fabianicinture.net/","www.fabianicinture.net")</f>
        <v>www.fabianicinture.net</v>
      </c>
      <c r="J3479" s="12">
        <v>242.12899999999999</v>
      </c>
      <c r="K3479" s="12">
        <v>242.12899999999999</v>
      </c>
      <c r="L3479" s="13">
        <v>640.601</v>
      </c>
      <c r="M3479" s="12">
        <v>-52.113</v>
      </c>
      <c r="N3479" s="12">
        <v>-52.113</v>
      </c>
      <c r="O3479" s="12">
        <v>-17.812000000000001</v>
      </c>
      <c r="P3479" s="14" t="s">
        <v>18599</v>
      </c>
      <c r="Q3479" s="14" t="s">
        <v>18599</v>
      </c>
      <c r="R3479" s="12">
        <v>17</v>
      </c>
    </row>
    <row r="3480" spans="1:18" ht="17" customHeight="1" x14ac:dyDescent="0.15">
      <c r="A3480" s="8" t="s">
        <v>18702</v>
      </c>
      <c r="B3480" s="9" t="s">
        <v>18703</v>
      </c>
      <c r="C3480" s="8" t="s">
        <v>18704</v>
      </c>
      <c r="D3480" s="8" t="s">
        <v>18704</v>
      </c>
      <c r="E3480" s="8" t="s">
        <v>18705</v>
      </c>
      <c r="F3480" s="8" t="s">
        <v>18621</v>
      </c>
      <c r="G3480" s="8" t="s">
        <v>18628</v>
      </c>
      <c r="H3480" s="8" t="s">
        <v>18629</v>
      </c>
      <c r="I3480" s="8" t="str">
        <f>HYPERLINK("http://www.italianheels.it/","www.italianheels.it")</f>
        <v>www.italianheels.it</v>
      </c>
      <c r="J3480" s="10">
        <v>717.55799999999999</v>
      </c>
      <c r="K3480" s="10">
        <v>717.55799999999999</v>
      </c>
      <c r="L3480" s="10">
        <v>640.07899999999995</v>
      </c>
      <c r="M3480" s="10">
        <v>21.273</v>
      </c>
      <c r="N3480" s="10">
        <v>21.273</v>
      </c>
      <c r="O3480" s="10">
        <v>27.736000000000001</v>
      </c>
      <c r="P3480" s="15" t="s">
        <v>18599</v>
      </c>
      <c r="Q3480" s="15" t="s">
        <v>18599</v>
      </c>
      <c r="R3480" s="10">
        <v>12</v>
      </c>
    </row>
    <row r="3481" spans="1:18" ht="17" customHeight="1" x14ac:dyDescent="0.15">
      <c r="A3481" s="11" t="s">
        <v>18706</v>
      </c>
      <c r="B3481" s="1" t="s">
        <v>18707</v>
      </c>
      <c r="C3481" s="11" t="s">
        <v>18708</v>
      </c>
      <c r="D3481" s="11" t="s">
        <v>18708</v>
      </c>
      <c r="E3481" s="11" t="s">
        <v>18709</v>
      </c>
      <c r="F3481" s="11" t="s">
        <v>18589</v>
      </c>
      <c r="G3481" s="11" t="s">
        <v>18710</v>
      </c>
      <c r="H3481" s="11" t="s">
        <v>18584</v>
      </c>
      <c r="I3481" s="11" t="str">
        <f>HYPERLINK("http://www.babycross.com/","www.babycross.com")</f>
        <v>www.babycross.com</v>
      </c>
      <c r="J3481" s="12">
        <v>638.71500000000003</v>
      </c>
      <c r="K3481" s="14" t="s">
        <v>18599</v>
      </c>
      <c r="L3481" s="13">
        <v>638.71500000000003</v>
      </c>
      <c r="M3481" s="12">
        <v>-356.96</v>
      </c>
      <c r="N3481" s="14" t="s">
        <v>18599</v>
      </c>
      <c r="O3481" s="12">
        <v>-356.96</v>
      </c>
      <c r="P3481" s="12">
        <v>6</v>
      </c>
      <c r="Q3481" s="14" t="s">
        <v>18599</v>
      </c>
      <c r="R3481" s="12">
        <v>6</v>
      </c>
    </row>
    <row r="3482" spans="1:18" ht="17" customHeight="1" x14ac:dyDescent="0.15">
      <c r="A3482" s="8" t="s">
        <v>18711</v>
      </c>
      <c r="B3482" s="9" t="s">
        <v>18712</v>
      </c>
      <c r="C3482" s="8" t="s">
        <v>18713</v>
      </c>
      <c r="D3482" s="8" t="s">
        <v>18713</v>
      </c>
      <c r="E3482" s="8" t="s">
        <v>18714</v>
      </c>
      <c r="F3482" s="8" t="s">
        <v>18715</v>
      </c>
      <c r="G3482" s="8" t="s">
        <v>18716</v>
      </c>
      <c r="H3482" s="8" t="s">
        <v>18640</v>
      </c>
      <c r="I3482" s="8" t="str">
        <f>HYPERLINK("http://www.yanga.it/","www.yanga.it")</f>
        <v>www.yanga.it</v>
      </c>
      <c r="J3482" s="10">
        <v>784.56600000000003</v>
      </c>
      <c r="K3482" s="10">
        <v>784.56600000000003</v>
      </c>
      <c r="L3482" s="10">
        <v>638.58600000000001</v>
      </c>
      <c r="M3482" s="10">
        <v>110.59699999999999</v>
      </c>
      <c r="N3482" s="10">
        <v>110.59699999999999</v>
      </c>
      <c r="O3482" s="10">
        <v>60.969000000000001</v>
      </c>
      <c r="P3482" s="10">
        <v>7</v>
      </c>
      <c r="Q3482" s="10">
        <v>7</v>
      </c>
      <c r="R3482" s="10">
        <v>6</v>
      </c>
    </row>
    <row r="3483" spans="1:18" ht="17" customHeight="1" x14ac:dyDescent="0.15">
      <c r="A3483" s="11" t="s">
        <v>18717</v>
      </c>
      <c r="B3483" s="1" t="s">
        <v>18718</v>
      </c>
      <c r="C3483" s="11" t="s">
        <v>18719</v>
      </c>
      <c r="D3483" s="11" t="s">
        <v>18719</v>
      </c>
      <c r="E3483" s="11" t="s">
        <v>18720</v>
      </c>
      <c r="F3483" s="11" t="s">
        <v>18575</v>
      </c>
      <c r="G3483" s="11" t="s">
        <v>18597</v>
      </c>
      <c r="H3483" s="11" t="s">
        <v>18598</v>
      </c>
      <c r="I3483" s="11" t="str">
        <f>HYPERLINK("http://www.tiffi.it/","www.tiffi.it")</f>
        <v>www.tiffi.it</v>
      </c>
      <c r="J3483" s="12">
        <v>654.23400000000004</v>
      </c>
      <c r="K3483" s="12">
        <v>654.23400000000004</v>
      </c>
      <c r="L3483" s="13">
        <v>637.88900000000001</v>
      </c>
      <c r="M3483" s="12">
        <v>-29.86</v>
      </c>
      <c r="N3483" s="12">
        <v>-29.86</v>
      </c>
      <c r="O3483" s="12">
        <v>-25.541</v>
      </c>
      <c r="P3483" s="12">
        <v>9</v>
      </c>
      <c r="Q3483" s="12">
        <v>9</v>
      </c>
      <c r="R3483" s="12">
        <v>13</v>
      </c>
    </row>
    <row r="3484" spans="1:18" ht="17" customHeight="1" x14ac:dyDescent="0.15">
      <c r="A3484" s="8" t="s">
        <v>18721</v>
      </c>
      <c r="B3484" s="9" t="s">
        <v>18722</v>
      </c>
      <c r="C3484" s="8" t="s">
        <v>18723</v>
      </c>
      <c r="D3484" s="8" t="s">
        <v>18723</v>
      </c>
      <c r="E3484" s="8" t="s">
        <v>18724</v>
      </c>
      <c r="F3484" s="8" t="s">
        <v>18582</v>
      </c>
      <c r="G3484" s="8" t="s">
        <v>18622</v>
      </c>
      <c r="H3484" s="8" t="s">
        <v>18623</v>
      </c>
      <c r="I3484" s="8" t="str">
        <f>HYPERLINK("http://garrett-grt.com/","garrett-grt.com")</f>
        <v>garrett-grt.com</v>
      </c>
      <c r="J3484" s="10">
        <v>940.46199999999999</v>
      </c>
      <c r="K3484" s="10">
        <v>940.46199999999999</v>
      </c>
      <c r="L3484" s="10">
        <v>637.452</v>
      </c>
      <c r="M3484" s="10">
        <v>41.604999999999997</v>
      </c>
      <c r="N3484" s="10">
        <v>41.604999999999997</v>
      </c>
      <c r="O3484" s="10">
        <v>-45.567999999999998</v>
      </c>
      <c r="P3484" s="15" t="s">
        <v>18599</v>
      </c>
      <c r="Q3484" s="15" t="s">
        <v>18599</v>
      </c>
      <c r="R3484" s="10">
        <v>2</v>
      </c>
    </row>
    <row r="3485" spans="1:18" ht="17" customHeight="1" x14ac:dyDescent="0.15">
      <c r="A3485" s="11" t="s">
        <v>18725</v>
      </c>
      <c r="B3485" s="1" t="s">
        <v>18726</v>
      </c>
      <c r="C3485" s="11" t="s">
        <v>18727</v>
      </c>
      <c r="D3485" s="11" t="s">
        <v>18727</v>
      </c>
      <c r="E3485" s="11" t="s">
        <v>18728</v>
      </c>
      <c r="F3485" s="11" t="s">
        <v>18673</v>
      </c>
      <c r="G3485" s="11" t="s">
        <v>18729</v>
      </c>
      <c r="H3485" s="11" t="s">
        <v>18629</v>
      </c>
      <c r="I3485" s="11" t="str">
        <f>HYPERLINK("http://www.maglieria-spendolini.com/","www.maglieria-spendolini.com")</f>
        <v>www.maglieria-spendolini.com</v>
      </c>
      <c r="J3485" s="12">
        <v>769.78499999999997</v>
      </c>
      <c r="K3485" s="12">
        <v>769.78499999999997</v>
      </c>
      <c r="L3485" s="13">
        <v>637.41</v>
      </c>
      <c r="M3485" s="12">
        <v>47.226999999999997</v>
      </c>
      <c r="N3485" s="12">
        <v>47.226999999999997</v>
      </c>
      <c r="O3485" s="12">
        <v>-8.4499999999999993</v>
      </c>
      <c r="P3485" s="12">
        <v>14</v>
      </c>
      <c r="Q3485" s="12">
        <v>14</v>
      </c>
      <c r="R3485" s="12">
        <v>16</v>
      </c>
    </row>
    <row r="3486" spans="1:18" ht="17" customHeight="1" x14ac:dyDescent="0.15">
      <c r="A3486" s="8" t="s">
        <v>18730</v>
      </c>
      <c r="B3486" s="9" t="s">
        <v>18731</v>
      </c>
      <c r="C3486" s="8" t="s">
        <v>18732</v>
      </c>
      <c r="D3486" s="8" t="s">
        <v>18732</v>
      </c>
      <c r="E3486" s="8" t="s">
        <v>18733</v>
      </c>
      <c r="F3486" s="8" t="s">
        <v>18616</v>
      </c>
      <c r="G3486" s="8" t="s">
        <v>18734</v>
      </c>
      <c r="H3486" s="8" t="s">
        <v>18735</v>
      </c>
      <c r="I3486" s="8" t="str">
        <f>HYPERLINK("http://www.claudiocutuli.com/","www.claudiocutuli.com")</f>
        <v>www.claudiocutuli.com</v>
      </c>
      <c r="J3486" s="10">
        <v>636.96100000000001</v>
      </c>
      <c r="K3486" s="15" t="s">
        <v>18599</v>
      </c>
      <c r="L3486" s="10">
        <v>636.96100000000001</v>
      </c>
      <c r="M3486" s="10">
        <v>3.1930000000000001</v>
      </c>
      <c r="N3486" s="15" t="s">
        <v>18599</v>
      </c>
      <c r="O3486" s="10">
        <v>3.1930000000000001</v>
      </c>
      <c r="P3486" s="10">
        <v>6</v>
      </c>
      <c r="Q3486" s="15" t="s">
        <v>18599</v>
      </c>
      <c r="R3486" s="10">
        <v>6</v>
      </c>
    </row>
    <row r="3487" spans="1:18" ht="29.5" customHeight="1" x14ac:dyDescent="0.15">
      <c r="A3487" s="11" t="s">
        <v>18736</v>
      </c>
      <c r="B3487" s="1" t="s">
        <v>18737</v>
      </c>
      <c r="C3487" s="11" t="s">
        <v>18738</v>
      </c>
      <c r="D3487" s="11" t="s">
        <v>18738</v>
      </c>
      <c r="E3487" s="11" t="s">
        <v>18739</v>
      </c>
      <c r="F3487" s="11" t="s">
        <v>18740</v>
      </c>
      <c r="G3487" s="11" t="s">
        <v>18622</v>
      </c>
      <c r="H3487" s="11" t="s">
        <v>18623</v>
      </c>
      <c r="I3487" s="11" t="str">
        <f>HYPERLINK("http://www.pellicceriacastellani.it/","www.pellicceriacastellani.it")</f>
        <v>www.pellicceriacastellani.it</v>
      </c>
      <c r="J3487" s="12">
        <v>540.50099999999998</v>
      </c>
      <c r="K3487" s="12">
        <v>540.50099999999998</v>
      </c>
      <c r="L3487" s="13">
        <v>635.53399999999999</v>
      </c>
      <c r="M3487" s="12">
        <v>18.568000000000001</v>
      </c>
      <c r="N3487" s="12">
        <v>18.568000000000001</v>
      </c>
      <c r="O3487" s="12">
        <v>23.513000000000002</v>
      </c>
      <c r="P3487" s="12">
        <v>4</v>
      </c>
      <c r="Q3487" s="12">
        <v>4</v>
      </c>
      <c r="R3487" s="12">
        <v>7</v>
      </c>
    </row>
    <row r="3488" spans="1:18" ht="17" customHeight="1" x14ac:dyDescent="0.15">
      <c r="A3488" s="8" t="s">
        <v>18741</v>
      </c>
      <c r="B3488" s="9" t="s">
        <v>18742</v>
      </c>
      <c r="C3488" s="8" t="s">
        <v>18743</v>
      </c>
      <c r="D3488" s="8" t="s">
        <v>18743</v>
      </c>
      <c r="E3488" s="8" t="s">
        <v>18744</v>
      </c>
      <c r="F3488" s="8" t="s">
        <v>18589</v>
      </c>
      <c r="G3488" s="8" t="s">
        <v>18597</v>
      </c>
      <c r="H3488" s="8" t="s">
        <v>18598</v>
      </c>
      <c r="I3488" s="8" t="str">
        <f>HYPERLINK("http://www.les-etoiles.it/","www.les-etoiles.it")</f>
        <v>www.les-etoiles.it</v>
      </c>
      <c r="J3488" s="10">
        <v>634.58500000000004</v>
      </c>
      <c r="K3488" s="15" t="s">
        <v>18599</v>
      </c>
      <c r="L3488" s="10">
        <v>634.58500000000004</v>
      </c>
      <c r="M3488" s="10">
        <v>-2.706</v>
      </c>
      <c r="N3488" s="15" t="s">
        <v>18599</v>
      </c>
      <c r="O3488" s="10">
        <v>-2.706</v>
      </c>
      <c r="P3488" s="10">
        <v>6</v>
      </c>
      <c r="Q3488" s="15" t="s">
        <v>18599</v>
      </c>
      <c r="R3488" s="10">
        <v>6</v>
      </c>
    </row>
    <row r="3489" spans="1:18" ht="17" customHeight="1" x14ac:dyDescent="0.15">
      <c r="A3489" s="11" t="s">
        <v>18745</v>
      </c>
      <c r="B3489" s="1" t="s">
        <v>18746</v>
      </c>
      <c r="C3489" s="11" t="s">
        <v>18747</v>
      </c>
      <c r="D3489" s="11" t="s">
        <v>18747</v>
      </c>
      <c r="E3489" s="11" t="s">
        <v>18748</v>
      </c>
      <c r="F3489" s="11" t="s">
        <v>18749</v>
      </c>
      <c r="G3489" s="11" t="s">
        <v>18750</v>
      </c>
      <c r="H3489" s="11" t="s">
        <v>18751</v>
      </c>
      <c r="I3489" s="11" t="str">
        <f>HYPERLINK("http://shop.nuovapr.it/","shop.nuovapr.it")</f>
        <v>shop.nuovapr.it</v>
      </c>
      <c r="J3489" s="12">
        <v>576.91800000000001</v>
      </c>
      <c r="K3489" s="12">
        <v>576.91800000000001</v>
      </c>
      <c r="L3489" s="13">
        <v>634.51599999999996</v>
      </c>
      <c r="M3489" s="12">
        <v>51.219000000000001</v>
      </c>
      <c r="N3489" s="12">
        <v>51.219000000000001</v>
      </c>
      <c r="O3489" s="12">
        <v>62.627000000000002</v>
      </c>
      <c r="P3489" s="14" t="s">
        <v>18752</v>
      </c>
      <c r="Q3489" s="14" t="s">
        <v>18752</v>
      </c>
      <c r="R3489" s="12">
        <v>1</v>
      </c>
    </row>
    <row r="3490" spans="1:18" ht="17" customHeight="1" x14ac:dyDescent="0.15">
      <c r="A3490" s="8" t="s">
        <v>18753</v>
      </c>
      <c r="B3490" s="9" t="s">
        <v>18754</v>
      </c>
      <c r="C3490" s="8" t="s">
        <v>18755</v>
      </c>
      <c r="D3490" s="8" t="s">
        <v>18755</v>
      </c>
      <c r="E3490" s="8" t="s">
        <v>18756</v>
      </c>
      <c r="F3490" s="8" t="s">
        <v>18757</v>
      </c>
      <c r="G3490" s="8" t="s">
        <v>18758</v>
      </c>
      <c r="H3490" s="8" t="s">
        <v>18759</v>
      </c>
      <c r="I3490" s="8" t="str">
        <f>HYPERLINK("http://www.magiamoda.it/","www.magiamoda.it")</f>
        <v>www.magiamoda.it</v>
      </c>
      <c r="J3490" s="10">
        <v>617.78300000000002</v>
      </c>
      <c r="K3490" s="10">
        <v>617.78300000000002</v>
      </c>
      <c r="L3490" s="10">
        <v>633.53800000000001</v>
      </c>
      <c r="M3490" s="10">
        <v>5.2889999999999997</v>
      </c>
      <c r="N3490" s="10">
        <v>5.2889999999999997</v>
      </c>
      <c r="O3490" s="10">
        <v>27.844999999999999</v>
      </c>
      <c r="P3490" s="15" t="s">
        <v>18752</v>
      </c>
      <c r="Q3490" s="15" t="s">
        <v>18752</v>
      </c>
      <c r="R3490" s="10">
        <v>7</v>
      </c>
    </row>
    <row r="3491" spans="1:18" ht="29.5" customHeight="1" x14ac:dyDescent="0.15">
      <c r="A3491" s="11" t="s">
        <v>18760</v>
      </c>
      <c r="B3491" s="1" t="s">
        <v>18761</v>
      </c>
      <c r="C3491" s="11" t="s">
        <v>18762</v>
      </c>
      <c r="D3491" s="11" t="s">
        <v>18762</v>
      </c>
      <c r="E3491" s="11" t="s">
        <v>18763</v>
      </c>
      <c r="F3491" s="11" t="s">
        <v>18764</v>
      </c>
      <c r="G3491" s="11" t="s">
        <v>18765</v>
      </c>
      <c r="H3491" s="11" t="s">
        <v>18759</v>
      </c>
      <c r="I3491" s="11" t="str">
        <f>HYPERLINK("http://www.officinabelts.com/","www.officinabelts.com")</f>
        <v>www.officinabelts.com</v>
      </c>
      <c r="J3491" s="12">
        <v>552.10799999999995</v>
      </c>
      <c r="K3491" s="12">
        <v>552.10799999999995</v>
      </c>
      <c r="L3491" s="13">
        <v>633.29300000000001</v>
      </c>
      <c r="M3491" s="12">
        <v>28.667999999999999</v>
      </c>
      <c r="N3491" s="12">
        <v>28.667999999999999</v>
      </c>
      <c r="O3491" s="12">
        <v>20.295000000000002</v>
      </c>
      <c r="P3491" s="14" t="s">
        <v>18752</v>
      </c>
      <c r="Q3491" s="14" t="s">
        <v>18752</v>
      </c>
      <c r="R3491" s="12">
        <v>6</v>
      </c>
    </row>
    <row r="3492" spans="1:18" ht="17" customHeight="1" x14ac:dyDescent="0.15">
      <c r="A3492" s="8" t="s">
        <v>18766</v>
      </c>
      <c r="B3492" s="9" t="s">
        <v>18767</v>
      </c>
      <c r="C3492" s="8" t="s">
        <v>18768</v>
      </c>
      <c r="D3492" s="8" t="s">
        <v>18768</v>
      </c>
      <c r="E3492" s="8" t="s">
        <v>18769</v>
      </c>
      <c r="F3492" s="8" t="s">
        <v>18770</v>
      </c>
      <c r="G3492" s="8" t="s">
        <v>18771</v>
      </c>
      <c r="H3492" s="8" t="s">
        <v>18772</v>
      </c>
      <c r="I3492" s="8" t="str">
        <f>HYPERLINK("http://www.runplast.it/","www.runplast.it")</f>
        <v>www.runplast.it</v>
      </c>
      <c r="J3492" s="10">
        <v>620.15</v>
      </c>
      <c r="K3492" s="10">
        <v>620.15</v>
      </c>
      <c r="L3492" s="10">
        <v>632.45000000000005</v>
      </c>
      <c r="M3492" s="10">
        <v>0.90700000000000003</v>
      </c>
      <c r="N3492" s="10">
        <v>0.90700000000000003</v>
      </c>
      <c r="O3492" s="10">
        <v>-53.168999999999997</v>
      </c>
      <c r="P3492" s="10">
        <v>16</v>
      </c>
      <c r="Q3492" s="10">
        <v>16</v>
      </c>
      <c r="R3492" s="10">
        <v>19</v>
      </c>
    </row>
    <row r="3493" spans="1:18" ht="17" customHeight="1" x14ac:dyDescent="0.15">
      <c r="A3493" s="11" t="s">
        <v>18773</v>
      </c>
      <c r="B3493" s="1" t="s">
        <v>18774</v>
      </c>
      <c r="C3493" s="11" t="s">
        <v>18775</v>
      </c>
      <c r="D3493" s="11" t="s">
        <v>18775</v>
      </c>
      <c r="E3493" s="11" t="s">
        <v>18776</v>
      </c>
      <c r="F3493" s="11" t="s">
        <v>18777</v>
      </c>
      <c r="G3493" s="11" t="s">
        <v>18778</v>
      </c>
      <c r="H3493" s="11" t="s">
        <v>18779</v>
      </c>
      <c r="I3493" s="11" t="str">
        <f>HYPERLINK("http://www.carrierisnc.it/","www.carrierisnc.it")</f>
        <v>www.carrierisnc.it</v>
      </c>
      <c r="J3493" s="12">
        <v>601.63699999999994</v>
      </c>
      <c r="K3493" s="12">
        <v>601.63699999999994</v>
      </c>
      <c r="L3493" s="13">
        <v>632.21600000000001</v>
      </c>
      <c r="M3493" s="12">
        <v>4.4870000000000001</v>
      </c>
      <c r="N3493" s="12">
        <v>4.4870000000000001</v>
      </c>
      <c r="O3493" s="12">
        <v>0.67800000000000005</v>
      </c>
      <c r="P3493" s="12">
        <v>11</v>
      </c>
      <c r="Q3493" s="12">
        <v>11</v>
      </c>
      <c r="R3493" s="12">
        <v>12</v>
      </c>
    </row>
    <row r="3494" spans="1:18" ht="17" customHeight="1" x14ac:dyDescent="0.15">
      <c r="A3494" s="8" t="s">
        <v>18780</v>
      </c>
      <c r="B3494" s="9" t="s">
        <v>18781</v>
      </c>
      <c r="C3494" s="8" t="s">
        <v>18782</v>
      </c>
      <c r="D3494" s="8" t="s">
        <v>18782</v>
      </c>
      <c r="E3494" s="8" t="s">
        <v>18783</v>
      </c>
      <c r="F3494" s="8" t="s">
        <v>18784</v>
      </c>
      <c r="G3494" s="8" t="s">
        <v>18765</v>
      </c>
      <c r="H3494" s="8" t="s">
        <v>18759</v>
      </c>
      <c r="I3494" s="8" t="str">
        <f>HYPERLINK("http://www.correalegloves.it/","www.correalegloves.it")</f>
        <v>www.correalegloves.it</v>
      </c>
      <c r="J3494" s="10">
        <v>529.83500000000004</v>
      </c>
      <c r="K3494" s="10">
        <v>529.83500000000004</v>
      </c>
      <c r="L3494" s="10">
        <v>631.82899999999995</v>
      </c>
      <c r="M3494" s="10">
        <v>14.012</v>
      </c>
      <c r="N3494" s="10">
        <v>14.012</v>
      </c>
      <c r="O3494" s="10">
        <v>22.565999999999999</v>
      </c>
      <c r="P3494" s="10">
        <v>3</v>
      </c>
      <c r="Q3494" s="10">
        <v>3</v>
      </c>
      <c r="R3494" s="10">
        <v>3</v>
      </c>
    </row>
    <row r="3495" spans="1:18" ht="17" customHeight="1" x14ac:dyDescent="0.15">
      <c r="A3495" s="11" t="s">
        <v>18785</v>
      </c>
      <c r="B3495" s="1" t="s">
        <v>18786</v>
      </c>
      <c r="C3495" s="11" t="s">
        <v>18787</v>
      </c>
      <c r="D3495" s="11" t="s">
        <v>18787</v>
      </c>
      <c r="E3495" s="11" t="s">
        <v>18788</v>
      </c>
      <c r="F3495" s="11" t="s">
        <v>18789</v>
      </c>
      <c r="G3495" s="11" t="s">
        <v>18790</v>
      </c>
      <c r="H3495" s="11" t="s">
        <v>18772</v>
      </c>
      <c r="I3495" s="11" t="str">
        <f>HYPERLINK("http://www.jffshoes.com/","www.jffshoes.com")</f>
        <v>www.jffshoes.com</v>
      </c>
      <c r="J3495" s="12">
        <v>611.01700000000005</v>
      </c>
      <c r="K3495" s="12">
        <v>611.01700000000005</v>
      </c>
      <c r="L3495" s="13">
        <v>631.30100000000004</v>
      </c>
      <c r="M3495" s="12">
        <v>0.86199999999999999</v>
      </c>
      <c r="N3495" s="12">
        <v>0.86199999999999999</v>
      </c>
      <c r="O3495" s="12">
        <v>3.57</v>
      </c>
      <c r="P3495" s="14" t="s">
        <v>18752</v>
      </c>
      <c r="Q3495" s="14" t="s">
        <v>18752</v>
      </c>
      <c r="R3495" s="12">
        <v>6</v>
      </c>
    </row>
    <row r="3496" spans="1:18" ht="17" customHeight="1" x14ac:dyDescent="0.15">
      <c r="A3496" s="8" t="s">
        <v>18791</v>
      </c>
      <c r="B3496" s="9" t="s">
        <v>18792</v>
      </c>
      <c r="C3496" s="8" t="s">
        <v>18793</v>
      </c>
      <c r="D3496" s="8" t="s">
        <v>18793</v>
      </c>
      <c r="E3496" s="8" t="s">
        <v>18794</v>
      </c>
      <c r="F3496" s="8" t="s">
        <v>18795</v>
      </c>
      <c r="G3496" s="8" t="s">
        <v>18796</v>
      </c>
      <c r="H3496" s="8" t="s">
        <v>18797</v>
      </c>
      <c r="I3496" s="8" t="str">
        <f>HYPERLINK("http://www.maglieriamm.it/","www.maglieriamm.it")</f>
        <v>www.maglieriamm.it</v>
      </c>
      <c r="J3496" s="10">
        <v>612.62199999999996</v>
      </c>
      <c r="K3496" s="10">
        <v>612.62199999999996</v>
      </c>
      <c r="L3496" s="10">
        <v>631.00900000000001</v>
      </c>
      <c r="M3496" s="10">
        <v>0.38600000000000001</v>
      </c>
      <c r="N3496" s="10">
        <v>0.38600000000000001</v>
      </c>
      <c r="O3496" s="10">
        <v>1.8360000000000001</v>
      </c>
      <c r="P3496" s="15" t="s">
        <v>18752</v>
      </c>
      <c r="Q3496" s="15" t="s">
        <v>18752</v>
      </c>
      <c r="R3496" s="10">
        <v>16</v>
      </c>
    </row>
    <row r="3497" spans="1:18" ht="17" customHeight="1" x14ac:dyDescent="0.15">
      <c r="A3497" s="11" t="s">
        <v>18798</v>
      </c>
      <c r="B3497" s="1" t="s">
        <v>18799</v>
      </c>
      <c r="C3497" s="11" t="s">
        <v>18800</v>
      </c>
      <c r="D3497" s="11" t="s">
        <v>18800</v>
      </c>
      <c r="E3497" s="11" t="s">
        <v>18801</v>
      </c>
      <c r="F3497" s="11" t="s">
        <v>18789</v>
      </c>
      <c r="G3497" s="11" t="s">
        <v>18790</v>
      </c>
      <c r="H3497" s="11" t="s">
        <v>18772</v>
      </c>
      <c r="I3497" s="11" t="str">
        <f>HYPERLINK("http://www.ilgrecocalzaturificio.com/","www.ilgrecocalzaturificio.com")</f>
        <v>www.ilgrecocalzaturificio.com</v>
      </c>
      <c r="J3497" s="12">
        <v>674.33799999999997</v>
      </c>
      <c r="K3497" s="12">
        <v>674.33799999999997</v>
      </c>
      <c r="L3497" s="13">
        <v>630.74900000000002</v>
      </c>
      <c r="M3497" s="12">
        <v>8.7149999999999999</v>
      </c>
      <c r="N3497" s="12">
        <v>8.7149999999999999</v>
      </c>
      <c r="O3497" s="12">
        <v>0.23499999999999999</v>
      </c>
      <c r="P3497" s="12">
        <v>3</v>
      </c>
      <c r="Q3497" s="12">
        <v>3</v>
      </c>
      <c r="R3497" s="12">
        <v>4</v>
      </c>
    </row>
    <row r="3498" spans="1:18" ht="17" customHeight="1" x14ac:dyDescent="0.15">
      <c r="A3498" s="8" t="s">
        <v>18802</v>
      </c>
      <c r="B3498" s="9" t="s">
        <v>18803</v>
      </c>
      <c r="C3498" s="8" t="s">
        <v>18804</v>
      </c>
      <c r="D3498" s="8" t="s">
        <v>18804</v>
      </c>
      <c r="E3498" s="8" t="s">
        <v>18805</v>
      </c>
      <c r="F3498" s="8" t="s">
        <v>18806</v>
      </c>
      <c r="G3498" s="8" t="s">
        <v>18807</v>
      </c>
      <c r="H3498" s="8" t="s">
        <v>18808</v>
      </c>
      <c r="I3498" s="8" t="str">
        <f>HYPERLINK("http://www.ghiblisrl.com/","www.ghiblisrl.com")</f>
        <v>www.ghiblisrl.com</v>
      </c>
      <c r="J3498" s="10">
        <v>730.84900000000005</v>
      </c>
      <c r="K3498" s="10">
        <v>730.84900000000005</v>
      </c>
      <c r="L3498" s="10">
        <v>630.40800000000002</v>
      </c>
      <c r="M3498" s="10">
        <v>28.327000000000002</v>
      </c>
      <c r="N3498" s="10">
        <v>28.327000000000002</v>
      </c>
      <c r="O3498" s="10">
        <v>17.042999999999999</v>
      </c>
      <c r="P3498" s="10">
        <v>9</v>
      </c>
      <c r="Q3498" s="10">
        <v>9</v>
      </c>
      <c r="R3498" s="10">
        <v>10</v>
      </c>
    </row>
    <row r="3499" spans="1:18" ht="17" customHeight="1" x14ac:dyDescent="0.15">
      <c r="A3499" s="11" t="s">
        <v>18809</v>
      </c>
      <c r="B3499" s="1" t="s">
        <v>18810</v>
      </c>
      <c r="C3499" s="11" t="s">
        <v>18811</v>
      </c>
      <c r="D3499" s="11" t="s">
        <v>18811</v>
      </c>
      <c r="E3499" s="11" t="s">
        <v>18812</v>
      </c>
      <c r="F3499" s="11" t="s">
        <v>18813</v>
      </c>
      <c r="G3499" s="11" t="s">
        <v>18807</v>
      </c>
      <c r="H3499" s="11" t="s">
        <v>18808</v>
      </c>
      <c r="I3499" s="11" t="str">
        <f>HYPERLINK("http://www.clararossi.it/","www.clararossi.it")</f>
        <v>www.clararossi.it</v>
      </c>
      <c r="J3499" s="12">
        <v>660.447</v>
      </c>
      <c r="K3499" s="12">
        <v>660.447</v>
      </c>
      <c r="L3499" s="13">
        <v>629.19000000000005</v>
      </c>
      <c r="M3499" s="12">
        <v>-7.9329999999999998</v>
      </c>
      <c r="N3499" s="12">
        <v>-7.9329999999999998</v>
      </c>
      <c r="O3499" s="12">
        <v>0.76600000000000001</v>
      </c>
      <c r="P3499" s="12">
        <v>3</v>
      </c>
      <c r="Q3499" s="12">
        <v>3</v>
      </c>
      <c r="R3499" s="12">
        <v>3</v>
      </c>
    </row>
    <row r="3500" spans="1:18" ht="17" customHeight="1" x14ac:dyDescent="0.15">
      <c r="A3500" s="8" t="s">
        <v>18814</v>
      </c>
      <c r="B3500" s="9" t="s">
        <v>18815</v>
      </c>
      <c r="C3500" s="8" t="s">
        <v>18816</v>
      </c>
      <c r="D3500" s="8" t="s">
        <v>18816</v>
      </c>
      <c r="E3500" s="8" t="s">
        <v>18817</v>
      </c>
      <c r="F3500" s="8" t="s">
        <v>18818</v>
      </c>
      <c r="G3500" s="8" t="s">
        <v>18819</v>
      </c>
      <c r="H3500" s="8" t="s">
        <v>18820</v>
      </c>
      <c r="I3500" s="8" t="str">
        <f>HYPERLINK("http://www.tricotharden.com/","www.tricotharden.com")</f>
        <v>www.tricotharden.com</v>
      </c>
      <c r="J3500" s="10">
        <v>668.32799999999997</v>
      </c>
      <c r="K3500" s="10">
        <v>668.32799999999997</v>
      </c>
      <c r="L3500" s="10">
        <v>629.01</v>
      </c>
      <c r="M3500" s="10">
        <v>0.51100000000000001</v>
      </c>
      <c r="N3500" s="10">
        <v>0.51100000000000001</v>
      </c>
      <c r="O3500" s="10">
        <v>-28.306999999999999</v>
      </c>
      <c r="P3500" s="10">
        <v>13</v>
      </c>
      <c r="Q3500" s="10">
        <v>13</v>
      </c>
      <c r="R3500" s="10">
        <v>13</v>
      </c>
    </row>
    <row r="3501" spans="1:18" ht="17" customHeight="1" x14ac:dyDescent="0.15">
      <c r="A3501" s="11" t="s">
        <v>18821</v>
      </c>
      <c r="B3501" s="1" t="s">
        <v>18822</v>
      </c>
      <c r="C3501" s="11" t="s">
        <v>18823</v>
      </c>
      <c r="D3501" s="11" t="s">
        <v>18823</v>
      </c>
      <c r="E3501" s="11" t="s">
        <v>18824</v>
      </c>
      <c r="F3501" s="11" t="s">
        <v>18770</v>
      </c>
      <c r="G3501" s="11" t="s">
        <v>18825</v>
      </c>
      <c r="H3501" s="11" t="s">
        <v>18808</v>
      </c>
      <c r="I3501" s="11" t="str">
        <f>HYPERLINK("http://www.grossisrl.com/","www.grossisrl.com")</f>
        <v>www.grossisrl.com</v>
      </c>
      <c r="J3501" s="12">
        <v>328.02600000000001</v>
      </c>
      <c r="K3501" s="12">
        <v>328.02600000000001</v>
      </c>
      <c r="L3501" s="13">
        <v>626.64700000000005</v>
      </c>
      <c r="M3501" s="12">
        <v>-60.116999999999997</v>
      </c>
      <c r="N3501" s="12">
        <v>-60.116999999999997</v>
      </c>
      <c r="O3501" s="12">
        <v>14.202</v>
      </c>
      <c r="P3501" s="12">
        <v>4</v>
      </c>
      <c r="Q3501" s="12">
        <v>4</v>
      </c>
      <c r="R3501" s="12">
        <v>3</v>
      </c>
    </row>
    <row r="3502" spans="1:18" ht="17" customHeight="1" x14ac:dyDescent="0.15">
      <c r="A3502" s="8" t="s">
        <v>18826</v>
      </c>
      <c r="B3502" s="9" t="s">
        <v>18827</v>
      </c>
      <c r="C3502" s="8" t="s">
        <v>18828</v>
      </c>
      <c r="D3502" s="8" t="s">
        <v>18828</v>
      </c>
      <c r="E3502" s="8" t="s">
        <v>18829</v>
      </c>
      <c r="F3502" s="8" t="s">
        <v>18830</v>
      </c>
      <c r="G3502" s="8" t="s">
        <v>18825</v>
      </c>
      <c r="H3502" s="8" t="s">
        <v>18808</v>
      </c>
      <c r="I3502" s="8" t="str">
        <f>HYPERLINK("http://www.ilmaplast.it/","www.ilmaplast.it")</f>
        <v>www.ilmaplast.it</v>
      </c>
      <c r="J3502" s="10">
        <v>949.00199999999995</v>
      </c>
      <c r="K3502" s="10">
        <v>949.00199999999995</v>
      </c>
      <c r="L3502" s="10">
        <v>626.45899999999995</v>
      </c>
      <c r="M3502" s="10">
        <v>77.921000000000006</v>
      </c>
      <c r="N3502" s="10">
        <v>77.921000000000006</v>
      </c>
      <c r="O3502" s="10">
        <v>110.57899999999999</v>
      </c>
      <c r="P3502" s="15" t="s">
        <v>18752</v>
      </c>
      <c r="Q3502" s="15" t="s">
        <v>18752</v>
      </c>
      <c r="R3502" s="10">
        <v>3</v>
      </c>
    </row>
    <row r="3503" spans="1:18" ht="17" customHeight="1" x14ac:dyDescent="0.15">
      <c r="A3503" s="11" t="s">
        <v>18831</v>
      </c>
      <c r="B3503" s="1" t="s">
        <v>18832</v>
      </c>
      <c r="C3503" s="11" t="s">
        <v>18833</v>
      </c>
      <c r="D3503" s="11" t="s">
        <v>18833</v>
      </c>
      <c r="E3503" s="11" t="s">
        <v>18834</v>
      </c>
      <c r="F3503" s="11" t="s">
        <v>18835</v>
      </c>
      <c r="G3503" s="11" t="s">
        <v>18836</v>
      </c>
      <c r="H3503" s="11" t="s">
        <v>18808</v>
      </c>
      <c r="I3503" s="11" t="str">
        <f>HYPERLINK("http://maglificiotoscano.it/","maglificiotoscano.it")</f>
        <v>maglificiotoscano.it</v>
      </c>
      <c r="J3503" s="12">
        <v>1135.8869999999999</v>
      </c>
      <c r="K3503" s="12">
        <v>1135.8869999999999</v>
      </c>
      <c r="L3503" s="13">
        <v>625.93100000000004</v>
      </c>
      <c r="M3503" s="12">
        <v>-95.991</v>
      </c>
      <c r="N3503" s="12">
        <v>-95.991</v>
      </c>
      <c r="O3503" s="12">
        <v>9.9380000000000006</v>
      </c>
      <c r="P3503" s="12">
        <v>1</v>
      </c>
      <c r="Q3503" s="12">
        <v>1</v>
      </c>
      <c r="R3503" s="12">
        <v>1</v>
      </c>
    </row>
    <row r="3504" spans="1:18" ht="17" customHeight="1" x14ac:dyDescent="0.15">
      <c r="A3504" s="8" t="s">
        <v>18837</v>
      </c>
      <c r="B3504" s="9" t="s">
        <v>18838</v>
      </c>
      <c r="C3504" s="8" t="s">
        <v>18839</v>
      </c>
      <c r="D3504" s="8" t="s">
        <v>18839</v>
      </c>
      <c r="E3504" s="8" t="s">
        <v>18840</v>
      </c>
      <c r="F3504" s="8" t="s">
        <v>18757</v>
      </c>
      <c r="G3504" s="8" t="s">
        <v>18825</v>
      </c>
      <c r="H3504" s="8" t="s">
        <v>18808</v>
      </c>
      <c r="I3504" s="8" t="str">
        <f>HYPERLINK("http://www.teorematexile.com/","www.teorematexile.com")</f>
        <v>www.teorematexile.com</v>
      </c>
      <c r="J3504" s="10">
        <v>625.93700000000001</v>
      </c>
      <c r="K3504" s="15" t="s">
        <v>18752</v>
      </c>
      <c r="L3504" s="10">
        <v>625.93700000000001</v>
      </c>
      <c r="M3504" s="10">
        <v>60.21</v>
      </c>
      <c r="N3504" s="15" t="s">
        <v>18752</v>
      </c>
      <c r="O3504" s="10">
        <v>60.21</v>
      </c>
      <c r="P3504" s="10">
        <v>0</v>
      </c>
      <c r="Q3504" s="15" t="s">
        <v>18752</v>
      </c>
      <c r="R3504" s="10">
        <v>0</v>
      </c>
    </row>
    <row r="3505" spans="1:18" ht="17" customHeight="1" x14ac:dyDescent="0.15">
      <c r="A3505" s="11" t="s">
        <v>18841</v>
      </c>
      <c r="B3505" s="1" t="s">
        <v>18842</v>
      </c>
      <c r="C3505" s="11" t="s">
        <v>18843</v>
      </c>
      <c r="D3505" s="11" t="s">
        <v>18843</v>
      </c>
      <c r="E3505" s="11" t="s">
        <v>18844</v>
      </c>
      <c r="F3505" s="11" t="s">
        <v>18784</v>
      </c>
      <c r="G3505" s="11" t="s">
        <v>18845</v>
      </c>
      <c r="H3505" s="11" t="s">
        <v>18846</v>
      </c>
      <c r="I3505" s="11" t="str">
        <f>HYPERLINK("http://www.philomoda.com/","www.philomoda.com")</f>
        <v>www.philomoda.com</v>
      </c>
      <c r="J3505" s="12">
        <v>517.15200000000004</v>
      </c>
      <c r="K3505" s="12">
        <v>517.15200000000004</v>
      </c>
      <c r="L3505" s="13">
        <v>625.46100000000001</v>
      </c>
      <c r="M3505" s="12">
        <v>1E-3</v>
      </c>
      <c r="N3505" s="12">
        <v>1E-3</v>
      </c>
      <c r="O3505" s="12">
        <v>-2.4609999999999999</v>
      </c>
      <c r="P3505" s="12">
        <v>11</v>
      </c>
      <c r="Q3505" s="12">
        <v>11</v>
      </c>
      <c r="R3505" s="12">
        <v>9</v>
      </c>
    </row>
    <row r="3506" spans="1:18" ht="17" customHeight="1" x14ac:dyDescent="0.15">
      <c r="A3506" s="8" t="s">
        <v>18847</v>
      </c>
      <c r="B3506" s="9" t="s">
        <v>18848</v>
      </c>
      <c r="C3506" s="8" t="s">
        <v>18849</v>
      </c>
      <c r="D3506" s="8" t="s">
        <v>18849</v>
      </c>
      <c r="E3506" s="8" t="s">
        <v>18850</v>
      </c>
      <c r="F3506" s="8" t="s">
        <v>18813</v>
      </c>
      <c r="G3506" s="8" t="s">
        <v>18851</v>
      </c>
      <c r="H3506" s="8" t="s">
        <v>18779</v>
      </c>
      <c r="I3506" s="8" t="str">
        <f>HYPERLINK("http://www.margaritamodamare.it/","www.margaritamodamare.it")</f>
        <v>www.margaritamodamare.it</v>
      </c>
      <c r="J3506" s="10">
        <v>610.51199999999994</v>
      </c>
      <c r="K3506" s="10">
        <v>610.51199999999994</v>
      </c>
      <c r="L3506" s="10">
        <v>625.22799999999995</v>
      </c>
      <c r="M3506" s="10">
        <v>-5.8860000000000001</v>
      </c>
      <c r="N3506" s="10">
        <v>-5.8860000000000001</v>
      </c>
      <c r="O3506" s="10">
        <v>-31.122</v>
      </c>
      <c r="P3506" s="10">
        <v>4</v>
      </c>
      <c r="Q3506" s="10">
        <v>4</v>
      </c>
      <c r="R3506" s="10">
        <v>9</v>
      </c>
    </row>
    <row r="3507" spans="1:18" ht="17" customHeight="1" x14ac:dyDescent="0.15">
      <c r="A3507" s="11" t="s">
        <v>18852</v>
      </c>
      <c r="B3507" s="1" t="s">
        <v>18853</v>
      </c>
      <c r="C3507" s="11" t="s">
        <v>18854</v>
      </c>
      <c r="D3507" s="11" t="s">
        <v>18854</v>
      </c>
      <c r="E3507" s="11" t="s">
        <v>18855</v>
      </c>
      <c r="F3507" s="11" t="s">
        <v>18813</v>
      </c>
      <c r="G3507" s="11" t="s">
        <v>18856</v>
      </c>
      <c r="H3507" s="11" t="s">
        <v>18772</v>
      </c>
      <c r="I3507" s="11" t="str">
        <f>HYPERLINK("http://www.clarysrl.it/","www.clarysrl.it")</f>
        <v>www.clarysrl.it</v>
      </c>
      <c r="J3507" s="12">
        <v>612.12</v>
      </c>
      <c r="K3507" s="12">
        <v>612.12</v>
      </c>
      <c r="L3507" s="13">
        <v>625.07399999999996</v>
      </c>
      <c r="M3507" s="12">
        <v>0.77800000000000002</v>
      </c>
      <c r="N3507" s="12">
        <v>0.77800000000000002</v>
      </c>
      <c r="O3507" s="12">
        <v>0.47299999999999998</v>
      </c>
      <c r="P3507" s="14" t="s">
        <v>18752</v>
      </c>
      <c r="Q3507" s="14" t="s">
        <v>18752</v>
      </c>
      <c r="R3507" s="12">
        <v>9</v>
      </c>
    </row>
    <row r="3508" spans="1:18" ht="17" customHeight="1" x14ac:dyDescent="0.15">
      <c r="A3508" s="8" t="s">
        <v>18857</v>
      </c>
      <c r="B3508" s="9" t="s">
        <v>18858</v>
      </c>
      <c r="C3508" s="8" t="s">
        <v>18859</v>
      </c>
      <c r="D3508" s="8" t="s">
        <v>18859</v>
      </c>
      <c r="E3508" s="8" t="s">
        <v>18860</v>
      </c>
      <c r="F3508" s="8" t="s">
        <v>18835</v>
      </c>
      <c r="G3508" s="8" t="s">
        <v>18861</v>
      </c>
      <c r="H3508" s="8" t="s">
        <v>18846</v>
      </c>
      <c r="I3508" s="8" t="str">
        <f>HYPERLINK("http://www.angelitricot.it/","www.angelitricot.it")</f>
        <v>www.angelitricot.it</v>
      </c>
      <c r="J3508" s="10">
        <v>472.26499999999999</v>
      </c>
      <c r="K3508" s="10">
        <v>472.26499999999999</v>
      </c>
      <c r="L3508" s="10">
        <v>623.28599999999994</v>
      </c>
      <c r="M3508" s="10">
        <v>16.905000000000001</v>
      </c>
      <c r="N3508" s="10">
        <v>16.905000000000001</v>
      </c>
      <c r="O3508" s="10">
        <v>38.146000000000001</v>
      </c>
      <c r="P3508" s="15" t="s">
        <v>18752</v>
      </c>
      <c r="Q3508" s="15" t="s">
        <v>18752</v>
      </c>
      <c r="R3508" s="10">
        <v>0</v>
      </c>
    </row>
    <row r="3509" spans="1:18" ht="17" customHeight="1" x14ac:dyDescent="0.15">
      <c r="A3509" s="11" t="s">
        <v>18862</v>
      </c>
      <c r="B3509" s="1" t="s">
        <v>18863</v>
      </c>
      <c r="C3509" s="11" t="s">
        <v>18864</v>
      </c>
      <c r="D3509" s="11" t="s">
        <v>18864</v>
      </c>
      <c r="E3509" s="11" t="s">
        <v>18865</v>
      </c>
      <c r="F3509" s="11" t="s">
        <v>18757</v>
      </c>
      <c r="G3509" s="11" t="s">
        <v>18866</v>
      </c>
      <c r="H3509" s="11" t="s">
        <v>18779</v>
      </c>
      <c r="I3509" s="11" t="str">
        <f>HYPERLINK("http://www.casarotti.it/","www.casarotti.it")</f>
        <v>www.casarotti.it</v>
      </c>
      <c r="J3509" s="12">
        <v>523.41200000000003</v>
      </c>
      <c r="K3509" s="12">
        <v>523.41200000000003</v>
      </c>
      <c r="L3509" s="13">
        <v>623.18100000000004</v>
      </c>
      <c r="M3509" s="12">
        <v>-31.603000000000002</v>
      </c>
      <c r="N3509" s="12">
        <v>-31.603000000000002</v>
      </c>
      <c r="O3509" s="12">
        <v>1.085</v>
      </c>
      <c r="P3509" s="12">
        <v>6</v>
      </c>
      <c r="Q3509" s="12">
        <v>6</v>
      </c>
      <c r="R3509" s="12">
        <v>6</v>
      </c>
    </row>
    <row r="3510" spans="1:18" ht="43" customHeight="1" x14ac:dyDescent="0.15">
      <c r="A3510" s="8" t="s">
        <v>18867</v>
      </c>
      <c r="B3510" s="9" t="s">
        <v>18868</v>
      </c>
      <c r="C3510" s="8" t="s">
        <v>18869</v>
      </c>
      <c r="D3510" s="8" t="s">
        <v>18869</v>
      </c>
      <c r="E3510" s="8" t="s">
        <v>18870</v>
      </c>
      <c r="F3510" s="8" t="s">
        <v>18795</v>
      </c>
      <c r="G3510" s="8" t="s">
        <v>18871</v>
      </c>
      <c r="H3510" s="8" t="s">
        <v>18872</v>
      </c>
      <c r="I3510" s="8" t="str">
        <f>HYPERLINK("http://ctlafenice.wixsite.com/","ctlafenice.wixsite.com")</f>
        <v>ctlafenice.wixsite.com</v>
      </c>
      <c r="J3510" s="10">
        <v>544.55100000000004</v>
      </c>
      <c r="K3510" s="10">
        <v>544.55100000000004</v>
      </c>
      <c r="L3510" s="10">
        <v>623.04</v>
      </c>
      <c r="M3510" s="10">
        <v>2.1309999999999998</v>
      </c>
      <c r="N3510" s="10">
        <v>2.1309999999999998</v>
      </c>
      <c r="O3510" s="10">
        <v>-0.89300000000000002</v>
      </c>
      <c r="P3510" s="15" t="s">
        <v>18752</v>
      </c>
      <c r="Q3510" s="15" t="s">
        <v>18752</v>
      </c>
      <c r="R3510" s="10">
        <v>29</v>
      </c>
    </row>
    <row r="3511" spans="1:18" ht="17" customHeight="1" x14ac:dyDescent="0.15">
      <c r="A3511" s="11" t="s">
        <v>18873</v>
      </c>
      <c r="B3511" s="1" t="s">
        <v>18874</v>
      </c>
      <c r="C3511" s="11" t="s">
        <v>18875</v>
      </c>
      <c r="D3511" s="11" t="s">
        <v>18875</v>
      </c>
      <c r="E3511" s="11" t="s">
        <v>18876</v>
      </c>
      <c r="F3511" s="11" t="s">
        <v>18770</v>
      </c>
      <c r="G3511" s="11" t="s">
        <v>18877</v>
      </c>
      <c r="H3511" s="11" t="s">
        <v>18779</v>
      </c>
      <c r="I3511" s="11" t="str">
        <f>HYPERLINK("http://www.deltasuole.com/","www.deltasuole.com")</f>
        <v>www.deltasuole.com</v>
      </c>
      <c r="J3511" s="12">
        <v>522.50599999999997</v>
      </c>
      <c r="K3511" s="12">
        <v>522.50599999999997</v>
      </c>
      <c r="L3511" s="13">
        <v>622.72</v>
      </c>
      <c r="M3511" s="12">
        <v>10.371</v>
      </c>
      <c r="N3511" s="12">
        <v>10.371</v>
      </c>
      <c r="O3511" s="12">
        <v>10.867000000000001</v>
      </c>
      <c r="P3511" s="12">
        <v>5</v>
      </c>
      <c r="Q3511" s="12">
        <v>5</v>
      </c>
      <c r="R3511" s="12">
        <v>7</v>
      </c>
    </row>
    <row r="3512" spans="1:18" ht="17" customHeight="1" x14ac:dyDescent="0.15">
      <c r="A3512" s="8" t="s">
        <v>18878</v>
      </c>
      <c r="B3512" s="9" t="s">
        <v>18879</v>
      </c>
      <c r="C3512" s="8" t="s">
        <v>18880</v>
      </c>
      <c r="D3512" s="8" t="s">
        <v>18880</v>
      </c>
      <c r="E3512" s="8" t="s">
        <v>18881</v>
      </c>
      <c r="F3512" s="8" t="s">
        <v>18882</v>
      </c>
      <c r="G3512" s="8" t="s">
        <v>18807</v>
      </c>
      <c r="H3512" s="8" t="s">
        <v>18808</v>
      </c>
      <c r="I3512" s="8" t="str">
        <f>HYPERLINK("http://www.marcodelforte.it/","www.marcodelforte.it")</f>
        <v>www.marcodelforte.it</v>
      </c>
      <c r="J3512" s="10">
        <v>740.93700000000001</v>
      </c>
      <c r="K3512" s="10">
        <v>740.93700000000001</v>
      </c>
      <c r="L3512" s="10">
        <v>622.32100000000003</v>
      </c>
      <c r="M3512" s="10">
        <v>21.178000000000001</v>
      </c>
      <c r="N3512" s="10">
        <v>21.178000000000001</v>
      </c>
      <c r="O3512" s="10">
        <v>21.088000000000001</v>
      </c>
      <c r="P3512" s="10">
        <v>3</v>
      </c>
      <c r="Q3512" s="10">
        <v>3</v>
      </c>
      <c r="R3512" s="10">
        <v>3</v>
      </c>
    </row>
    <row r="3513" spans="1:18" ht="17" customHeight="1" x14ac:dyDescent="0.15">
      <c r="A3513" s="11" t="s">
        <v>18883</v>
      </c>
      <c r="B3513" s="1" t="s">
        <v>18884</v>
      </c>
      <c r="C3513" s="11" t="s">
        <v>18885</v>
      </c>
      <c r="D3513" s="11" t="s">
        <v>18885</v>
      </c>
      <c r="E3513" s="11" t="s">
        <v>18886</v>
      </c>
      <c r="F3513" s="11" t="s">
        <v>18887</v>
      </c>
      <c r="G3513" s="11" t="s">
        <v>18888</v>
      </c>
      <c r="H3513" s="11" t="s">
        <v>18820</v>
      </c>
      <c r="I3513" s="11" t="str">
        <f>HYPERLINK("http://www.geegosrl.it/","www.geegosrl.it")</f>
        <v>www.geegosrl.it</v>
      </c>
      <c r="J3513" s="12">
        <v>613.18499999999995</v>
      </c>
      <c r="K3513" s="12">
        <v>613.18499999999995</v>
      </c>
      <c r="L3513" s="13">
        <v>620.71</v>
      </c>
      <c r="M3513" s="12">
        <v>89.927000000000007</v>
      </c>
      <c r="N3513" s="12">
        <v>89.927000000000007</v>
      </c>
      <c r="O3513" s="12">
        <v>66.201999999999998</v>
      </c>
      <c r="P3513" s="12">
        <v>9</v>
      </c>
      <c r="Q3513" s="12">
        <v>9</v>
      </c>
      <c r="R3513" s="12">
        <v>11</v>
      </c>
    </row>
    <row r="3514" spans="1:18" ht="17" customHeight="1" x14ac:dyDescent="0.15">
      <c r="A3514" s="8" t="s">
        <v>18889</v>
      </c>
      <c r="B3514" s="9" t="s">
        <v>18890</v>
      </c>
      <c r="C3514" s="8" t="s">
        <v>18891</v>
      </c>
      <c r="D3514" s="8" t="s">
        <v>18891</v>
      </c>
      <c r="E3514" s="8" t="s">
        <v>18892</v>
      </c>
      <c r="F3514" s="8" t="s">
        <v>18770</v>
      </c>
      <c r="G3514" s="8" t="s">
        <v>18790</v>
      </c>
      <c r="H3514" s="8" t="s">
        <v>18772</v>
      </c>
      <c r="I3514" s="8" t="str">
        <f>HYPERLINK("http://www.r79.it/","www.r79.it")</f>
        <v>www.r79.it</v>
      </c>
      <c r="J3514" s="10">
        <v>896.27499999999998</v>
      </c>
      <c r="K3514" s="10">
        <v>896.27499999999998</v>
      </c>
      <c r="L3514" s="10">
        <v>619.76700000000005</v>
      </c>
      <c r="M3514" s="10">
        <v>167.928</v>
      </c>
      <c r="N3514" s="10">
        <v>167.928</v>
      </c>
      <c r="O3514" s="10">
        <v>45.710999999999999</v>
      </c>
      <c r="P3514" s="15" t="s">
        <v>18752</v>
      </c>
      <c r="Q3514" s="15" t="s">
        <v>18752</v>
      </c>
      <c r="R3514" s="10">
        <v>5</v>
      </c>
    </row>
    <row r="3515" spans="1:18" ht="17" customHeight="1" x14ac:dyDescent="0.15">
      <c r="A3515" s="11" t="s">
        <v>18893</v>
      </c>
      <c r="B3515" s="1" t="s">
        <v>18894</v>
      </c>
      <c r="C3515" s="11" t="s">
        <v>18895</v>
      </c>
      <c r="D3515" s="11" t="s">
        <v>18895</v>
      </c>
      <c r="E3515" s="11" t="s">
        <v>18896</v>
      </c>
      <c r="F3515" s="11" t="s">
        <v>18784</v>
      </c>
      <c r="G3515" s="11" t="s">
        <v>18897</v>
      </c>
      <c r="H3515" s="11" t="s">
        <v>18797</v>
      </c>
      <c r="I3515" s="11" t="str">
        <f>HYPERLINK("http://www.nonsoloseta.it/","www.nonsoloseta.it")</f>
        <v>www.nonsoloseta.it</v>
      </c>
      <c r="J3515" s="12">
        <v>544.21400000000006</v>
      </c>
      <c r="K3515" s="12">
        <v>544.21400000000006</v>
      </c>
      <c r="L3515" s="13">
        <v>619.39200000000005</v>
      </c>
      <c r="M3515" s="12">
        <v>75.290000000000006</v>
      </c>
      <c r="N3515" s="12">
        <v>75.290000000000006</v>
      </c>
      <c r="O3515" s="12">
        <v>68.522999999999996</v>
      </c>
      <c r="P3515" s="14" t="s">
        <v>18752</v>
      </c>
      <c r="Q3515" s="14" t="s">
        <v>18752</v>
      </c>
      <c r="R3515" s="12">
        <v>11</v>
      </c>
    </row>
    <row r="3516" spans="1:18" ht="17" customHeight="1" x14ac:dyDescent="0.15">
      <c r="A3516" s="8" t="s">
        <v>18898</v>
      </c>
      <c r="B3516" s="9" t="s">
        <v>18899</v>
      </c>
      <c r="C3516" s="8" t="s">
        <v>18900</v>
      </c>
      <c r="D3516" s="8" t="s">
        <v>18900</v>
      </c>
      <c r="E3516" s="8" t="s">
        <v>18901</v>
      </c>
      <c r="F3516" s="8" t="s">
        <v>18789</v>
      </c>
      <c r="G3516" s="8" t="s">
        <v>18902</v>
      </c>
      <c r="H3516" s="8" t="s">
        <v>18846</v>
      </c>
      <c r="I3516" s="8" t="str">
        <f>HYPERLINK("http://henryandhenryshop.com/","henryandhenryshop.com")</f>
        <v>henryandhenryshop.com</v>
      </c>
      <c r="J3516" s="10">
        <v>247.43600000000001</v>
      </c>
      <c r="K3516" s="10">
        <v>247.43600000000001</v>
      </c>
      <c r="L3516" s="10">
        <v>619.404</v>
      </c>
      <c r="M3516" s="10">
        <v>-61.649000000000001</v>
      </c>
      <c r="N3516" s="10">
        <v>-61.649000000000001</v>
      </c>
      <c r="O3516" s="10">
        <v>-62.015999999999998</v>
      </c>
      <c r="P3516" s="10">
        <v>2</v>
      </c>
      <c r="Q3516" s="10">
        <v>2</v>
      </c>
      <c r="R3516" s="10">
        <v>3</v>
      </c>
    </row>
    <row r="3517" spans="1:18" ht="17" customHeight="1" x14ac:dyDescent="0.15">
      <c r="A3517" s="11" t="s">
        <v>18903</v>
      </c>
      <c r="B3517" s="1" t="s">
        <v>18904</v>
      </c>
      <c r="C3517" s="11" t="s">
        <v>18905</v>
      </c>
      <c r="D3517" s="11" t="s">
        <v>18905</v>
      </c>
      <c r="E3517" s="11" t="s">
        <v>18906</v>
      </c>
      <c r="F3517" s="11" t="s">
        <v>18907</v>
      </c>
      <c r="G3517" s="11" t="s">
        <v>18790</v>
      </c>
      <c r="H3517" s="11" t="s">
        <v>18772</v>
      </c>
      <c r="I3517" s="11" t="str">
        <f>HYPERLINK("http://101meme.it/","101meme.it")</f>
        <v>101meme.it</v>
      </c>
      <c r="J3517" s="12">
        <v>682.87</v>
      </c>
      <c r="K3517" s="12">
        <v>682.87</v>
      </c>
      <c r="L3517" s="13">
        <v>618.23699999999997</v>
      </c>
      <c r="M3517" s="12">
        <v>-16.306999999999999</v>
      </c>
      <c r="N3517" s="12">
        <v>-16.306999999999999</v>
      </c>
      <c r="O3517" s="12">
        <v>2.5449999999999999</v>
      </c>
      <c r="P3517" s="12">
        <v>5</v>
      </c>
      <c r="Q3517" s="12">
        <v>5</v>
      </c>
      <c r="R3517" s="12">
        <v>2</v>
      </c>
    </row>
    <row r="3518" spans="1:18" ht="17" customHeight="1" x14ac:dyDescent="0.15">
      <c r="A3518" s="8" t="s">
        <v>18908</v>
      </c>
      <c r="B3518" s="9" t="s">
        <v>18909</v>
      </c>
      <c r="C3518" s="8" t="s">
        <v>18910</v>
      </c>
      <c r="D3518" s="8" t="s">
        <v>18910</v>
      </c>
      <c r="E3518" s="8" t="s">
        <v>18911</v>
      </c>
      <c r="F3518" s="8" t="s">
        <v>18789</v>
      </c>
      <c r="G3518" s="8" t="s">
        <v>18866</v>
      </c>
      <c r="H3518" s="8" t="s">
        <v>18779</v>
      </c>
      <c r="I3518" s="8" t="str">
        <f>HYPERLINK("http://bgshoesdesign.com/","bgshoesdesign.com")</f>
        <v>bgshoesdesign.com</v>
      </c>
      <c r="J3518" s="10">
        <v>841.86800000000005</v>
      </c>
      <c r="K3518" s="10">
        <v>841.86800000000005</v>
      </c>
      <c r="L3518" s="10">
        <v>617.22500000000002</v>
      </c>
      <c r="M3518" s="10">
        <v>1.0189999999999999</v>
      </c>
      <c r="N3518" s="10">
        <v>1.0189999999999999</v>
      </c>
      <c r="O3518" s="10">
        <v>22.042999999999999</v>
      </c>
      <c r="P3518" s="10">
        <v>8</v>
      </c>
      <c r="Q3518" s="10">
        <v>8</v>
      </c>
      <c r="R3518" s="10">
        <v>3</v>
      </c>
    </row>
    <row r="3519" spans="1:18" ht="17" customHeight="1" x14ac:dyDescent="0.15">
      <c r="A3519" s="11" t="s">
        <v>18912</v>
      </c>
      <c r="B3519" s="1" t="s">
        <v>18913</v>
      </c>
      <c r="C3519" s="11" t="s">
        <v>18914</v>
      </c>
      <c r="D3519" s="11" t="s">
        <v>18914</v>
      </c>
      <c r="E3519" s="11" t="s">
        <v>18915</v>
      </c>
      <c r="F3519" s="11" t="s">
        <v>18757</v>
      </c>
      <c r="G3519" s="11" t="s">
        <v>18790</v>
      </c>
      <c r="H3519" s="11" t="s">
        <v>18772</v>
      </c>
      <c r="I3519" s="11" t="str">
        <f>HYPERLINK("http://www.dsgstreetwear.com/","www.dsgstreetwear.com")</f>
        <v>www.dsgstreetwear.com</v>
      </c>
      <c r="J3519" s="12">
        <v>1153.963</v>
      </c>
      <c r="K3519" s="12">
        <v>1153.963</v>
      </c>
      <c r="L3519" s="13">
        <v>616.79</v>
      </c>
      <c r="M3519" s="12">
        <v>70.599999999999994</v>
      </c>
      <c r="N3519" s="12">
        <v>70.599999999999994</v>
      </c>
      <c r="O3519" s="12">
        <v>39.6</v>
      </c>
      <c r="P3519" s="12">
        <v>1</v>
      </c>
      <c r="Q3519" s="12">
        <v>1</v>
      </c>
      <c r="R3519" s="12">
        <v>0</v>
      </c>
    </row>
    <row r="3520" spans="1:18" ht="17" customHeight="1" x14ac:dyDescent="0.15">
      <c r="A3520" s="8" t="s">
        <v>18916</v>
      </c>
      <c r="B3520" s="9" t="s">
        <v>18917</v>
      </c>
      <c r="C3520" s="8" t="s">
        <v>18918</v>
      </c>
      <c r="D3520" s="8" t="s">
        <v>18918</v>
      </c>
      <c r="E3520" s="8" t="s">
        <v>18919</v>
      </c>
      <c r="F3520" s="8" t="s">
        <v>18806</v>
      </c>
      <c r="G3520" s="8" t="s">
        <v>18796</v>
      </c>
      <c r="H3520" s="8" t="s">
        <v>18797</v>
      </c>
      <c r="I3520" s="8" t="str">
        <f>HYPERLINK("http://nannimilano.it/","nannimilano.it")</f>
        <v>nannimilano.it</v>
      </c>
      <c r="J3520" s="10">
        <v>521.13699999999994</v>
      </c>
      <c r="K3520" s="10">
        <v>521.13699999999994</v>
      </c>
      <c r="L3520" s="10">
        <v>616.77800000000002</v>
      </c>
      <c r="M3520" s="10">
        <v>-145.89400000000001</v>
      </c>
      <c r="N3520" s="10">
        <v>-145.89400000000001</v>
      </c>
      <c r="O3520" s="10">
        <v>-57.034999999999997</v>
      </c>
      <c r="P3520" s="10">
        <v>3</v>
      </c>
      <c r="Q3520" s="10">
        <v>3</v>
      </c>
      <c r="R3520" s="10">
        <v>3</v>
      </c>
    </row>
    <row r="3521" spans="1:18" ht="29.5" customHeight="1" x14ac:dyDescent="0.15">
      <c r="A3521" s="11" t="s">
        <v>18920</v>
      </c>
      <c r="B3521" s="1" t="s">
        <v>18921</v>
      </c>
      <c r="C3521" s="11" t="s">
        <v>18922</v>
      </c>
      <c r="D3521" s="11" t="s">
        <v>18922</v>
      </c>
      <c r="E3521" s="11" t="s">
        <v>18923</v>
      </c>
      <c r="F3521" s="11" t="s">
        <v>18924</v>
      </c>
      <c r="G3521" s="11" t="s">
        <v>18925</v>
      </c>
      <c r="H3521" s="11" t="s">
        <v>18926</v>
      </c>
      <c r="I3521" s="11" t="str">
        <f>HYPERLINK("http://cai-pelletteria-srl-06938300487.quantofattura.com/","cai-pelletteria-srl-06938300487.quantofattura.com")</f>
        <v>cai-pelletteria-srl-06938300487.quantofattura.com</v>
      </c>
      <c r="J3521" s="12">
        <v>602.50199999999995</v>
      </c>
      <c r="K3521" s="12">
        <v>602.50199999999995</v>
      </c>
      <c r="L3521" s="13">
        <v>614.55700000000002</v>
      </c>
      <c r="M3521" s="12">
        <v>-2.524</v>
      </c>
      <c r="N3521" s="12">
        <v>-2.524</v>
      </c>
      <c r="O3521" s="12">
        <v>-17.994</v>
      </c>
      <c r="P3521" s="12">
        <v>8</v>
      </c>
      <c r="Q3521" s="12">
        <v>8</v>
      </c>
      <c r="R3521" s="12">
        <v>10</v>
      </c>
    </row>
    <row r="3522" spans="1:18" ht="17" customHeight="1" x14ac:dyDescent="0.15">
      <c r="A3522" s="8" t="s">
        <v>18927</v>
      </c>
      <c r="B3522" s="9" t="s">
        <v>18928</v>
      </c>
      <c r="C3522" s="8" t="s">
        <v>18929</v>
      </c>
      <c r="D3522" s="8" t="s">
        <v>18929</v>
      </c>
      <c r="E3522" s="8" t="s">
        <v>18930</v>
      </c>
      <c r="F3522" s="8" t="s">
        <v>18931</v>
      </c>
      <c r="G3522" s="8" t="s">
        <v>18932</v>
      </c>
      <c r="H3522" s="8" t="s">
        <v>18933</v>
      </c>
      <c r="I3522" s="8" t="str">
        <f>HYPERLINK("http://www.sglrossetto.com/","www.sglrossetto.com")</f>
        <v>www.sglrossetto.com</v>
      </c>
      <c r="J3522" s="10">
        <v>562.697</v>
      </c>
      <c r="K3522" s="10">
        <v>562.697</v>
      </c>
      <c r="L3522" s="10">
        <v>614.30999999999995</v>
      </c>
      <c r="M3522" s="10">
        <v>18.516999999999999</v>
      </c>
      <c r="N3522" s="10">
        <v>18.516999999999999</v>
      </c>
      <c r="O3522" s="10">
        <v>1.4970000000000001</v>
      </c>
      <c r="P3522" s="10">
        <v>11</v>
      </c>
      <c r="Q3522" s="10">
        <v>11</v>
      </c>
      <c r="R3522" s="10">
        <v>8</v>
      </c>
    </row>
    <row r="3523" spans="1:18" ht="17" customHeight="1" x14ac:dyDescent="0.15">
      <c r="A3523" s="11" t="s">
        <v>18934</v>
      </c>
      <c r="B3523" s="1" t="s">
        <v>18935</v>
      </c>
      <c r="C3523" s="11" t="s">
        <v>18936</v>
      </c>
      <c r="D3523" s="11" t="s">
        <v>18936</v>
      </c>
      <c r="E3523" s="11" t="s">
        <v>18937</v>
      </c>
      <c r="F3523" s="11" t="s">
        <v>18938</v>
      </c>
      <c r="G3523" s="11" t="s">
        <v>18939</v>
      </c>
      <c r="H3523" s="11" t="s">
        <v>18940</v>
      </c>
      <c r="I3523" s="11" t="str">
        <f>HYPERLINK("http://monousami.it/","monousami.it")</f>
        <v>monousami.it</v>
      </c>
      <c r="J3523" s="12">
        <v>624.75099999999998</v>
      </c>
      <c r="K3523" s="12">
        <v>624.75099999999998</v>
      </c>
      <c r="L3523" s="13">
        <v>613.35199999999998</v>
      </c>
      <c r="M3523" s="12">
        <v>-1.679</v>
      </c>
      <c r="N3523" s="12">
        <v>-1.679</v>
      </c>
      <c r="O3523" s="12">
        <v>-41</v>
      </c>
      <c r="P3523" s="14" t="s">
        <v>18941</v>
      </c>
      <c r="Q3523" s="14" t="s">
        <v>18941</v>
      </c>
      <c r="R3523" s="12">
        <v>8</v>
      </c>
    </row>
    <row r="3524" spans="1:18" ht="17" customHeight="1" x14ac:dyDescent="0.15">
      <c r="A3524" s="8" t="s">
        <v>18942</v>
      </c>
      <c r="B3524" s="9" t="s">
        <v>18943</v>
      </c>
      <c r="C3524" s="8" t="s">
        <v>18944</v>
      </c>
      <c r="D3524" s="8" t="s">
        <v>18944</v>
      </c>
      <c r="E3524" s="8" t="s">
        <v>18945</v>
      </c>
      <c r="F3524" s="8" t="s">
        <v>18924</v>
      </c>
      <c r="G3524" s="8" t="s">
        <v>18946</v>
      </c>
      <c r="H3524" s="8" t="s">
        <v>18940</v>
      </c>
      <c r="I3524" s="8" t="str">
        <f>HYPERLINK("http://sobekitalia.com/","sobekitalia.com")</f>
        <v>sobekitalia.com</v>
      </c>
      <c r="J3524" s="10">
        <v>674.17399999999998</v>
      </c>
      <c r="K3524" s="10">
        <v>674.17399999999998</v>
      </c>
      <c r="L3524" s="10">
        <v>612.57000000000005</v>
      </c>
      <c r="M3524" s="10">
        <v>4.0819999999999999</v>
      </c>
      <c r="N3524" s="10">
        <v>4.0819999999999999</v>
      </c>
      <c r="O3524" s="10">
        <v>1.764</v>
      </c>
      <c r="P3524" s="10">
        <v>4</v>
      </c>
      <c r="Q3524" s="10">
        <v>4</v>
      </c>
      <c r="R3524" s="10">
        <v>4</v>
      </c>
    </row>
    <row r="3525" spans="1:18" ht="17" customHeight="1" x14ac:dyDescent="0.15">
      <c r="A3525" s="11" t="s">
        <v>18947</v>
      </c>
      <c r="B3525" s="1" t="s">
        <v>18948</v>
      </c>
      <c r="C3525" s="11" t="s">
        <v>18949</v>
      </c>
      <c r="D3525" s="11" t="s">
        <v>18949</v>
      </c>
      <c r="E3525" s="11" t="s">
        <v>18950</v>
      </c>
      <c r="F3525" s="11" t="s">
        <v>18951</v>
      </c>
      <c r="G3525" s="11" t="s">
        <v>18952</v>
      </c>
      <c r="H3525" s="11" t="s">
        <v>18953</v>
      </c>
      <c r="I3525" s="11" t="str">
        <f>HYPERLINK("http://www.cifani.net/","www.cifani.net")</f>
        <v>www.cifani.net</v>
      </c>
      <c r="J3525" s="12">
        <v>916.94</v>
      </c>
      <c r="K3525" s="12">
        <v>916.94</v>
      </c>
      <c r="L3525" s="13">
        <v>611.97799999999995</v>
      </c>
      <c r="M3525" s="12">
        <v>2.2589999999999999</v>
      </c>
      <c r="N3525" s="12">
        <v>2.2589999999999999</v>
      </c>
      <c r="O3525" s="12">
        <v>5.335</v>
      </c>
      <c r="P3525" s="14" t="s">
        <v>18941</v>
      </c>
      <c r="Q3525" s="14" t="s">
        <v>18941</v>
      </c>
      <c r="R3525" s="12">
        <v>6</v>
      </c>
    </row>
    <row r="3526" spans="1:18" ht="17" customHeight="1" x14ac:dyDescent="0.15">
      <c r="A3526" s="8" t="s">
        <v>18954</v>
      </c>
      <c r="B3526" s="9" t="s">
        <v>18955</v>
      </c>
      <c r="C3526" s="8" t="s">
        <v>18956</v>
      </c>
      <c r="D3526" s="8" t="s">
        <v>18956</v>
      </c>
      <c r="E3526" s="8" t="s">
        <v>18957</v>
      </c>
      <c r="F3526" s="8" t="s">
        <v>18924</v>
      </c>
      <c r="G3526" s="8" t="s">
        <v>18958</v>
      </c>
      <c r="H3526" s="8" t="s">
        <v>18959</v>
      </c>
      <c r="I3526" s="8" t="str">
        <f>HYPERLINK("http://www.naturalsardinia.it/","www.naturalsardinia.it")</f>
        <v>www.naturalsardinia.it</v>
      </c>
      <c r="J3526" s="10">
        <v>528.46299999999997</v>
      </c>
      <c r="K3526" s="10">
        <v>528.46299999999997</v>
      </c>
      <c r="L3526" s="10">
        <v>611.77599999999995</v>
      </c>
      <c r="M3526" s="10">
        <v>-8.2539999999999996</v>
      </c>
      <c r="N3526" s="10">
        <v>-8.2539999999999996</v>
      </c>
      <c r="O3526" s="10">
        <v>21.754999999999999</v>
      </c>
      <c r="P3526" s="10">
        <v>5</v>
      </c>
      <c r="Q3526" s="10">
        <v>5</v>
      </c>
      <c r="R3526" s="10">
        <v>5</v>
      </c>
    </row>
    <row r="3527" spans="1:18" ht="17" customHeight="1" x14ac:dyDescent="0.15">
      <c r="A3527" s="11" t="s">
        <v>18960</v>
      </c>
      <c r="B3527" s="1" t="s">
        <v>18961</v>
      </c>
      <c r="C3527" s="11" t="s">
        <v>18962</v>
      </c>
      <c r="D3527" s="11" t="s">
        <v>18962</v>
      </c>
      <c r="E3527" s="11" t="s">
        <v>18963</v>
      </c>
      <c r="F3527" s="11" t="s">
        <v>18938</v>
      </c>
      <c r="G3527" s="11" t="s">
        <v>18964</v>
      </c>
      <c r="H3527" s="11" t="s">
        <v>18953</v>
      </c>
      <c r="I3527" s="11" t="str">
        <f>HYPERLINK("http://crimarspose.com/","crimarspose.com")</f>
        <v>crimarspose.com</v>
      </c>
      <c r="J3527" s="12">
        <v>463.78399999999999</v>
      </c>
      <c r="K3527" s="12">
        <v>463.78399999999999</v>
      </c>
      <c r="L3527" s="13">
        <v>610.98599999999999</v>
      </c>
      <c r="M3527" s="12">
        <v>14.052</v>
      </c>
      <c r="N3527" s="12">
        <v>14.052</v>
      </c>
      <c r="O3527" s="12">
        <v>86.804000000000002</v>
      </c>
      <c r="P3527" s="14" t="s">
        <v>18941</v>
      </c>
      <c r="Q3527" s="14" t="s">
        <v>18941</v>
      </c>
      <c r="R3527" s="12">
        <v>3</v>
      </c>
    </row>
    <row r="3528" spans="1:18" ht="17" customHeight="1" x14ac:dyDescent="0.15">
      <c r="A3528" s="8" t="s">
        <v>18965</v>
      </c>
      <c r="B3528" s="9" t="s">
        <v>18966</v>
      </c>
      <c r="C3528" s="8" t="s">
        <v>18967</v>
      </c>
      <c r="D3528" s="8" t="s">
        <v>18967</v>
      </c>
      <c r="E3528" s="8" t="s">
        <v>18968</v>
      </c>
      <c r="F3528" s="8" t="s">
        <v>18969</v>
      </c>
      <c r="G3528" s="8" t="s">
        <v>18970</v>
      </c>
      <c r="H3528" s="8" t="s">
        <v>18971</v>
      </c>
      <c r="I3528" s="8" t="str">
        <f>HYPERLINK("http://www.almimaglieria.it/","www.almimaglieria.it")</f>
        <v>www.almimaglieria.it</v>
      </c>
      <c r="J3528" s="10">
        <v>595.07299999999998</v>
      </c>
      <c r="K3528" s="10">
        <v>595.07299999999998</v>
      </c>
      <c r="L3528" s="10">
        <v>610.52</v>
      </c>
      <c r="M3528" s="10">
        <v>4.5919999999999996</v>
      </c>
      <c r="N3528" s="10">
        <v>4.5919999999999996</v>
      </c>
      <c r="O3528" s="10">
        <v>36.417999999999999</v>
      </c>
      <c r="P3528" s="10">
        <v>4</v>
      </c>
      <c r="Q3528" s="10">
        <v>4</v>
      </c>
      <c r="R3528" s="10">
        <v>4</v>
      </c>
    </row>
    <row r="3529" spans="1:18" ht="17" customHeight="1" x14ac:dyDescent="0.15">
      <c r="A3529" s="11" t="s">
        <v>18972</v>
      </c>
      <c r="B3529" s="1" t="s">
        <v>18973</v>
      </c>
      <c r="C3529" s="11" t="s">
        <v>18974</v>
      </c>
      <c r="D3529" s="11" t="s">
        <v>18974</v>
      </c>
      <c r="E3529" s="11" t="s">
        <v>18975</v>
      </c>
      <c r="F3529" s="11" t="s">
        <v>18951</v>
      </c>
      <c r="G3529" s="11" t="s">
        <v>18964</v>
      </c>
      <c r="H3529" s="11" t="s">
        <v>18953</v>
      </c>
      <c r="I3529" s="11" t="str">
        <f>HYPERLINK("http://desireenapoli.com/","desireenapoli.com")</f>
        <v>desireenapoli.com</v>
      </c>
      <c r="J3529" s="12">
        <v>504.21899999999999</v>
      </c>
      <c r="K3529" s="12">
        <v>504.21899999999999</v>
      </c>
      <c r="L3529" s="13">
        <v>610.35400000000004</v>
      </c>
      <c r="M3529" s="12">
        <v>16.097000000000001</v>
      </c>
      <c r="N3529" s="12">
        <v>16.097000000000001</v>
      </c>
      <c r="O3529" s="12">
        <v>30.568000000000001</v>
      </c>
      <c r="P3529" s="12">
        <v>6</v>
      </c>
      <c r="Q3529" s="12">
        <v>6</v>
      </c>
      <c r="R3529" s="12">
        <v>4</v>
      </c>
    </row>
    <row r="3530" spans="1:18" ht="17" customHeight="1" x14ac:dyDescent="0.15">
      <c r="A3530" s="8" t="s">
        <v>18976</v>
      </c>
      <c r="B3530" s="9" t="s">
        <v>18977</v>
      </c>
      <c r="C3530" s="8" t="s">
        <v>18978</v>
      </c>
      <c r="D3530" s="8" t="s">
        <v>18978</v>
      </c>
      <c r="E3530" s="8" t="s">
        <v>18979</v>
      </c>
      <c r="F3530" s="8" t="s">
        <v>18980</v>
      </c>
      <c r="G3530" s="8" t="s">
        <v>18981</v>
      </c>
      <c r="H3530" s="8" t="s">
        <v>18982</v>
      </c>
      <c r="I3530" s="8" t="str">
        <f>HYPERLINK("http://camicieroma.it/","camicieroma.it")</f>
        <v>camicieroma.it</v>
      </c>
      <c r="J3530" s="10">
        <v>684.73</v>
      </c>
      <c r="K3530" s="10">
        <v>684.73</v>
      </c>
      <c r="L3530" s="10">
        <v>608.99800000000005</v>
      </c>
      <c r="M3530" s="10">
        <v>1.2689999999999999</v>
      </c>
      <c r="N3530" s="10">
        <v>1.2689999999999999</v>
      </c>
      <c r="O3530" s="10">
        <v>24.913</v>
      </c>
      <c r="P3530" s="15" t="s">
        <v>18941</v>
      </c>
      <c r="Q3530" s="15" t="s">
        <v>18941</v>
      </c>
      <c r="R3530" s="10">
        <v>8</v>
      </c>
    </row>
    <row r="3531" spans="1:18" ht="17" customHeight="1" x14ac:dyDescent="0.15">
      <c r="A3531" s="11" t="s">
        <v>18983</v>
      </c>
      <c r="B3531" s="1" t="s">
        <v>18984</v>
      </c>
      <c r="C3531" s="11" t="s">
        <v>18985</v>
      </c>
      <c r="D3531" s="11" t="s">
        <v>18985</v>
      </c>
      <c r="E3531" s="11" t="s">
        <v>18986</v>
      </c>
      <c r="F3531" s="11" t="s">
        <v>18969</v>
      </c>
      <c r="G3531" s="11" t="s">
        <v>18987</v>
      </c>
      <c r="H3531" s="11" t="s">
        <v>18988</v>
      </c>
      <c r="I3531" s="11" t="str">
        <f>HYPERLINK("http://www.fgcreazioni.it/","http://www.fgcreazioni.it")</f>
        <v>http://www.fgcreazioni.it</v>
      </c>
      <c r="J3531" s="12">
        <v>702.04</v>
      </c>
      <c r="K3531" s="12">
        <v>702.04</v>
      </c>
      <c r="L3531" s="13">
        <v>608.56500000000005</v>
      </c>
      <c r="M3531" s="12">
        <v>2.8370000000000002</v>
      </c>
      <c r="N3531" s="12">
        <v>2.8370000000000002</v>
      </c>
      <c r="O3531" s="12">
        <v>12.614000000000001</v>
      </c>
      <c r="P3531" s="12">
        <v>0</v>
      </c>
      <c r="Q3531" s="12">
        <v>0</v>
      </c>
      <c r="R3531" s="12">
        <v>0</v>
      </c>
    </row>
    <row r="3532" spans="1:18" ht="43" customHeight="1" x14ac:dyDescent="0.15">
      <c r="A3532" s="8" t="s">
        <v>18989</v>
      </c>
      <c r="B3532" s="9" t="s">
        <v>18990</v>
      </c>
      <c r="C3532" s="8" t="s">
        <v>18991</v>
      </c>
      <c r="D3532" s="8" t="s">
        <v>18991</v>
      </c>
      <c r="E3532" s="8" t="s">
        <v>18992</v>
      </c>
      <c r="F3532" s="8" t="s">
        <v>18993</v>
      </c>
      <c r="G3532" s="8" t="s">
        <v>18994</v>
      </c>
      <c r="H3532" s="8" t="s">
        <v>18933</v>
      </c>
      <c r="I3532" s="8" t="str">
        <f>HYPERLINK("http://www.artigianimoderni.it/","www.artigianimoderni.it")</f>
        <v>www.artigianimoderni.it</v>
      </c>
      <c r="J3532" s="10">
        <v>531.197</v>
      </c>
      <c r="K3532" s="10">
        <v>531.197</v>
      </c>
      <c r="L3532" s="10">
        <v>608.14800000000002</v>
      </c>
      <c r="M3532" s="10">
        <v>97.367000000000004</v>
      </c>
      <c r="N3532" s="10">
        <v>97.367000000000004</v>
      </c>
      <c r="O3532" s="10">
        <v>160.56800000000001</v>
      </c>
      <c r="P3532" s="10">
        <v>2</v>
      </c>
      <c r="Q3532" s="10">
        <v>2</v>
      </c>
      <c r="R3532" s="10">
        <v>3</v>
      </c>
    </row>
    <row r="3533" spans="1:18" ht="17" customHeight="1" x14ac:dyDescent="0.15">
      <c r="A3533" s="11" t="s">
        <v>18995</v>
      </c>
      <c r="B3533" s="1" t="s">
        <v>18996</v>
      </c>
      <c r="C3533" s="11" t="s">
        <v>18997</v>
      </c>
      <c r="D3533" s="11" t="s">
        <v>18997</v>
      </c>
      <c r="E3533" s="11" t="s">
        <v>18998</v>
      </c>
      <c r="F3533" s="11" t="s">
        <v>18938</v>
      </c>
      <c r="G3533" s="11" t="s">
        <v>18999</v>
      </c>
      <c r="H3533" s="11" t="s">
        <v>18940</v>
      </c>
      <c r="I3533" s="11" t="str">
        <f>HYPERLINK("http://sarmhippique.it/","sarmhippique.it")</f>
        <v>sarmhippique.it</v>
      </c>
      <c r="J3533" s="12">
        <v>489.97199999999998</v>
      </c>
      <c r="K3533" s="12">
        <v>489.97199999999998</v>
      </c>
      <c r="L3533" s="13">
        <v>607.96699999999998</v>
      </c>
      <c r="M3533" s="12">
        <v>1.393</v>
      </c>
      <c r="N3533" s="12">
        <v>1.393</v>
      </c>
      <c r="O3533" s="12">
        <v>27.204999999999998</v>
      </c>
      <c r="P3533" s="14" t="s">
        <v>18941</v>
      </c>
      <c r="Q3533" s="14" t="s">
        <v>18941</v>
      </c>
      <c r="R3533" s="12">
        <v>7</v>
      </c>
    </row>
    <row r="3534" spans="1:18" ht="29.5" customHeight="1" x14ac:dyDescent="0.15">
      <c r="A3534" s="8" t="s">
        <v>19000</v>
      </c>
      <c r="B3534" s="9" t="s">
        <v>19001</v>
      </c>
      <c r="C3534" s="8" t="s">
        <v>19002</v>
      </c>
      <c r="D3534" s="8" t="s">
        <v>19002</v>
      </c>
      <c r="E3534" s="8" t="s">
        <v>19003</v>
      </c>
      <c r="F3534" s="8" t="s">
        <v>18969</v>
      </c>
      <c r="G3534" s="8" t="s">
        <v>19004</v>
      </c>
      <c r="H3534" s="8" t="s">
        <v>18971</v>
      </c>
      <c r="I3534" s="8" t="str">
        <f>HYPERLINK("http://www.distribuzionestemar.it/","www.distribuzionestemar.it")</f>
        <v>www.distribuzionestemar.it</v>
      </c>
      <c r="J3534" s="10">
        <v>667.98199999999997</v>
      </c>
      <c r="K3534" s="10">
        <v>667.98199999999997</v>
      </c>
      <c r="L3534" s="10">
        <v>607.72900000000004</v>
      </c>
      <c r="M3534" s="10">
        <v>26.161000000000001</v>
      </c>
      <c r="N3534" s="10">
        <v>26.161000000000001</v>
      </c>
      <c r="O3534" s="10">
        <v>31.437999999999999</v>
      </c>
      <c r="P3534" s="10">
        <v>8</v>
      </c>
      <c r="Q3534" s="10">
        <v>8</v>
      </c>
      <c r="R3534" s="10">
        <v>7</v>
      </c>
    </row>
    <row r="3535" spans="1:18" ht="17" customHeight="1" x14ac:dyDescent="0.15">
      <c r="A3535" s="11" t="s">
        <v>19005</v>
      </c>
      <c r="B3535" s="1" t="s">
        <v>19006</v>
      </c>
      <c r="C3535" s="11" t="s">
        <v>19007</v>
      </c>
      <c r="D3535" s="11" t="s">
        <v>19007</v>
      </c>
      <c r="E3535" s="11" t="s">
        <v>19008</v>
      </c>
      <c r="F3535" s="11" t="s">
        <v>19009</v>
      </c>
      <c r="G3535" s="11" t="s">
        <v>19010</v>
      </c>
      <c r="H3535" s="11" t="s">
        <v>19011</v>
      </c>
      <c r="I3535" s="11" t="str">
        <f>HYPERLINK("http://www.cskacorridoniac5f.com/","www.cskacorridoniac5f.com")</f>
        <v>www.cskacorridoniac5f.com</v>
      </c>
      <c r="J3535" s="12">
        <v>550.12400000000002</v>
      </c>
      <c r="K3535" s="12">
        <v>550.12400000000002</v>
      </c>
      <c r="L3535" s="13">
        <v>607.38599999999997</v>
      </c>
      <c r="M3535" s="12">
        <v>1.8460000000000001</v>
      </c>
      <c r="N3535" s="12">
        <v>1.8460000000000001</v>
      </c>
      <c r="O3535" s="12">
        <v>15.571999999999999</v>
      </c>
      <c r="P3535" s="12">
        <v>6</v>
      </c>
      <c r="Q3535" s="12">
        <v>6</v>
      </c>
      <c r="R3535" s="12">
        <v>6</v>
      </c>
    </row>
    <row r="3536" spans="1:18" ht="17" customHeight="1" x14ac:dyDescent="0.15">
      <c r="A3536" s="8" t="s">
        <v>19012</v>
      </c>
      <c r="B3536" s="9" t="s">
        <v>19013</v>
      </c>
      <c r="C3536" s="8" t="s">
        <v>19014</v>
      </c>
      <c r="D3536" s="8" t="s">
        <v>19014</v>
      </c>
      <c r="E3536" s="8" t="s">
        <v>19015</v>
      </c>
      <c r="F3536" s="8" t="s">
        <v>18931</v>
      </c>
      <c r="G3536" s="8" t="s">
        <v>19016</v>
      </c>
      <c r="H3536" s="8" t="s">
        <v>18926</v>
      </c>
      <c r="I3536" s="8" t="str">
        <f>HYPERLINK("http://www.concerianettuno.it/","www.concerianettuno.it")</f>
        <v>www.concerianettuno.it</v>
      </c>
      <c r="J3536" s="10">
        <v>664.68100000000004</v>
      </c>
      <c r="K3536" s="10">
        <v>664.68100000000004</v>
      </c>
      <c r="L3536" s="10">
        <v>607.21299999999997</v>
      </c>
      <c r="M3536" s="10">
        <v>6.2619999999999996</v>
      </c>
      <c r="N3536" s="10">
        <v>6.2619999999999996</v>
      </c>
      <c r="O3536" s="10">
        <v>-20.704000000000001</v>
      </c>
      <c r="P3536" s="15" t="s">
        <v>18941</v>
      </c>
      <c r="Q3536" s="15" t="s">
        <v>18941</v>
      </c>
      <c r="R3536" s="10">
        <v>2</v>
      </c>
    </row>
    <row r="3537" spans="1:18" ht="17" customHeight="1" x14ac:dyDescent="0.15">
      <c r="A3537" s="11" t="s">
        <v>19017</v>
      </c>
      <c r="B3537" s="1" t="s">
        <v>19018</v>
      </c>
      <c r="C3537" s="11" t="s">
        <v>19019</v>
      </c>
      <c r="D3537" s="11" t="s">
        <v>19019</v>
      </c>
      <c r="E3537" s="11" t="s">
        <v>19020</v>
      </c>
      <c r="F3537" s="11" t="s">
        <v>18993</v>
      </c>
      <c r="G3537" s="11" t="s">
        <v>19021</v>
      </c>
      <c r="H3537" s="11" t="s">
        <v>18953</v>
      </c>
      <c r="I3537" s="11" t="str">
        <f>HYPERLINK("http://www.gfconfezioni.it/","www.gfconfezioni.it")</f>
        <v>www.gfconfezioni.it</v>
      </c>
      <c r="J3537" s="12">
        <v>714.34400000000005</v>
      </c>
      <c r="K3537" s="12">
        <v>714.34400000000005</v>
      </c>
      <c r="L3537" s="13">
        <v>606.35400000000004</v>
      </c>
      <c r="M3537" s="12">
        <v>21.756</v>
      </c>
      <c r="N3537" s="12">
        <v>21.756</v>
      </c>
      <c r="O3537" s="12">
        <v>13.292</v>
      </c>
      <c r="P3537" s="12">
        <v>9</v>
      </c>
      <c r="Q3537" s="12">
        <v>9</v>
      </c>
      <c r="R3537" s="12">
        <v>9</v>
      </c>
    </row>
    <row r="3538" spans="1:18" ht="17" customHeight="1" x14ac:dyDescent="0.15">
      <c r="A3538" s="8" t="s">
        <v>19022</v>
      </c>
      <c r="B3538" s="9" t="s">
        <v>19023</v>
      </c>
      <c r="C3538" s="8" t="s">
        <v>19024</v>
      </c>
      <c r="D3538" s="8" t="s">
        <v>19024</v>
      </c>
      <c r="E3538" s="8" t="s">
        <v>19025</v>
      </c>
      <c r="F3538" s="8" t="s">
        <v>19026</v>
      </c>
      <c r="G3538" s="8" t="s">
        <v>19027</v>
      </c>
      <c r="H3538" s="8" t="s">
        <v>19028</v>
      </c>
      <c r="I3538" s="8" t="str">
        <f>HYPERLINK("http://www.maglificiogioricossato.com/","www.maglificiogioricossato.com")</f>
        <v>www.maglificiogioricossato.com</v>
      </c>
      <c r="J3538" s="10">
        <v>361.98700000000002</v>
      </c>
      <c r="K3538" s="10">
        <v>361.98700000000002</v>
      </c>
      <c r="L3538" s="10">
        <v>606.40099999999995</v>
      </c>
      <c r="M3538" s="10">
        <v>31.391999999999999</v>
      </c>
      <c r="N3538" s="10">
        <v>31.391999999999999</v>
      </c>
      <c r="O3538" s="10">
        <v>201.78899999999999</v>
      </c>
      <c r="P3538" s="10">
        <v>3</v>
      </c>
      <c r="Q3538" s="10">
        <v>3</v>
      </c>
      <c r="R3538" s="10">
        <v>4</v>
      </c>
    </row>
    <row r="3539" spans="1:18" ht="29.5" customHeight="1" x14ac:dyDescent="0.15">
      <c r="A3539" s="11" t="s">
        <v>19029</v>
      </c>
      <c r="B3539" s="1" t="s">
        <v>19030</v>
      </c>
      <c r="C3539" s="11" t="s">
        <v>19031</v>
      </c>
      <c r="D3539" s="11" t="s">
        <v>19031</v>
      </c>
      <c r="E3539" s="11" t="s">
        <v>19032</v>
      </c>
      <c r="F3539" s="11" t="s">
        <v>19033</v>
      </c>
      <c r="G3539" s="11" t="s">
        <v>19034</v>
      </c>
      <c r="H3539" s="11" t="s">
        <v>19011</v>
      </c>
      <c r="I3539" s="11" t="str">
        <f>HYPERLINK("http://www.akuna.it/","www.akuna.it")</f>
        <v>www.akuna.it</v>
      </c>
      <c r="J3539" s="12">
        <v>783.42100000000005</v>
      </c>
      <c r="K3539" s="12">
        <v>783.42100000000005</v>
      </c>
      <c r="L3539" s="13">
        <v>606.23400000000004</v>
      </c>
      <c r="M3539" s="12">
        <v>66.954999999999998</v>
      </c>
      <c r="N3539" s="12">
        <v>66.954999999999998</v>
      </c>
      <c r="O3539" s="12">
        <v>44.222999999999999</v>
      </c>
      <c r="P3539" s="14" t="s">
        <v>18941</v>
      </c>
      <c r="Q3539" s="14" t="s">
        <v>18941</v>
      </c>
      <c r="R3539" s="12">
        <v>6</v>
      </c>
    </row>
    <row r="3540" spans="1:18" ht="29.5" customHeight="1" x14ac:dyDescent="0.15">
      <c r="A3540" s="8" t="s">
        <v>19035</v>
      </c>
      <c r="B3540" s="9" t="s">
        <v>19036</v>
      </c>
      <c r="C3540" s="8" t="s">
        <v>19037</v>
      </c>
      <c r="D3540" s="8" t="s">
        <v>19037</v>
      </c>
      <c r="E3540" s="8" t="s">
        <v>19038</v>
      </c>
      <c r="F3540" s="8" t="s">
        <v>19009</v>
      </c>
      <c r="G3540" s="8" t="s">
        <v>19039</v>
      </c>
      <c r="H3540" s="8" t="s">
        <v>18933</v>
      </c>
      <c r="I3540" s="8" t="str">
        <f>HYPERLINK("http://www.tacchificioquadrifoglio.it/","www.tacchificioquadrifoglio.it")</f>
        <v>www.tacchificioquadrifoglio.it</v>
      </c>
      <c r="J3540" s="10">
        <v>542.33900000000006</v>
      </c>
      <c r="K3540" s="10">
        <v>542.33900000000006</v>
      </c>
      <c r="L3540" s="10">
        <v>605.55799999999999</v>
      </c>
      <c r="M3540" s="10">
        <v>78.296999999999997</v>
      </c>
      <c r="N3540" s="10">
        <v>78.296999999999997</v>
      </c>
      <c r="O3540" s="10">
        <v>98.301000000000002</v>
      </c>
      <c r="P3540" s="15" t="s">
        <v>18941</v>
      </c>
      <c r="Q3540" s="15" t="s">
        <v>18941</v>
      </c>
      <c r="R3540" s="10">
        <v>12</v>
      </c>
    </row>
    <row r="3541" spans="1:18" ht="17" customHeight="1" x14ac:dyDescent="0.15">
      <c r="A3541" s="11" t="s">
        <v>19040</v>
      </c>
      <c r="B3541" s="1" t="s">
        <v>19041</v>
      </c>
      <c r="C3541" s="11" t="s">
        <v>19042</v>
      </c>
      <c r="D3541" s="11" t="s">
        <v>19042</v>
      </c>
      <c r="E3541" s="11" t="s">
        <v>19043</v>
      </c>
      <c r="F3541" s="11" t="s">
        <v>18938</v>
      </c>
      <c r="G3541" s="11" t="s">
        <v>19044</v>
      </c>
      <c r="H3541" s="11" t="s">
        <v>18926</v>
      </c>
      <c r="I3541" s="11" t="str">
        <f>HYPERLINK("http://www.cerretelli-italia.com/","www.cerretelli-italia.com")</f>
        <v>www.cerretelli-italia.com</v>
      </c>
      <c r="J3541" s="12">
        <v>427.28</v>
      </c>
      <c r="K3541" s="12">
        <v>427.28</v>
      </c>
      <c r="L3541" s="13">
        <v>605.49599999999998</v>
      </c>
      <c r="M3541" s="12">
        <v>0.872</v>
      </c>
      <c r="N3541" s="12">
        <v>0.872</v>
      </c>
      <c r="O3541" s="12">
        <v>8.3130000000000006</v>
      </c>
      <c r="P3541" s="12">
        <v>0</v>
      </c>
      <c r="Q3541" s="12">
        <v>0</v>
      </c>
      <c r="R3541" s="12">
        <v>0</v>
      </c>
    </row>
    <row r="3542" spans="1:18" ht="17" customHeight="1" x14ac:dyDescent="0.15">
      <c r="A3542" s="8" t="s">
        <v>19045</v>
      </c>
      <c r="B3542" s="9" t="s">
        <v>19046</v>
      </c>
      <c r="C3542" s="8" t="s">
        <v>19047</v>
      </c>
      <c r="D3542" s="8" t="s">
        <v>19047</v>
      </c>
      <c r="E3542" s="8" t="s">
        <v>19048</v>
      </c>
      <c r="F3542" s="8" t="s">
        <v>19049</v>
      </c>
      <c r="G3542" s="8" t="s">
        <v>19050</v>
      </c>
      <c r="H3542" s="8" t="s">
        <v>19051</v>
      </c>
      <c r="I3542" s="8" t="str">
        <f>HYPERLINK("http://www.niky.it/","www.niky.it")</f>
        <v>www.niky.it</v>
      </c>
      <c r="J3542" s="10">
        <v>571.59</v>
      </c>
      <c r="K3542" s="10">
        <v>571.59</v>
      </c>
      <c r="L3542" s="10">
        <v>605.28200000000004</v>
      </c>
      <c r="M3542" s="10">
        <v>0.34699999999999998</v>
      </c>
      <c r="N3542" s="10">
        <v>0.34699999999999998</v>
      </c>
      <c r="O3542" s="10">
        <v>-3.802</v>
      </c>
      <c r="P3542" s="15" t="s">
        <v>18941</v>
      </c>
      <c r="Q3542" s="15" t="s">
        <v>18941</v>
      </c>
      <c r="R3542" s="10">
        <v>5</v>
      </c>
    </row>
    <row r="3543" spans="1:18" ht="17" customHeight="1" x14ac:dyDescent="0.15">
      <c r="A3543" s="11" t="s">
        <v>19052</v>
      </c>
      <c r="B3543" s="1" t="s">
        <v>19053</v>
      </c>
      <c r="C3543" s="11" t="s">
        <v>19054</v>
      </c>
      <c r="D3543" s="11" t="s">
        <v>19054</v>
      </c>
      <c r="E3543" s="11" t="s">
        <v>19055</v>
      </c>
      <c r="F3543" s="11" t="s">
        <v>19009</v>
      </c>
      <c r="G3543" s="11" t="s">
        <v>19039</v>
      </c>
      <c r="H3543" s="11" t="s">
        <v>18933</v>
      </c>
      <c r="I3543" s="11" t="str">
        <f>HYPERLINK("http://www.caterinasrl.it/","www.caterinasrl.it")</f>
        <v>www.caterinasrl.it</v>
      </c>
      <c r="J3543" s="12">
        <v>475.76</v>
      </c>
      <c r="K3543" s="12">
        <v>475.76</v>
      </c>
      <c r="L3543" s="13">
        <v>605.08299999999997</v>
      </c>
      <c r="M3543" s="12">
        <v>-2.452</v>
      </c>
      <c r="N3543" s="12">
        <v>-2.452</v>
      </c>
      <c r="O3543" s="12">
        <v>46.095999999999997</v>
      </c>
      <c r="P3543" s="12">
        <v>13</v>
      </c>
      <c r="Q3543" s="12">
        <v>13</v>
      </c>
      <c r="R3543" s="12">
        <v>13</v>
      </c>
    </row>
    <row r="3544" spans="1:18" ht="17" customHeight="1" x14ac:dyDescent="0.15">
      <c r="A3544" s="8" t="s">
        <v>19056</v>
      </c>
      <c r="B3544" s="9" t="s">
        <v>19057</v>
      </c>
      <c r="C3544" s="8" t="s">
        <v>19058</v>
      </c>
      <c r="D3544" s="8" t="s">
        <v>19058</v>
      </c>
      <c r="E3544" s="8" t="s">
        <v>19059</v>
      </c>
      <c r="F3544" s="8" t="s">
        <v>18924</v>
      </c>
      <c r="G3544" s="8" t="s">
        <v>19060</v>
      </c>
      <c r="H3544" s="8" t="s">
        <v>18926</v>
      </c>
      <c r="I3544" s="8" t="str">
        <f>HYPERLINK("http://www.artepellesrl.it/","www.artepellesrl.it")</f>
        <v>www.artepellesrl.it</v>
      </c>
      <c r="J3544" s="10">
        <v>618.61599999999999</v>
      </c>
      <c r="K3544" s="10">
        <v>618.61599999999999</v>
      </c>
      <c r="L3544" s="10">
        <v>604.55899999999997</v>
      </c>
      <c r="M3544" s="10">
        <v>39.564</v>
      </c>
      <c r="N3544" s="10">
        <v>39.564</v>
      </c>
      <c r="O3544" s="10">
        <v>108.39700000000001</v>
      </c>
      <c r="P3544" s="10">
        <v>8</v>
      </c>
      <c r="Q3544" s="10">
        <v>8</v>
      </c>
      <c r="R3544" s="10">
        <v>6</v>
      </c>
    </row>
    <row r="3545" spans="1:18" ht="29.5" customHeight="1" x14ac:dyDescent="0.15">
      <c r="A3545" s="11" t="s">
        <v>19061</v>
      </c>
      <c r="B3545" s="1" t="s">
        <v>19062</v>
      </c>
      <c r="C3545" s="11" t="s">
        <v>19063</v>
      </c>
      <c r="D3545" s="11" t="s">
        <v>19063</v>
      </c>
      <c r="E3545" s="11" t="s">
        <v>19064</v>
      </c>
      <c r="F3545" s="11" t="s">
        <v>19065</v>
      </c>
      <c r="G3545" s="11" t="s">
        <v>19066</v>
      </c>
      <c r="H3545" s="11" t="s">
        <v>19067</v>
      </c>
      <c r="I3545" s="11" t="str">
        <f>HYPERLINK("http://www.piazzadispagnasposi.it/","www.piazzadispagnasposi.it")</f>
        <v>www.piazzadispagnasposi.it</v>
      </c>
      <c r="J3545" s="12">
        <v>900.21900000000005</v>
      </c>
      <c r="K3545" s="12">
        <v>900.21900000000005</v>
      </c>
      <c r="L3545" s="13">
        <v>603.68899999999996</v>
      </c>
      <c r="M3545" s="12">
        <v>30.13</v>
      </c>
      <c r="N3545" s="12">
        <v>30.13</v>
      </c>
      <c r="O3545" s="12">
        <v>4.585</v>
      </c>
      <c r="P3545" s="12">
        <v>14</v>
      </c>
      <c r="Q3545" s="12">
        <v>14</v>
      </c>
      <c r="R3545" s="12">
        <v>13</v>
      </c>
    </row>
    <row r="3546" spans="1:18" ht="43" customHeight="1" x14ac:dyDescent="0.15">
      <c r="A3546" s="8" t="s">
        <v>19068</v>
      </c>
      <c r="B3546" s="9" t="s">
        <v>19069</v>
      </c>
      <c r="C3546" s="8" t="s">
        <v>19070</v>
      </c>
      <c r="D3546" s="8" t="s">
        <v>19070</v>
      </c>
      <c r="E3546" s="8" t="s">
        <v>19071</v>
      </c>
      <c r="F3546" s="8" t="s">
        <v>18993</v>
      </c>
      <c r="G3546" s="8" t="s">
        <v>19072</v>
      </c>
      <c r="H3546" s="8" t="s">
        <v>18971</v>
      </c>
      <c r="I3546" s="8" t="str">
        <f>HYPERLINK("http://www.ninaleuca.com/","www.ninaleuca.com")</f>
        <v>www.ninaleuca.com</v>
      </c>
      <c r="J3546" s="10">
        <v>609.28700000000003</v>
      </c>
      <c r="K3546" s="10">
        <v>609.28700000000003</v>
      </c>
      <c r="L3546" s="10">
        <v>603.72799999999995</v>
      </c>
      <c r="M3546" s="10">
        <v>72.852999999999994</v>
      </c>
      <c r="N3546" s="10">
        <v>72.852999999999994</v>
      </c>
      <c r="O3546" s="10">
        <v>83.731999999999999</v>
      </c>
      <c r="P3546" s="10">
        <v>7</v>
      </c>
      <c r="Q3546" s="10">
        <v>7</v>
      </c>
      <c r="R3546" s="10">
        <v>6</v>
      </c>
    </row>
    <row r="3547" spans="1:18" ht="17" customHeight="1" x14ac:dyDescent="0.15">
      <c r="A3547" s="11" t="s">
        <v>19073</v>
      </c>
      <c r="B3547" s="1" t="s">
        <v>19074</v>
      </c>
      <c r="C3547" s="11" t="s">
        <v>19075</v>
      </c>
      <c r="D3547" s="11" t="s">
        <v>19075</v>
      </c>
      <c r="E3547" s="11" t="s">
        <v>19076</v>
      </c>
      <c r="F3547" s="11" t="s">
        <v>18993</v>
      </c>
      <c r="G3547" s="11" t="s">
        <v>19077</v>
      </c>
      <c r="H3547" s="11" t="s">
        <v>19028</v>
      </c>
      <c r="I3547" s="11" t="str">
        <f>HYPERLINK("http://www.club.ciaomondo.us/","www.club.ciaomondo.us")</f>
        <v>www.club.ciaomondo.us</v>
      </c>
      <c r="J3547" s="12">
        <v>577.66399999999999</v>
      </c>
      <c r="K3547" s="12">
        <v>577.66399999999999</v>
      </c>
      <c r="L3547" s="13">
        <v>600.71699999999998</v>
      </c>
      <c r="M3547" s="12">
        <v>2.1859999999999999</v>
      </c>
      <c r="N3547" s="12">
        <v>2.1859999999999999</v>
      </c>
      <c r="O3547" s="12">
        <v>16.068999999999999</v>
      </c>
      <c r="P3547" s="12">
        <v>3</v>
      </c>
      <c r="Q3547" s="12">
        <v>3</v>
      </c>
      <c r="R3547" s="12">
        <v>2</v>
      </c>
    </row>
    <row r="3548" spans="1:18" ht="17" customHeight="1" x14ac:dyDescent="0.15">
      <c r="A3548" s="8" t="s">
        <v>19078</v>
      </c>
      <c r="B3548" s="9" t="s">
        <v>19079</v>
      </c>
      <c r="C3548" s="8" t="s">
        <v>19080</v>
      </c>
      <c r="D3548" s="8" t="s">
        <v>19080</v>
      </c>
      <c r="E3548" s="8" t="s">
        <v>19081</v>
      </c>
      <c r="F3548" s="8" t="s">
        <v>18969</v>
      </c>
      <c r="G3548" s="8" t="s">
        <v>19082</v>
      </c>
      <c r="H3548" s="8" t="s">
        <v>18971</v>
      </c>
      <c r="I3548" s="8" t="str">
        <f>HYPERLINK("http://www.rossorame.com/","www.rossorame.com")</f>
        <v>www.rossorame.com</v>
      </c>
      <c r="J3548" s="10">
        <v>572.572</v>
      </c>
      <c r="K3548" s="10">
        <v>572.572</v>
      </c>
      <c r="L3548" s="10">
        <v>599.00900000000001</v>
      </c>
      <c r="M3548" s="10">
        <v>2.2639999999999998</v>
      </c>
      <c r="N3548" s="10">
        <v>2.2639999999999998</v>
      </c>
      <c r="O3548" s="10">
        <v>-20.190999999999999</v>
      </c>
      <c r="P3548" s="10">
        <v>18</v>
      </c>
      <c r="Q3548" s="10">
        <v>18</v>
      </c>
      <c r="R3548" s="10">
        <v>7</v>
      </c>
    </row>
    <row r="3549" spans="1:18" ht="17" customHeight="1" x14ac:dyDescent="0.15">
      <c r="A3549" s="11" t="s">
        <v>19083</v>
      </c>
      <c r="B3549" s="1" t="s">
        <v>19084</v>
      </c>
      <c r="C3549" s="11" t="s">
        <v>19085</v>
      </c>
      <c r="D3549" s="11" t="s">
        <v>19085</v>
      </c>
      <c r="E3549" s="11" t="s">
        <v>19086</v>
      </c>
      <c r="F3549" s="11" t="s">
        <v>18969</v>
      </c>
      <c r="G3549" s="11" t="s">
        <v>19087</v>
      </c>
      <c r="H3549" s="11" t="s">
        <v>19051</v>
      </c>
      <c r="I3549" s="11" t="str">
        <f>HYPERLINK("http://www.bisousmodena.it/","www.bisousmodena.it")</f>
        <v>www.bisousmodena.it</v>
      </c>
      <c r="J3549" s="12">
        <v>567.495</v>
      </c>
      <c r="K3549" s="12">
        <v>567.495</v>
      </c>
      <c r="L3549" s="13">
        <v>598.21</v>
      </c>
      <c r="M3549" s="12">
        <v>-0.89400000000000002</v>
      </c>
      <c r="N3549" s="12">
        <v>-0.89400000000000002</v>
      </c>
      <c r="O3549" s="12">
        <v>2.5999999999999999E-2</v>
      </c>
      <c r="P3549" s="12">
        <v>3</v>
      </c>
      <c r="Q3549" s="12">
        <v>3</v>
      </c>
      <c r="R3549" s="12">
        <v>3</v>
      </c>
    </row>
    <row r="3550" spans="1:18" ht="17" customHeight="1" x14ac:dyDescent="0.15">
      <c r="A3550" s="8" t="s">
        <v>19088</v>
      </c>
      <c r="B3550" s="9" t="s">
        <v>19089</v>
      </c>
      <c r="C3550" s="8" t="s">
        <v>19090</v>
      </c>
      <c r="D3550" s="8" t="s">
        <v>19090</v>
      </c>
      <c r="E3550" s="8" t="s">
        <v>19091</v>
      </c>
      <c r="F3550" s="8" t="s">
        <v>18993</v>
      </c>
      <c r="G3550" s="8" t="s">
        <v>19087</v>
      </c>
      <c r="H3550" s="8" t="s">
        <v>19051</v>
      </c>
      <c r="I3550" s="8" t="str">
        <f>HYPERLINK("http://www.tredconfezioni-modena.it/","www.tredconfezioni-modena.it")</f>
        <v>www.tredconfezioni-modena.it</v>
      </c>
      <c r="J3550" s="10">
        <v>651.31899999999996</v>
      </c>
      <c r="K3550" s="10">
        <v>651.31899999999996</v>
      </c>
      <c r="L3550" s="10">
        <v>598.05600000000004</v>
      </c>
      <c r="M3550" s="10">
        <v>0.82</v>
      </c>
      <c r="N3550" s="10">
        <v>0.82</v>
      </c>
      <c r="O3550" s="10">
        <v>0.23699999999999999</v>
      </c>
      <c r="P3550" s="10">
        <v>6</v>
      </c>
      <c r="Q3550" s="10">
        <v>6</v>
      </c>
      <c r="R3550" s="10">
        <v>6</v>
      </c>
    </row>
    <row r="3551" spans="1:18" ht="43" customHeight="1" x14ac:dyDescent="0.15">
      <c r="A3551" s="11" t="s">
        <v>19092</v>
      </c>
      <c r="B3551" s="1" t="s">
        <v>19093</v>
      </c>
      <c r="C3551" s="11" t="s">
        <v>19094</v>
      </c>
      <c r="D3551" s="11" t="s">
        <v>19094</v>
      </c>
      <c r="E3551" s="11" t="s">
        <v>19095</v>
      </c>
      <c r="F3551" s="11" t="s">
        <v>18969</v>
      </c>
      <c r="G3551" s="11" t="s">
        <v>19096</v>
      </c>
      <c r="H3551" s="11" t="s">
        <v>19051</v>
      </c>
      <c r="I3551" s="11" t="str">
        <f>HYPERLINK("http://www.officina-italiana.com/","www.officina-italiana.com")</f>
        <v>www.officina-italiana.com</v>
      </c>
      <c r="J3551" s="12">
        <v>515.995</v>
      </c>
      <c r="K3551" s="12">
        <v>515.995</v>
      </c>
      <c r="L3551" s="13">
        <v>597.98900000000003</v>
      </c>
      <c r="M3551" s="12">
        <v>6.234</v>
      </c>
      <c r="N3551" s="12">
        <v>6.234</v>
      </c>
      <c r="O3551" s="12">
        <v>9.5920000000000005</v>
      </c>
      <c r="P3551" s="14" t="s">
        <v>18941</v>
      </c>
      <c r="Q3551" s="14" t="s">
        <v>18941</v>
      </c>
      <c r="R3551" s="12">
        <v>2</v>
      </c>
    </row>
    <row r="3552" spans="1:18" ht="17" customHeight="1" x14ac:dyDescent="0.15">
      <c r="A3552" s="8" t="s">
        <v>19097</v>
      </c>
      <c r="B3552" s="9" t="s">
        <v>19098</v>
      </c>
      <c r="C3552" s="8" t="s">
        <v>19099</v>
      </c>
      <c r="D3552" s="8" t="s">
        <v>19099</v>
      </c>
      <c r="E3552" s="8" t="s">
        <v>19100</v>
      </c>
      <c r="F3552" s="8" t="s">
        <v>19101</v>
      </c>
      <c r="G3552" s="8" t="s">
        <v>19087</v>
      </c>
      <c r="H3552" s="8" t="s">
        <v>19051</v>
      </c>
      <c r="I3552" s="8" t="str">
        <f>HYPERLINK("http://bigdolby.com/","bigdolby.com")</f>
        <v>bigdolby.com</v>
      </c>
      <c r="J3552" s="10">
        <v>618.221</v>
      </c>
      <c r="K3552" s="10">
        <v>618.221</v>
      </c>
      <c r="L3552" s="10">
        <v>596.38699999999994</v>
      </c>
      <c r="M3552" s="10">
        <v>5.97</v>
      </c>
      <c r="N3552" s="10">
        <v>5.97</v>
      </c>
      <c r="O3552" s="10">
        <v>39.646999999999998</v>
      </c>
      <c r="P3552" s="10">
        <v>2</v>
      </c>
      <c r="Q3552" s="10">
        <v>2</v>
      </c>
      <c r="R3552" s="10">
        <v>2</v>
      </c>
    </row>
    <row r="3553" spans="1:18" ht="17" customHeight="1" x14ac:dyDescent="0.15">
      <c r="A3553" s="11" t="s">
        <v>19102</v>
      </c>
      <c r="B3553" s="1" t="s">
        <v>19103</v>
      </c>
      <c r="C3553" s="11" t="s">
        <v>19104</v>
      </c>
      <c r="D3553" s="11" t="s">
        <v>19104</v>
      </c>
      <c r="E3553" s="11" t="s">
        <v>19105</v>
      </c>
      <c r="F3553" s="11" t="s">
        <v>19106</v>
      </c>
      <c r="G3553" s="11" t="s">
        <v>19107</v>
      </c>
      <c r="H3553" s="11" t="s">
        <v>19108</v>
      </c>
      <c r="I3553" s="11" t="str">
        <f>HYPERLINK("http://www.filet-shop.com/","www.filet-shop.com")</f>
        <v>www.filet-shop.com</v>
      </c>
      <c r="J3553" s="12">
        <v>607.01700000000005</v>
      </c>
      <c r="K3553" s="12">
        <v>607.01700000000005</v>
      </c>
      <c r="L3553" s="13">
        <v>595.71500000000003</v>
      </c>
      <c r="M3553" s="12">
        <v>1.9610000000000001</v>
      </c>
      <c r="N3553" s="12">
        <v>1.9610000000000001</v>
      </c>
      <c r="O3553" s="12">
        <v>3.5579999999999998</v>
      </c>
      <c r="P3553" s="12">
        <v>1</v>
      </c>
      <c r="Q3553" s="12">
        <v>1</v>
      </c>
      <c r="R3553" s="12">
        <v>1</v>
      </c>
    </row>
    <row r="3554" spans="1:18" ht="17" customHeight="1" x14ac:dyDescent="0.15">
      <c r="A3554" s="8" t="s">
        <v>19109</v>
      </c>
      <c r="B3554" s="9" t="s">
        <v>19110</v>
      </c>
      <c r="C3554" s="8" t="s">
        <v>19111</v>
      </c>
      <c r="D3554" s="8" t="s">
        <v>19111</v>
      </c>
      <c r="E3554" s="8" t="s">
        <v>19112</v>
      </c>
      <c r="F3554" s="8" t="s">
        <v>19113</v>
      </c>
      <c r="G3554" s="8" t="s">
        <v>19114</v>
      </c>
      <c r="H3554" s="8" t="s">
        <v>19115</v>
      </c>
      <c r="I3554" s="8" t="str">
        <f>HYPERLINK("http://www.ncpsrl.com/","www.ncpsrl.com")</f>
        <v>www.ncpsrl.com</v>
      </c>
      <c r="J3554" s="10">
        <v>702.14499999999998</v>
      </c>
      <c r="K3554" s="10">
        <v>702.14499999999998</v>
      </c>
      <c r="L3554" s="10">
        <v>595.02800000000002</v>
      </c>
      <c r="M3554" s="10">
        <v>16.465</v>
      </c>
      <c r="N3554" s="10">
        <v>16.465</v>
      </c>
      <c r="O3554" s="10">
        <v>23.483000000000001</v>
      </c>
      <c r="P3554" s="15" t="s">
        <v>19116</v>
      </c>
      <c r="Q3554" s="15" t="s">
        <v>19116</v>
      </c>
      <c r="R3554" s="10">
        <v>8</v>
      </c>
    </row>
    <row r="3555" spans="1:18" ht="17" customHeight="1" x14ac:dyDescent="0.15">
      <c r="A3555" s="11" t="s">
        <v>19117</v>
      </c>
      <c r="B3555" s="1" t="s">
        <v>19118</v>
      </c>
      <c r="C3555" s="11" t="s">
        <v>19119</v>
      </c>
      <c r="D3555" s="11" t="s">
        <v>19119</v>
      </c>
      <c r="E3555" s="11" t="s">
        <v>19120</v>
      </c>
      <c r="F3555" s="11" t="s">
        <v>19121</v>
      </c>
      <c r="G3555" s="11" t="s">
        <v>19122</v>
      </c>
      <c r="H3555" s="11" t="s">
        <v>19115</v>
      </c>
      <c r="I3555" s="11" t="str">
        <f>HYPERLINK("http://www.calzaturificiodinos.it/","www.calzaturificiodinos.it")</f>
        <v>www.calzaturificiodinos.it</v>
      </c>
      <c r="J3555" s="12">
        <v>634.51599999999996</v>
      </c>
      <c r="K3555" s="12">
        <v>634.51599999999996</v>
      </c>
      <c r="L3555" s="13">
        <v>594.03499999999997</v>
      </c>
      <c r="M3555" s="12">
        <v>15.569000000000001</v>
      </c>
      <c r="N3555" s="12">
        <v>15.569000000000001</v>
      </c>
      <c r="O3555" s="12">
        <v>23.609000000000002</v>
      </c>
      <c r="P3555" s="12">
        <v>2</v>
      </c>
      <c r="Q3555" s="12">
        <v>2</v>
      </c>
      <c r="R3555" s="12">
        <v>2</v>
      </c>
    </row>
    <row r="3556" spans="1:18" ht="17" customHeight="1" x14ac:dyDescent="0.15">
      <c r="A3556" s="8" t="s">
        <v>19123</v>
      </c>
      <c r="B3556" s="9" t="s">
        <v>19124</v>
      </c>
      <c r="C3556" s="8" t="s">
        <v>19125</v>
      </c>
      <c r="D3556" s="8" t="s">
        <v>19125</v>
      </c>
      <c r="E3556" s="8" t="s">
        <v>19126</v>
      </c>
      <c r="F3556" s="8" t="s">
        <v>19113</v>
      </c>
      <c r="G3556" s="8" t="s">
        <v>19127</v>
      </c>
      <c r="H3556" s="8" t="s">
        <v>19108</v>
      </c>
      <c r="I3556" s="8" t="str">
        <f>HYPERLINK("http://www.eurotac.it/","www.eurotac.it")</f>
        <v>www.eurotac.it</v>
      </c>
      <c r="J3556" s="10">
        <v>588.07799999999997</v>
      </c>
      <c r="K3556" s="10">
        <v>588.07799999999997</v>
      </c>
      <c r="L3556" s="10">
        <v>593.40599999999995</v>
      </c>
      <c r="M3556" s="10">
        <v>1.5580000000000001</v>
      </c>
      <c r="N3556" s="10">
        <v>1.5580000000000001</v>
      </c>
      <c r="O3556" s="10">
        <v>4.4820000000000002</v>
      </c>
      <c r="P3556" s="10">
        <v>2</v>
      </c>
      <c r="Q3556" s="10">
        <v>2</v>
      </c>
      <c r="R3556" s="10">
        <v>2</v>
      </c>
    </row>
    <row r="3557" spans="1:18" ht="17" customHeight="1" x14ac:dyDescent="0.15">
      <c r="A3557" s="11" t="s">
        <v>19128</v>
      </c>
      <c r="B3557" s="1" t="s">
        <v>19129</v>
      </c>
      <c r="C3557" s="11" t="s">
        <v>19130</v>
      </c>
      <c r="D3557" s="11" t="s">
        <v>19130</v>
      </c>
      <c r="E3557" s="11" t="s">
        <v>19131</v>
      </c>
      <c r="F3557" s="11" t="s">
        <v>19121</v>
      </c>
      <c r="G3557" s="11" t="s">
        <v>19132</v>
      </c>
      <c r="H3557" s="11" t="s">
        <v>19133</v>
      </c>
      <c r="I3557" s="11" t="str">
        <f>HYPERLINK("http://francescosacco.it/","francescosacco.it")</f>
        <v>francescosacco.it</v>
      </c>
      <c r="J3557" s="12">
        <v>648.36699999999996</v>
      </c>
      <c r="K3557" s="12">
        <v>648.36699999999996</v>
      </c>
      <c r="L3557" s="13">
        <v>592.81600000000003</v>
      </c>
      <c r="M3557" s="12">
        <v>2.786</v>
      </c>
      <c r="N3557" s="12">
        <v>2.786</v>
      </c>
      <c r="O3557" s="12">
        <v>-2.7370000000000001</v>
      </c>
      <c r="P3557" s="14" t="s">
        <v>19116</v>
      </c>
      <c r="Q3557" s="14" t="s">
        <v>19116</v>
      </c>
      <c r="R3557" s="12">
        <v>7</v>
      </c>
    </row>
    <row r="3558" spans="1:18" ht="17" customHeight="1" x14ac:dyDescent="0.15">
      <c r="A3558" s="8" t="s">
        <v>19134</v>
      </c>
      <c r="B3558" s="9" t="s">
        <v>19135</v>
      </c>
      <c r="C3558" s="8" t="s">
        <v>19136</v>
      </c>
      <c r="D3558" s="8" t="s">
        <v>19136</v>
      </c>
      <c r="E3558" s="8" t="s">
        <v>19137</v>
      </c>
      <c r="F3558" s="8" t="s">
        <v>19113</v>
      </c>
      <c r="G3558" s="8" t="s">
        <v>19138</v>
      </c>
      <c r="H3558" s="8" t="s">
        <v>19139</v>
      </c>
      <c r="I3558" s="8" t="str">
        <f>HYPERLINK("http://www.oropelitalia.it/","www.oropelitalia.it")</f>
        <v>www.oropelitalia.it</v>
      </c>
      <c r="J3558" s="10">
        <v>424.18799999999999</v>
      </c>
      <c r="K3558" s="10">
        <v>424.18799999999999</v>
      </c>
      <c r="L3558" s="10">
        <v>592.41800000000001</v>
      </c>
      <c r="M3558" s="10">
        <v>-48.414000000000001</v>
      </c>
      <c r="N3558" s="10">
        <v>-48.414000000000001</v>
      </c>
      <c r="O3558" s="10">
        <v>12.879</v>
      </c>
      <c r="P3558" s="15" t="s">
        <v>19116</v>
      </c>
      <c r="Q3558" s="15" t="s">
        <v>19116</v>
      </c>
      <c r="R3558" s="10">
        <v>7</v>
      </c>
    </row>
    <row r="3559" spans="1:18" ht="17" customHeight="1" x14ac:dyDescent="0.15">
      <c r="A3559" s="11" t="s">
        <v>19140</v>
      </c>
      <c r="B3559" s="1" t="s">
        <v>19141</v>
      </c>
      <c r="C3559" s="11" t="s">
        <v>19142</v>
      </c>
      <c r="D3559" s="11" t="s">
        <v>19142</v>
      </c>
      <c r="E3559" s="11" t="s">
        <v>19143</v>
      </c>
      <c r="F3559" s="11" t="s">
        <v>19144</v>
      </c>
      <c r="G3559" s="11" t="s">
        <v>19132</v>
      </c>
      <c r="H3559" s="11" t="s">
        <v>19133</v>
      </c>
      <c r="I3559" s="11" t="str">
        <f>HYPERLINK("http://www.margheritamazzei.com/","www.margheritamazzei.com")</f>
        <v>www.margheritamazzei.com</v>
      </c>
      <c r="J3559" s="12">
        <v>778.351</v>
      </c>
      <c r="K3559" s="12">
        <v>778.351</v>
      </c>
      <c r="L3559" s="13">
        <v>592.13099999999997</v>
      </c>
      <c r="M3559" s="12">
        <v>4.22</v>
      </c>
      <c r="N3559" s="12">
        <v>4.22</v>
      </c>
      <c r="O3559" s="12">
        <v>25.780999999999999</v>
      </c>
      <c r="P3559" s="12">
        <v>5</v>
      </c>
      <c r="Q3559" s="12">
        <v>5</v>
      </c>
      <c r="R3559" s="12">
        <v>5</v>
      </c>
    </row>
    <row r="3560" spans="1:18" ht="17" customHeight="1" x14ac:dyDescent="0.15">
      <c r="A3560" s="8" t="s">
        <v>19145</v>
      </c>
      <c r="B3560" s="9" t="s">
        <v>19146</v>
      </c>
      <c r="C3560" s="8" t="s">
        <v>19147</v>
      </c>
      <c r="D3560" s="8" t="s">
        <v>19147</v>
      </c>
      <c r="E3560" s="8" t="s">
        <v>19148</v>
      </c>
      <c r="F3560" s="8" t="s">
        <v>19149</v>
      </c>
      <c r="G3560" s="8" t="s">
        <v>19150</v>
      </c>
      <c r="H3560" s="8" t="s">
        <v>19151</v>
      </c>
      <c r="I3560" s="8" t="str">
        <f>HYPERLINK("http://mastaiferretti.it/","mastaiferretti.it")</f>
        <v>mastaiferretti.it</v>
      </c>
      <c r="J3560" s="10">
        <v>719.68100000000004</v>
      </c>
      <c r="K3560" s="10">
        <v>719.68100000000004</v>
      </c>
      <c r="L3560" s="10">
        <v>592.09799999999996</v>
      </c>
      <c r="M3560" s="10">
        <v>28.562999999999999</v>
      </c>
      <c r="N3560" s="10">
        <v>28.562999999999999</v>
      </c>
      <c r="O3560" s="10">
        <v>30.771999999999998</v>
      </c>
      <c r="P3560" s="15" t="s">
        <v>19116</v>
      </c>
      <c r="Q3560" s="15" t="s">
        <v>19116</v>
      </c>
      <c r="R3560" s="10">
        <v>3</v>
      </c>
    </row>
    <row r="3561" spans="1:18" ht="17" customHeight="1" x14ac:dyDescent="0.15">
      <c r="A3561" s="11" t="s">
        <v>19152</v>
      </c>
      <c r="B3561" s="1" t="s">
        <v>19153</v>
      </c>
      <c r="C3561" s="11" t="s">
        <v>19154</v>
      </c>
      <c r="D3561" s="11" t="s">
        <v>19154</v>
      </c>
      <c r="E3561" s="11" t="s">
        <v>19155</v>
      </c>
      <c r="F3561" s="11" t="s">
        <v>19106</v>
      </c>
      <c r="G3561" s="11" t="s">
        <v>19156</v>
      </c>
      <c r="H3561" s="11" t="s">
        <v>19157</v>
      </c>
      <c r="I3561" s="11" t="str">
        <f>HYPERLINK("http://www.natalimaglificio.it/","www.natalimaglificio.it")</f>
        <v>www.natalimaglificio.it</v>
      </c>
      <c r="J3561" s="12">
        <v>544.69799999999998</v>
      </c>
      <c r="K3561" s="12">
        <v>544.69799999999998</v>
      </c>
      <c r="L3561" s="13">
        <v>592.07000000000005</v>
      </c>
      <c r="M3561" s="12">
        <v>21.425999999999998</v>
      </c>
      <c r="N3561" s="12">
        <v>21.425999999999998</v>
      </c>
      <c r="O3561" s="12">
        <v>28.652000000000001</v>
      </c>
      <c r="P3561" s="12">
        <v>7</v>
      </c>
      <c r="Q3561" s="12">
        <v>7</v>
      </c>
      <c r="R3561" s="12">
        <v>9</v>
      </c>
    </row>
    <row r="3562" spans="1:18" ht="17" customHeight="1" x14ac:dyDescent="0.15">
      <c r="A3562" s="8" t="s">
        <v>19158</v>
      </c>
      <c r="B3562" s="9" t="s">
        <v>19159</v>
      </c>
      <c r="C3562" s="8" t="s">
        <v>19160</v>
      </c>
      <c r="D3562" s="8" t="s">
        <v>19160</v>
      </c>
      <c r="E3562" s="8" t="s">
        <v>19161</v>
      </c>
      <c r="F3562" s="8" t="s">
        <v>19162</v>
      </c>
      <c r="G3562" s="8" t="s">
        <v>19163</v>
      </c>
      <c r="H3562" s="8" t="s">
        <v>19151</v>
      </c>
      <c r="I3562" s="8" t="str">
        <f>HYPERLINK("http://www.emervol.it/","www.emervol.it")</f>
        <v>www.emervol.it</v>
      </c>
      <c r="J3562" s="10">
        <v>639.91399999999999</v>
      </c>
      <c r="K3562" s="10">
        <v>639.91399999999999</v>
      </c>
      <c r="L3562" s="10">
        <v>591.36699999999996</v>
      </c>
      <c r="M3562" s="10">
        <v>10.29</v>
      </c>
      <c r="N3562" s="10">
        <v>10.29</v>
      </c>
      <c r="O3562" s="10">
        <v>28.974</v>
      </c>
      <c r="P3562" s="10">
        <v>10</v>
      </c>
      <c r="Q3562" s="10">
        <v>10</v>
      </c>
      <c r="R3562" s="10">
        <v>14</v>
      </c>
    </row>
    <row r="3563" spans="1:18" ht="17" customHeight="1" x14ac:dyDescent="0.15">
      <c r="A3563" s="11" t="s">
        <v>19164</v>
      </c>
      <c r="B3563" s="1" t="s">
        <v>19165</v>
      </c>
      <c r="C3563" s="11" t="s">
        <v>19166</v>
      </c>
      <c r="D3563" s="11" t="s">
        <v>19166</v>
      </c>
      <c r="E3563" s="11" t="s">
        <v>19167</v>
      </c>
      <c r="F3563" s="11" t="s">
        <v>19168</v>
      </c>
      <c r="G3563" s="11" t="s">
        <v>19122</v>
      </c>
      <c r="H3563" s="11" t="s">
        <v>19115</v>
      </c>
      <c r="I3563" s="11" t="str">
        <f>HYPERLINK("http://www.oldbergstyle.com/","www.oldbergstyle.com")</f>
        <v>www.oldbergstyle.com</v>
      </c>
      <c r="J3563" s="12">
        <v>402.44099999999997</v>
      </c>
      <c r="K3563" s="12">
        <v>402.44099999999997</v>
      </c>
      <c r="L3563" s="13">
        <v>591.28399999999999</v>
      </c>
      <c r="M3563" s="12">
        <v>-35.179000000000002</v>
      </c>
      <c r="N3563" s="12">
        <v>-35.179000000000002</v>
      </c>
      <c r="O3563" s="12">
        <v>8.8420000000000005</v>
      </c>
      <c r="P3563" s="14" t="s">
        <v>19116</v>
      </c>
      <c r="Q3563" s="14" t="s">
        <v>19116</v>
      </c>
      <c r="R3563" s="12">
        <v>12</v>
      </c>
    </row>
    <row r="3564" spans="1:18" ht="17" customHeight="1" x14ac:dyDescent="0.15">
      <c r="A3564" s="8" t="s">
        <v>19169</v>
      </c>
      <c r="B3564" s="9" t="s">
        <v>19170</v>
      </c>
      <c r="C3564" s="8" t="s">
        <v>19171</v>
      </c>
      <c r="D3564" s="8" t="s">
        <v>19171</v>
      </c>
      <c r="E3564" s="8" t="s">
        <v>19172</v>
      </c>
      <c r="F3564" s="8" t="s">
        <v>19121</v>
      </c>
      <c r="G3564" s="8" t="s">
        <v>19107</v>
      </c>
      <c r="H3564" s="8" t="s">
        <v>19108</v>
      </c>
      <c r="I3564" s="8" t="str">
        <f>HYPERLINK("http://www.styldea.com/","www.styldea.com")</f>
        <v>www.styldea.com</v>
      </c>
      <c r="J3564" s="10">
        <v>589.54499999999996</v>
      </c>
      <c r="K3564" s="10">
        <v>589.54499999999996</v>
      </c>
      <c r="L3564" s="10">
        <v>590.94500000000005</v>
      </c>
      <c r="M3564" s="10">
        <v>4.258</v>
      </c>
      <c r="N3564" s="10">
        <v>4.258</v>
      </c>
      <c r="O3564" s="10">
        <v>2.802</v>
      </c>
      <c r="P3564" s="15" t="s">
        <v>19116</v>
      </c>
      <c r="Q3564" s="15" t="s">
        <v>19116</v>
      </c>
      <c r="R3564" s="10">
        <v>14</v>
      </c>
    </row>
    <row r="3565" spans="1:18" ht="17" customHeight="1" x14ac:dyDescent="0.15">
      <c r="A3565" s="11" t="s">
        <v>19173</v>
      </c>
      <c r="B3565" s="1" t="s">
        <v>19174</v>
      </c>
      <c r="C3565" s="11" t="s">
        <v>19175</v>
      </c>
      <c r="D3565" s="11" t="s">
        <v>19175</v>
      </c>
      <c r="E3565" s="11" t="s">
        <v>19176</v>
      </c>
      <c r="F3565" s="11" t="s">
        <v>19121</v>
      </c>
      <c r="G3565" s="11" t="s">
        <v>19122</v>
      </c>
      <c r="H3565" s="11" t="s">
        <v>19115</v>
      </c>
      <c r="I3565" s="11" t="str">
        <f>HYPERLINK("http://eurekatheoriginal.it/","eurekatheoriginal.it")</f>
        <v>eurekatheoriginal.it</v>
      </c>
      <c r="J3565" s="12">
        <v>800.85299999999995</v>
      </c>
      <c r="K3565" s="12">
        <v>800.85299999999995</v>
      </c>
      <c r="L3565" s="13">
        <v>590.846</v>
      </c>
      <c r="M3565" s="12">
        <v>54.597000000000001</v>
      </c>
      <c r="N3565" s="12">
        <v>54.597000000000001</v>
      </c>
      <c r="O3565" s="12">
        <v>23.277999999999999</v>
      </c>
      <c r="P3565" s="12">
        <v>4</v>
      </c>
      <c r="Q3565" s="12">
        <v>4</v>
      </c>
      <c r="R3565" s="12">
        <v>3</v>
      </c>
    </row>
    <row r="3566" spans="1:18" ht="17" customHeight="1" x14ac:dyDescent="0.15">
      <c r="A3566" s="8" t="s">
        <v>19177</v>
      </c>
      <c r="B3566" s="9" t="s">
        <v>19178</v>
      </c>
      <c r="C3566" s="8" t="s">
        <v>19179</v>
      </c>
      <c r="D3566" s="8" t="s">
        <v>19179</v>
      </c>
      <c r="E3566" s="8" t="s">
        <v>19180</v>
      </c>
      <c r="F3566" s="8" t="s">
        <v>19181</v>
      </c>
      <c r="G3566" s="8" t="s">
        <v>19114</v>
      </c>
      <c r="H3566" s="8" t="s">
        <v>19115</v>
      </c>
      <c r="I3566" s="8" t="str">
        <f>HYPERLINK("http://mundialdesign.it/","mundialdesign.it/")</f>
        <v>mundialdesign.it/</v>
      </c>
      <c r="J3566" s="10">
        <v>599.36300000000006</v>
      </c>
      <c r="K3566" s="10">
        <v>599.36300000000006</v>
      </c>
      <c r="L3566" s="10">
        <v>590.06399999999996</v>
      </c>
      <c r="M3566" s="10">
        <v>14.138999999999999</v>
      </c>
      <c r="N3566" s="10">
        <v>14.138999999999999</v>
      </c>
      <c r="O3566" s="10">
        <v>78.090999999999994</v>
      </c>
      <c r="P3566" s="10">
        <v>10</v>
      </c>
      <c r="Q3566" s="10">
        <v>10</v>
      </c>
      <c r="R3566" s="10">
        <v>6</v>
      </c>
    </row>
    <row r="3567" spans="1:18" ht="17" customHeight="1" x14ac:dyDescent="0.15">
      <c r="A3567" s="11" t="s">
        <v>19182</v>
      </c>
      <c r="B3567" s="1" t="s">
        <v>19183</v>
      </c>
      <c r="C3567" s="11" t="s">
        <v>19184</v>
      </c>
      <c r="D3567" s="11" t="s">
        <v>19184</v>
      </c>
      <c r="E3567" s="11" t="s">
        <v>19185</v>
      </c>
      <c r="F3567" s="11" t="s">
        <v>19186</v>
      </c>
      <c r="G3567" s="11" t="s">
        <v>19187</v>
      </c>
      <c r="H3567" s="11" t="s">
        <v>19188</v>
      </c>
      <c r="I3567" s="11" t="str">
        <f>HYPERLINK("http://www.federicarossijewels.com/","www.federicarossijewels.com")</f>
        <v>www.federicarossijewels.com</v>
      </c>
      <c r="J3567" s="12">
        <v>765.005</v>
      </c>
      <c r="K3567" s="12">
        <v>765.005</v>
      </c>
      <c r="L3567" s="13">
        <v>588.82299999999998</v>
      </c>
      <c r="M3567" s="12">
        <v>2.7130000000000001</v>
      </c>
      <c r="N3567" s="12">
        <v>2.7130000000000001</v>
      </c>
      <c r="O3567" s="12">
        <v>2.7109999999999999</v>
      </c>
      <c r="P3567" s="12">
        <v>12</v>
      </c>
      <c r="Q3567" s="12">
        <v>12</v>
      </c>
      <c r="R3567" s="12">
        <v>13</v>
      </c>
    </row>
    <row r="3568" spans="1:18" ht="29.5" customHeight="1" x14ac:dyDescent="0.15">
      <c r="A3568" s="8" t="s">
        <v>19189</v>
      </c>
      <c r="B3568" s="9" t="s">
        <v>19190</v>
      </c>
      <c r="C3568" s="8" t="s">
        <v>19191</v>
      </c>
      <c r="D3568" s="8" t="s">
        <v>19191</v>
      </c>
      <c r="E3568" s="8" t="s">
        <v>19192</v>
      </c>
      <c r="F3568" s="8" t="s">
        <v>19121</v>
      </c>
      <c r="G3568" s="8" t="s">
        <v>19193</v>
      </c>
      <c r="H3568" s="8" t="s">
        <v>19139</v>
      </c>
      <c r="I3568" s="8" t="str">
        <f>HYPERLINK("http://www.calzaturificiomorlacchi.it/","www.calzaturificiomorlacchi.it")</f>
        <v>www.calzaturificiomorlacchi.it</v>
      </c>
      <c r="J3568" s="10">
        <v>697.71600000000001</v>
      </c>
      <c r="K3568" s="10">
        <v>762.16399999999999</v>
      </c>
      <c r="L3568" s="10">
        <v>587.98299999999995</v>
      </c>
      <c r="M3568" s="10">
        <v>115.143</v>
      </c>
      <c r="N3568" s="10">
        <v>23.452000000000002</v>
      </c>
      <c r="O3568" s="10">
        <v>8.3040000000000003</v>
      </c>
      <c r="P3568" s="10">
        <v>7</v>
      </c>
      <c r="Q3568" s="10">
        <v>8</v>
      </c>
      <c r="R3568" s="10">
        <v>8</v>
      </c>
    </row>
    <row r="3569" spans="1:18" ht="17" customHeight="1" x14ac:dyDescent="0.15">
      <c r="A3569" s="11" t="s">
        <v>19194</v>
      </c>
      <c r="B3569" s="1" t="s">
        <v>19195</v>
      </c>
      <c r="C3569" s="11" t="s">
        <v>19196</v>
      </c>
      <c r="D3569" s="11" t="s">
        <v>19196</v>
      </c>
      <c r="E3569" s="11" t="s">
        <v>19197</v>
      </c>
      <c r="F3569" s="11" t="s">
        <v>19106</v>
      </c>
      <c r="G3569" s="11" t="s">
        <v>19198</v>
      </c>
      <c r="H3569" s="11" t="s">
        <v>19199</v>
      </c>
      <c r="I3569" s="11" t="str">
        <f>HYPERLINK("http://www.sportlifeweb.com/","www.sportlifeweb.com")</f>
        <v>www.sportlifeweb.com</v>
      </c>
      <c r="J3569" s="12">
        <v>595.57500000000005</v>
      </c>
      <c r="K3569" s="12">
        <v>595.57500000000005</v>
      </c>
      <c r="L3569" s="13">
        <v>587.66600000000005</v>
      </c>
      <c r="M3569" s="12">
        <v>5.0019999999999998</v>
      </c>
      <c r="N3569" s="12">
        <v>5.0019999999999998</v>
      </c>
      <c r="O3569" s="12">
        <v>28.797999999999998</v>
      </c>
      <c r="P3569" s="12">
        <v>5</v>
      </c>
      <c r="Q3569" s="12">
        <v>5</v>
      </c>
      <c r="R3569" s="12">
        <v>3</v>
      </c>
    </row>
    <row r="3570" spans="1:18" ht="43" customHeight="1" x14ac:dyDescent="0.15">
      <c r="A3570" s="8" t="s">
        <v>19200</v>
      </c>
      <c r="B3570" s="9" t="s">
        <v>19201</v>
      </c>
      <c r="C3570" s="8" t="s">
        <v>19202</v>
      </c>
      <c r="D3570" s="8" t="s">
        <v>19202</v>
      </c>
      <c r="E3570" s="8" t="s">
        <v>19203</v>
      </c>
      <c r="F3570" s="8" t="s">
        <v>19204</v>
      </c>
      <c r="G3570" s="8" t="s">
        <v>19205</v>
      </c>
      <c r="H3570" s="8" t="s">
        <v>19139</v>
      </c>
      <c r="I3570" s="8" t="str">
        <f>HYPERLINK("http://www.gigifashion.it/","www.gigifashion.it")</f>
        <v>www.gigifashion.it</v>
      </c>
      <c r="J3570" s="10">
        <v>923.84100000000001</v>
      </c>
      <c r="K3570" s="10">
        <v>923.84100000000001</v>
      </c>
      <c r="L3570" s="10">
        <v>585.923</v>
      </c>
      <c r="M3570" s="10">
        <v>-31.109000000000002</v>
      </c>
      <c r="N3570" s="10">
        <v>-31.109000000000002</v>
      </c>
      <c r="O3570" s="10">
        <v>48.737000000000002</v>
      </c>
      <c r="P3570" s="10">
        <v>2</v>
      </c>
      <c r="Q3570" s="10">
        <v>2</v>
      </c>
      <c r="R3570" s="10">
        <v>2</v>
      </c>
    </row>
    <row r="3571" spans="1:18" ht="17" customHeight="1" x14ac:dyDescent="0.15">
      <c r="A3571" s="11" t="s">
        <v>19206</v>
      </c>
      <c r="B3571" s="1" t="s">
        <v>19207</v>
      </c>
      <c r="C3571" s="11" t="s">
        <v>19208</v>
      </c>
      <c r="D3571" s="11" t="s">
        <v>19208</v>
      </c>
      <c r="E3571" s="11" t="s">
        <v>19209</v>
      </c>
      <c r="F3571" s="11" t="s">
        <v>19210</v>
      </c>
      <c r="G3571" s="11" t="s">
        <v>19211</v>
      </c>
      <c r="H3571" s="11" t="s">
        <v>19157</v>
      </c>
      <c r="I3571" s="11" t="str">
        <f>HYPERLINK("http://www.northpolefashion.it/","www.northpolefashion.it")</f>
        <v>www.northpolefashion.it</v>
      </c>
      <c r="J3571" s="12">
        <v>193.977</v>
      </c>
      <c r="K3571" s="12">
        <v>193.977</v>
      </c>
      <c r="L3571" s="13">
        <v>585.81399999999996</v>
      </c>
      <c r="M3571" s="12">
        <v>62.914000000000001</v>
      </c>
      <c r="N3571" s="12">
        <v>62.914000000000001</v>
      </c>
      <c r="O3571" s="12">
        <v>-8.7449999999999992</v>
      </c>
      <c r="P3571" s="12">
        <v>1</v>
      </c>
      <c r="Q3571" s="12">
        <v>1</v>
      </c>
      <c r="R3571" s="12">
        <v>2</v>
      </c>
    </row>
    <row r="3572" spans="1:18" ht="17" customHeight="1" x14ac:dyDescent="0.15">
      <c r="A3572" s="8" t="s">
        <v>19212</v>
      </c>
      <c r="B3572" s="9" t="s">
        <v>19213</v>
      </c>
      <c r="C3572" s="8" t="s">
        <v>19214</v>
      </c>
      <c r="D3572" s="8" t="s">
        <v>19214</v>
      </c>
      <c r="E3572" s="8" t="s">
        <v>19215</v>
      </c>
      <c r="F3572" s="8" t="s">
        <v>19168</v>
      </c>
      <c r="G3572" s="8" t="s">
        <v>19132</v>
      </c>
      <c r="H3572" s="8" t="s">
        <v>19133</v>
      </c>
      <c r="I3572" s="8" t="str">
        <f>HYPERLINK("http://www.calabrese1924.com/","www.calabrese1924.com")</f>
        <v>www.calabrese1924.com</v>
      </c>
      <c r="J3572" s="10">
        <v>694.26300000000003</v>
      </c>
      <c r="K3572" s="10">
        <v>694.26300000000003</v>
      </c>
      <c r="L3572" s="10">
        <v>584.76499999999999</v>
      </c>
      <c r="M3572" s="10">
        <v>2.89</v>
      </c>
      <c r="N3572" s="10">
        <v>2.89</v>
      </c>
      <c r="O3572" s="10">
        <v>5.88</v>
      </c>
      <c r="P3572" s="10">
        <v>3</v>
      </c>
      <c r="Q3572" s="10">
        <v>3</v>
      </c>
      <c r="R3572" s="10">
        <v>3</v>
      </c>
    </row>
    <row r="3573" spans="1:18" ht="29.5" customHeight="1" x14ac:dyDescent="0.15">
      <c r="A3573" s="11" t="s">
        <v>19216</v>
      </c>
      <c r="B3573" s="1" t="s">
        <v>19217</v>
      </c>
      <c r="C3573" s="11" t="s">
        <v>19218</v>
      </c>
      <c r="D3573" s="11" t="s">
        <v>19218</v>
      </c>
      <c r="E3573" s="11" t="s">
        <v>19219</v>
      </c>
      <c r="F3573" s="11" t="s">
        <v>19144</v>
      </c>
      <c r="G3573" s="11" t="s">
        <v>19220</v>
      </c>
      <c r="H3573" s="11" t="s">
        <v>19115</v>
      </c>
      <c r="I3573" s="11" t="str">
        <f>HYPERLINK("http://www.twinsistersmoda.it/","www.twinsistersmoda.it")</f>
        <v>www.twinsistersmoda.it</v>
      </c>
      <c r="J3573" s="12">
        <v>647.50400000000002</v>
      </c>
      <c r="K3573" s="12">
        <v>647.50400000000002</v>
      </c>
      <c r="L3573" s="13">
        <v>584.33600000000001</v>
      </c>
      <c r="M3573" s="12">
        <v>5.0679999999999996</v>
      </c>
      <c r="N3573" s="12">
        <v>5.0679999999999996</v>
      </c>
      <c r="O3573" s="12">
        <v>3.7170000000000001</v>
      </c>
      <c r="P3573" s="12">
        <v>11</v>
      </c>
      <c r="Q3573" s="12">
        <v>11</v>
      </c>
      <c r="R3573" s="12">
        <v>11</v>
      </c>
    </row>
    <row r="3574" spans="1:18" ht="17" customHeight="1" x14ac:dyDescent="0.15">
      <c r="A3574" s="8" t="s">
        <v>19221</v>
      </c>
      <c r="B3574" s="9" t="s">
        <v>19222</v>
      </c>
      <c r="C3574" s="8" t="s">
        <v>19223</v>
      </c>
      <c r="D3574" s="8" t="s">
        <v>19223</v>
      </c>
      <c r="E3574" s="8" t="s">
        <v>19224</v>
      </c>
      <c r="F3574" s="8" t="s">
        <v>19113</v>
      </c>
      <c r="G3574" s="8" t="s">
        <v>19225</v>
      </c>
      <c r="H3574" s="8" t="s">
        <v>19157</v>
      </c>
      <c r="I3574" s="8" t="str">
        <f>HYPERLINK("http://www.nottoli.it/","www.nottoli.it")</f>
        <v>www.nottoli.it</v>
      </c>
      <c r="J3574" s="10">
        <v>596.18799999999999</v>
      </c>
      <c r="K3574" s="10">
        <v>596.18799999999999</v>
      </c>
      <c r="L3574" s="10">
        <v>583.96400000000006</v>
      </c>
      <c r="M3574" s="10">
        <v>21.001999999999999</v>
      </c>
      <c r="N3574" s="10">
        <v>21.001999999999999</v>
      </c>
      <c r="O3574" s="10">
        <v>10.047000000000001</v>
      </c>
      <c r="P3574" s="10">
        <v>8</v>
      </c>
      <c r="Q3574" s="10">
        <v>8</v>
      </c>
      <c r="R3574" s="10">
        <v>8</v>
      </c>
    </row>
    <row r="3575" spans="1:18" ht="17" customHeight="1" x14ac:dyDescent="0.15">
      <c r="A3575" s="11" t="s">
        <v>19226</v>
      </c>
      <c r="B3575" s="1" t="s">
        <v>19227</v>
      </c>
      <c r="C3575" s="11" t="s">
        <v>19228</v>
      </c>
      <c r="D3575" s="11" t="s">
        <v>19228</v>
      </c>
      <c r="E3575" s="11" t="s">
        <v>19229</v>
      </c>
      <c r="F3575" s="11" t="s">
        <v>19230</v>
      </c>
      <c r="G3575" s="11" t="s">
        <v>19211</v>
      </c>
      <c r="H3575" s="11" t="s">
        <v>19157</v>
      </c>
      <c r="I3575" s="11" t="str">
        <f>HYPERLINK("http://www.systematica.it/pielle","www.systematica.it/pielle")</f>
        <v>www.systematica.it/pielle</v>
      </c>
      <c r="J3575" s="12">
        <v>833.11900000000003</v>
      </c>
      <c r="K3575" s="12">
        <v>833.11900000000003</v>
      </c>
      <c r="L3575" s="13">
        <v>583.61199999999997</v>
      </c>
      <c r="M3575" s="12">
        <v>14.750999999999999</v>
      </c>
      <c r="N3575" s="12">
        <v>14.750999999999999</v>
      </c>
      <c r="O3575" s="12">
        <v>-59.694000000000003</v>
      </c>
      <c r="P3575" s="14" t="s">
        <v>19116</v>
      </c>
      <c r="Q3575" s="14" t="s">
        <v>19116</v>
      </c>
      <c r="R3575" s="12">
        <v>8</v>
      </c>
    </row>
    <row r="3576" spans="1:18" ht="17" customHeight="1" x14ac:dyDescent="0.15">
      <c r="A3576" s="8" t="s">
        <v>19231</v>
      </c>
      <c r="B3576" s="9" t="s">
        <v>19232</v>
      </c>
      <c r="C3576" s="8" t="s">
        <v>19233</v>
      </c>
      <c r="D3576" s="8" t="s">
        <v>19233</v>
      </c>
      <c r="E3576" s="8" t="s">
        <v>19234</v>
      </c>
      <c r="F3576" s="8" t="s">
        <v>19106</v>
      </c>
      <c r="G3576" s="8" t="s">
        <v>19235</v>
      </c>
      <c r="H3576" s="8" t="s">
        <v>19108</v>
      </c>
      <c r="I3576" s="8" t="str">
        <f>HYPERLINK("http://www.authier.com/","www.authier.com")</f>
        <v>www.authier.com</v>
      </c>
      <c r="J3576" s="10">
        <v>545.82899999999995</v>
      </c>
      <c r="K3576" s="10">
        <v>545.82899999999995</v>
      </c>
      <c r="L3576" s="10">
        <v>581.68499999999995</v>
      </c>
      <c r="M3576" s="10">
        <v>-90.171000000000006</v>
      </c>
      <c r="N3576" s="10">
        <v>-90.171000000000006</v>
      </c>
      <c r="O3576" s="10">
        <v>18.972999999999999</v>
      </c>
      <c r="P3576" s="10">
        <v>3</v>
      </c>
      <c r="Q3576" s="10">
        <v>3</v>
      </c>
      <c r="R3576" s="10">
        <v>3</v>
      </c>
    </row>
    <row r="3577" spans="1:18" ht="17" customHeight="1" x14ac:dyDescent="0.15">
      <c r="A3577" s="11" t="s">
        <v>19236</v>
      </c>
      <c r="B3577" s="1" t="s">
        <v>19237</v>
      </c>
      <c r="C3577" s="11" t="s">
        <v>19238</v>
      </c>
      <c r="D3577" s="11" t="s">
        <v>19238</v>
      </c>
      <c r="E3577" s="11" t="s">
        <v>19239</v>
      </c>
      <c r="F3577" s="11" t="s">
        <v>19240</v>
      </c>
      <c r="G3577" s="11" t="s">
        <v>19241</v>
      </c>
      <c r="H3577" s="11" t="s">
        <v>19242</v>
      </c>
      <c r="I3577" s="11" t="str">
        <f>HYPERLINK("http://www.annysartoria.it/","www.annysartoria.it")</f>
        <v>www.annysartoria.it</v>
      </c>
      <c r="J3577" s="12">
        <v>405.38</v>
      </c>
      <c r="K3577" s="12">
        <v>405.38</v>
      </c>
      <c r="L3577" s="13">
        <v>581.274</v>
      </c>
      <c r="M3577" s="12">
        <v>-47.463000000000001</v>
      </c>
      <c r="N3577" s="12">
        <v>-47.463000000000001</v>
      </c>
      <c r="O3577" s="12">
        <v>4.1790000000000003</v>
      </c>
      <c r="P3577" s="12">
        <v>12</v>
      </c>
      <c r="Q3577" s="12">
        <v>12</v>
      </c>
      <c r="R3577" s="12">
        <v>11</v>
      </c>
    </row>
    <row r="3578" spans="1:18" ht="17" customHeight="1" x14ac:dyDescent="0.15">
      <c r="A3578" s="8" t="s">
        <v>19243</v>
      </c>
      <c r="B3578" s="9" t="s">
        <v>19244</v>
      </c>
      <c r="C3578" s="8" t="s">
        <v>19245</v>
      </c>
      <c r="D3578" s="8" t="s">
        <v>19245</v>
      </c>
      <c r="E3578" s="8" t="s">
        <v>19246</v>
      </c>
      <c r="F3578" s="8" t="s">
        <v>19186</v>
      </c>
      <c r="G3578" s="8" t="s">
        <v>19247</v>
      </c>
      <c r="H3578" s="8" t="s">
        <v>19139</v>
      </c>
      <c r="I3578" s="8" t="str">
        <f>HYPERLINK("http://www.livingstile.it/","www.livingstile.it")</f>
        <v>www.livingstile.it</v>
      </c>
      <c r="J3578" s="10">
        <v>493.52600000000001</v>
      </c>
      <c r="K3578" s="10">
        <v>493.52600000000001</v>
      </c>
      <c r="L3578" s="10">
        <v>581.16800000000001</v>
      </c>
      <c r="M3578" s="10">
        <v>1.2749999999999999</v>
      </c>
      <c r="N3578" s="10">
        <v>1.2749999999999999</v>
      </c>
      <c r="O3578" s="10">
        <v>7.4130000000000003</v>
      </c>
      <c r="P3578" s="10">
        <v>2</v>
      </c>
      <c r="Q3578" s="10">
        <v>2</v>
      </c>
      <c r="R3578" s="10">
        <v>4</v>
      </c>
    </row>
    <row r="3579" spans="1:18" ht="17" customHeight="1" x14ac:dyDescent="0.15">
      <c r="A3579" s="11" t="s">
        <v>19248</v>
      </c>
      <c r="B3579" s="1" t="s">
        <v>19249</v>
      </c>
      <c r="C3579" s="11" t="s">
        <v>19250</v>
      </c>
      <c r="D3579" s="11" t="s">
        <v>19250</v>
      </c>
      <c r="E3579" s="11" t="s">
        <v>19251</v>
      </c>
      <c r="F3579" s="11" t="s">
        <v>19106</v>
      </c>
      <c r="G3579" s="11" t="s">
        <v>19187</v>
      </c>
      <c r="H3579" s="11" t="s">
        <v>19188</v>
      </c>
      <c r="I3579" s="11" t="str">
        <f>HYPERLINK("http://www.tecno-sport.it/","www.tecno-sport.it")</f>
        <v>www.tecno-sport.it</v>
      </c>
      <c r="J3579" s="12">
        <v>927.01499999999999</v>
      </c>
      <c r="K3579" s="12">
        <v>927.01499999999999</v>
      </c>
      <c r="L3579" s="13">
        <v>580.04700000000003</v>
      </c>
      <c r="M3579" s="12">
        <v>7.3630000000000004</v>
      </c>
      <c r="N3579" s="12">
        <v>7.3630000000000004</v>
      </c>
      <c r="O3579" s="12">
        <v>7.0110000000000001</v>
      </c>
      <c r="P3579" s="12">
        <v>2</v>
      </c>
      <c r="Q3579" s="12">
        <v>2</v>
      </c>
      <c r="R3579" s="12">
        <v>2</v>
      </c>
    </row>
    <row r="3580" spans="1:18" ht="17" customHeight="1" x14ac:dyDescent="0.15">
      <c r="A3580" s="8" t="s">
        <v>19252</v>
      </c>
      <c r="B3580" s="9" t="s">
        <v>19253</v>
      </c>
      <c r="C3580" s="8" t="s">
        <v>19254</v>
      </c>
      <c r="D3580" s="8" t="s">
        <v>19254</v>
      </c>
      <c r="E3580" s="8" t="s">
        <v>19255</v>
      </c>
      <c r="F3580" s="8" t="s">
        <v>19186</v>
      </c>
      <c r="G3580" s="8" t="s">
        <v>19256</v>
      </c>
      <c r="H3580" s="8" t="s">
        <v>19257</v>
      </c>
      <c r="I3580" s="8" t="str">
        <f>HYPERLINK("http://www.taglionovantanove.com/","www.taglionovantanove.com")</f>
        <v>www.taglionovantanove.com</v>
      </c>
      <c r="J3580" s="10">
        <v>560.423</v>
      </c>
      <c r="K3580" s="10">
        <v>560.423</v>
      </c>
      <c r="L3580" s="10">
        <v>578.67100000000005</v>
      </c>
      <c r="M3580" s="10">
        <v>35.970999999999997</v>
      </c>
      <c r="N3580" s="10">
        <v>35.970999999999997</v>
      </c>
      <c r="O3580" s="10">
        <v>54.374000000000002</v>
      </c>
      <c r="P3580" s="10">
        <v>8</v>
      </c>
      <c r="Q3580" s="10">
        <v>8</v>
      </c>
      <c r="R3580" s="10">
        <v>10</v>
      </c>
    </row>
    <row r="3581" spans="1:18" ht="17" customHeight="1" x14ac:dyDescent="0.15">
      <c r="A3581" s="11" t="s">
        <v>19258</v>
      </c>
      <c r="B3581" s="1" t="s">
        <v>19259</v>
      </c>
      <c r="C3581" s="11" t="s">
        <v>19260</v>
      </c>
      <c r="D3581" s="11" t="s">
        <v>19260</v>
      </c>
      <c r="E3581" s="11" t="s">
        <v>19261</v>
      </c>
      <c r="F3581" s="11" t="s">
        <v>19262</v>
      </c>
      <c r="G3581" s="11" t="s">
        <v>19263</v>
      </c>
      <c r="H3581" s="11" t="s">
        <v>19264</v>
      </c>
      <c r="I3581" s="11" t="str">
        <f>HYPERLINK("http://www.tappezzeriaitalia.it/","www.tappezzeriaitalia.it")</f>
        <v>www.tappezzeriaitalia.it</v>
      </c>
      <c r="J3581" s="12">
        <v>691.22199999999998</v>
      </c>
      <c r="K3581" s="12">
        <v>691.22199999999998</v>
      </c>
      <c r="L3581" s="13">
        <v>578.44899999999996</v>
      </c>
      <c r="M3581" s="12">
        <v>124.65600000000001</v>
      </c>
      <c r="N3581" s="12">
        <v>124.65600000000001</v>
      </c>
      <c r="O3581" s="12">
        <v>79.126999999999995</v>
      </c>
      <c r="P3581" s="14" t="s">
        <v>19116</v>
      </c>
      <c r="Q3581" s="14" t="s">
        <v>19116</v>
      </c>
      <c r="R3581" s="12">
        <v>6</v>
      </c>
    </row>
    <row r="3582" spans="1:18" ht="17" customHeight="1" x14ac:dyDescent="0.15">
      <c r="A3582" s="8" t="s">
        <v>19265</v>
      </c>
      <c r="B3582" s="9" t="s">
        <v>19266</v>
      </c>
      <c r="C3582" s="8" t="s">
        <v>19267</v>
      </c>
      <c r="D3582" s="8" t="s">
        <v>19267</v>
      </c>
      <c r="E3582" s="8" t="s">
        <v>19268</v>
      </c>
      <c r="F3582" s="8" t="s">
        <v>19186</v>
      </c>
      <c r="G3582" s="8" t="s">
        <v>19269</v>
      </c>
      <c r="H3582" s="8" t="s">
        <v>19108</v>
      </c>
      <c r="I3582" s="8" t="str">
        <f>HYPERLINK("http://www.bertonplisse.com/","www.bertonplisse.com")</f>
        <v>www.bertonplisse.com</v>
      </c>
      <c r="J3582" s="10">
        <v>522.221</v>
      </c>
      <c r="K3582" s="10">
        <v>522.221</v>
      </c>
      <c r="L3582" s="10">
        <v>578.26099999999997</v>
      </c>
      <c r="M3582" s="10">
        <v>11.539</v>
      </c>
      <c r="N3582" s="10">
        <v>11.539</v>
      </c>
      <c r="O3582" s="10">
        <v>24.460999999999999</v>
      </c>
      <c r="P3582" s="10">
        <v>6</v>
      </c>
      <c r="Q3582" s="10">
        <v>6</v>
      </c>
      <c r="R3582" s="10">
        <v>7</v>
      </c>
    </row>
    <row r="3583" spans="1:18" ht="17" customHeight="1" x14ac:dyDescent="0.15">
      <c r="A3583" s="11" t="s">
        <v>19270</v>
      </c>
      <c r="B3583" s="1" t="s">
        <v>19271</v>
      </c>
      <c r="C3583" s="11" t="s">
        <v>19272</v>
      </c>
      <c r="D3583" s="11" t="s">
        <v>19272</v>
      </c>
      <c r="E3583" s="11" t="s">
        <v>19273</v>
      </c>
      <c r="F3583" s="11" t="s">
        <v>19149</v>
      </c>
      <c r="G3583" s="11" t="s">
        <v>19132</v>
      </c>
      <c r="H3583" s="11" t="s">
        <v>19133</v>
      </c>
      <c r="I3583" s="11" t="str">
        <f>HYPERLINK("http://www.dielletshirt.it/","www.dielletshirt.it")</f>
        <v>www.dielletshirt.it</v>
      </c>
      <c r="J3583" s="12">
        <v>577.54399999999998</v>
      </c>
      <c r="K3583" s="14" t="s">
        <v>19116</v>
      </c>
      <c r="L3583" s="13">
        <v>577.54399999999998</v>
      </c>
      <c r="M3583" s="12">
        <v>-16.29</v>
      </c>
      <c r="N3583" s="14" t="s">
        <v>19116</v>
      </c>
      <c r="O3583" s="12">
        <v>-16.29</v>
      </c>
      <c r="P3583" s="12">
        <v>5</v>
      </c>
      <c r="Q3583" s="14" t="s">
        <v>19116</v>
      </c>
      <c r="R3583" s="12">
        <v>5</v>
      </c>
    </row>
    <row r="3584" spans="1:18" ht="17" customHeight="1" x14ac:dyDescent="0.15">
      <c r="A3584" s="8" t="s">
        <v>19274</v>
      </c>
      <c r="B3584" s="9" t="s">
        <v>19275</v>
      </c>
      <c r="C3584" s="8" t="s">
        <v>19276</v>
      </c>
      <c r="D3584" s="8" t="s">
        <v>19276</v>
      </c>
      <c r="E3584" s="8" t="s">
        <v>19277</v>
      </c>
      <c r="F3584" s="8" t="s">
        <v>19186</v>
      </c>
      <c r="G3584" s="8" t="s">
        <v>19278</v>
      </c>
      <c r="H3584" s="8" t="s">
        <v>19115</v>
      </c>
      <c r="I3584" s="8" t="str">
        <f>HYPERLINK("http://artelierfashion.com/","artelierfashion.com")</f>
        <v>artelierfashion.com</v>
      </c>
      <c r="J3584" s="10">
        <v>577.16600000000005</v>
      </c>
      <c r="K3584" s="15" t="s">
        <v>19116</v>
      </c>
      <c r="L3584" s="10">
        <v>577.16600000000005</v>
      </c>
      <c r="M3584" s="10">
        <v>22.882999999999999</v>
      </c>
      <c r="N3584" s="15" t="s">
        <v>19116</v>
      </c>
      <c r="O3584" s="10">
        <v>22.882999999999999</v>
      </c>
      <c r="P3584" s="10">
        <v>2</v>
      </c>
      <c r="Q3584" s="15" t="s">
        <v>19116</v>
      </c>
      <c r="R3584" s="10">
        <v>2</v>
      </c>
    </row>
    <row r="3585" spans="1:18" ht="17" customHeight="1" x14ac:dyDescent="0.15">
      <c r="A3585" s="11" t="s">
        <v>19279</v>
      </c>
      <c r="B3585" s="1" t="s">
        <v>19280</v>
      </c>
      <c r="C3585" s="11" t="s">
        <v>19281</v>
      </c>
      <c r="D3585" s="11" t="s">
        <v>19281</v>
      </c>
      <c r="E3585" s="11" t="s">
        <v>19282</v>
      </c>
      <c r="F3585" s="11" t="s">
        <v>19283</v>
      </c>
      <c r="G3585" s="11" t="s">
        <v>19284</v>
      </c>
      <c r="H3585" s="11" t="s">
        <v>19285</v>
      </c>
      <c r="I3585" s="11" t="str">
        <f>HYPERLINK("http://miopiccolo.it/","miopiccolo.it")</f>
        <v>miopiccolo.it</v>
      </c>
      <c r="J3585" s="12">
        <v>576.66200000000003</v>
      </c>
      <c r="K3585" s="14" t="s">
        <v>19286</v>
      </c>
      <c r="L3585" s="13">
        <v>576.66200000000003</v>
      </c>
      <c r="M3585" s="12">
        <v>32.249000000000002</v>
      </c>
      <c r="N3585" s="14" t="s">
        <v>19286</v>
      </c>
      <c r="O3585" s="12">
        <v>32.249000000000002</v>
      </c>
      <c r="P3585" s="12">
        <v>6</v>
      </c>
      <c r="Q3585" s="14" t="s">
        <v>19286</v>
      </c>
      <c r="R3585" s="12">
        <v>6</v>
      </c>
    </row>
    <row r="3586" spans="1:18" ht="17" customHeight="1" x14ac:dyDescent="0.15">
      <c r="A3586" s="8" t="s">
        <v>19287</v>
      </c>
      <c r="B3586" s="9" t="s">
        <v>19288</v>
      </c>
      <c r="C3586" s="8" t="s">
        <v>19289</v>
      </c>
      <c r="D3586" s="8" t="s">
        <v>19289</v>
      </c>
      <c r="E3586" s="8" t="s">
        <v>19290</v>
      </c>
      <c r="F3586" s="8" t="s">
        <v>19291</v>
      </c>
      <c r="G3586" s="8" t="s">
        <v>19292</v>
      </c>
      <c r="H3586" s="8" t="s">
        <v>19293</v>
      </c>
      <c r="I3586" s="8" t="str">
        <f>HYPERLINK("http://www.tassellicashmere.com/","www.tassellicashmere.com")</f>
        <v>www.tassellicashmere.com</v>
      </c>
      <c r="J3586" s="10">
        <v>641.35400000000004</v>
      </c>
      <c r="K3586" s="10">
        <v>641.35400000000004</v>
      </c>
      <c r="L3586" s="10">
        <v>576.226</v>
      </c>
      <c r="M3586" s="10">
        <v>1.246</v>
      </c>
      <c r="N3586" s="10">
        <v>1.246</v>
      </c>
      <c r="O3586" s="10">
        <v>1.0680000000000001</v>
      </c>
      <c r="P3586" s="10">
        <v>8</v>
      </c>
      <c r="Q3586" s="10">
        <v>8</v>
      </c>
      <c r="R3586" s="10">
        <v>7</v>
      </c>
    </row>
    <row r="3587" spans="1:18" ht="17" customHeight="1" x14ac:dyDescent="0.15">
      <c r="A3587" s="11" t="s">
        <v>19294</v>
      </c>
      <c r="B3587" s="1" t="s">
        <v>19295</v>
      </c>
      <c r="C3587" s="11" t="s">
        <v>19296</v>
      </c>
      <c r="D3587" s="11" t="s">
        <v>19296</v>
      </c>
      <c r="E3587" s="11" t="s">
        <v>19297</v>
      </c>
      <c r="F3587" s="11" t="s">
        <v>19298</v>
      </c>
      <c r="G3587" s="11" t="s">
        <v>19299</v>
      </c>
      <c r="H3587" s="11" t="s">
        <v>19300</v>
      </c>
      <c r="I3587" s="11" t="str">
        <f>HYPERLINK("http://www.lapesrl.com/","www.lapesrl.com")</f>
        <v>www.lapesrl.com</v>
      </c>
      <c r="J3587" s="12">
        <v>564.93799999999999</v>
      </c>
      <c r="K3587" s="12">
        <v>564.93799999999999</v>
      </c>
      <c r="L3587" s="13">
        <v>575.89400000000001</v>
      </c>
      <c r="M3587" s="12">
        <v>-61.546999999999997</v>
      </c>
      <c r="N3587" s="12">
        <v>-61.546999999999997</v>
      </c>
      <c r="O3587" s="12">
        <v>-168.916</v>
      </c>
      <c r="P3587" s="12">
        <v>4</v>
      </c>
      <c r="Q3587" s="12">
        <v>4</v>
      </c>
      <c r="R3587" s="12">
        <v>4</v>
      </c>
    </row>
    <row r="3588" spans="1:18" ht="17" customHeight="1" x14ac:dyDescent="0.15">
      <c r="A3588" s="8" t="s">
        <v>19301</v>
      </c>
      <c r="B3588" s="9" t="s">
        <v>19302</v>
      </c>
      <c r="C3588" s="8" t="s">
        <v>19303</v>
      </c>
      <c r="D3588" s="8" t="s">
        <v>19303</v>
      </c>
      <c r="E3588" s="8" t="s">
        <v>19304</v>
      </c>
      <c r="F3588" s="8" t="s">
        <v>19305</v>
      </c>
      <c r="G3588" s="8" t="s">
        <v>19306</v>
      </c>
      <c r="H3588" s="8" t="s">
        <v>19307</v>
      </c>
      <c r="I3588" s="8" t="str">
        <f>HYPERLINK("http://www.laboratorioemmegitreviso.it/","www.laboratorioemmegitreviso.it")</f>
        <v>www.laboratorioemmegitreviso.it</v>
      </c>
      <c r="J3588" s="10">
        <v>525.95100000000002</v>
      </c>
      <c r="K3588" s="10">
        <v>525.95100000000002</v>
      </c>
      <c r="L3588" s="10">
        <v>575.92100000000005</v>
      </c>
      <c r="M3588" s="10">
        <v>38.639000000000003</v>
      </c>
      <c r="N3588" s="10">
        <v>38.639000000000003</v>
      </c>
      <c r="O3588" s="10">
        <v>79.828000000000003</v>
      </c>
      <c r="P3588" s="10">
        <v>8</v>
      </c>
      <c r="Q3588" s="10">
        <v>8</v>
      </c>
      <c r="R3588" s="10">
        <v>7</v>
      </c>
    </row>
    <row r="3589" spans="1:18" ht="17" customHeight="1" x14ac:dyDescent="0.15">
      <c r="A3589" s="11" t="s">
        <v>19308</v>
      </c>
      <c r="B3589" s="1" t="s">
        <v>19309</v>
      </c>
      <c r="C3589" s="11" t="s">
        <v>19310</v>
      </c>
      <c r="D3589" s="11" t="s">
        <v>19310</v>
      </c>
      <c r="E3589" s="11" t="s">
        <v>19311</v>
      </c>
      <c r="F3589" s="11" t="s">
        <v>19312</v>
      </c>
      <c r="G3589" s="11" t="s">
        <v>19313</v>
      </c>
      <c r="H3589" s="11" t="s">
        <v>19314</v>
      </c>
      <c r="I3589" s="11" t="str">
        <f>HYPERLINK("http://www.suolificiosanpaolo.com/","www.suolificiosanpaolo.com")</f>
        <v>www.suolificiosanpaolo.com</v>
      </c>
      <c r="J3589" s="12">
        <v>542.36500000000001</v>
      </c>
      <c r="K3589" s="12">
        <v>542.36500000000001</v>
      </c>
      <c r="L3589" s="13">
        <v>574.91600000000005</v>
      </c>
      <c r="M3589" s="12">
        <v>30.155999999999999</v>
      </c>
      <c r="N3589" s="12">
        <v>30.155999999999999</v>
      </c>
      <c r="O3589" s="12">
        <v>6.258</v>
      </c>
      <c r="P3589" s="12">
        <v>3</v>
      </c>
      <c r="Q3589" s="12">
        <v>3</v>
      </c>
      <c r="R3589" s="12">
        <v>3</v>
      </c>
    </row>
    <row r="3590" spans="1:18" ht="43" customHeight="1" x14ac:dyDescent="0.15">
      <c r="A3590" s="8" t="s">
        <v>19315</v>
      </c>
      <c r="B3590" s="9" t="s">
        <v>19316</v>
      </c>
      <c r="C3590" s="8" t="s">
        <v>19317</v>
      </c>
      <c r="D3590" s="8" t="s">
        <v>19317</v>
      </c>
      <c r="E3590" s="8" t="s">
        <v>19318</v>
      </c>
      <c r="F3590" s="8" t="s">
        <v>19319</v>
      </c>
      <c r="G3590" s="8" t="s">
        <v>19284</v>
      </c>
      <c r="H3590" s="8" t="s">
        <v>19285</v>
      </c>
      <c r="I3590" s="8" t="str">
        <f>HYPERLINK("http://kalipay.it/","kalipay.it")</f>
        <v>kalipay.it</v>
      </c>
      <c r="J3590" s="10">
        <v>1344.4670000000001</v>
      </c>
      <c r="K3590" s="10">
        <v>1344.4670000000001</v>
      </c>
      <c r="L3590" s="10">
        <v>573.99400000000003</v>
      </c>
      <c r="M3590" s="10">
        <v>24.48</v>
      </c>
      <c r="N3590" s="10">
        <v>24.48</v>
      </c>
      <c r="O3590" s="10">
        <v>22.059000000000001</v>
      </c>
      <c r="P3590" s="15" t="s">
        <v>19286</v>
      </c>
      <c r="Q3590" s="15" t="s">
        <v>19286</v>
      </c>
      <c r="R3590" s="15" t="s">
        <v>19286</v>
      </c>
    </row>
    <row r="3591" spans="1:18" ht="43" customHeight="1" x14ac:dyDescent="0.15">
      <c r="A3591" s="11" t="s">
        <v>19320</v>
      </c>
      <c r="B3591" s="1" t="s">
        <v>19321</v>
      </c>
      <c r="C3591" s="11" t="s">
        <v>19322</v>
      </c>
      <c r="D3591" s="11" t="s">
        <v>19322</v>
      </c>
      <c r="E3591" s="11" t="s">
        <v>19323</v>
      </c>
      <c r="F3591" s="11" t="s">
        <v>19324</v>
      </c>
      <c r="G3591" s="11" t="s">
        <v>19325</v>
      </c>
      <c r="H3591" s="11" t="s">
        <v>19326</v>
      </c>
      <c r="I3591" s="11" t="str">
        <f>HYPERLINK("http://www.italstrass.it/","www.italstrass.it")</f>
        <v>www.italstrass.it</v>
      </c>
      <c r="J3591" s="12">
        <v>1033.645</v>
      </c>
      <c r="K3591" s="12">
        <v>1033.645</v>
      </c>
      <c r="L3591" s="13">
        <v>573.548</v>
      </c>
      <c r="M3591" s="12">
        <v>85.150999999999996</v>
      </c>
      <c r="N3591" s="12">
        <v>85.150999999999996</v>
      </c>
      <c r="O3591" s="12">
        <v>47.207000000000001</v>
      </c>
      <c r="P3591" s="12">
        <v>9</v>
      </c>
      <c r="Q3591" s="12">
        <v>9</v>
      </c>
      <c r="R3591" s="12">
        <v>8</v>
      </c>
    </row>
    <row r="3592" spans="1:18" ht="17" customHeight="1" x14ac:dyDescent="0.15">
      <c r="A3592" s="8" t="s">
        <v>19327</v>
      </c>
      <c r="B3592" s="9" t="s">
        <v>19328</v>
      </c>
      <c r="C3592" s="8" t="s">
        <v>19329</v>
      </c>
      <c r="D3592" s="8" t="s">
        <v>19329</v>
      </c>
      <c r="E3592" s="8" t="s">
        <v>19330</v>
      </c>
      <c r="F3592" s="8" t="s">
        <v>19305</v>
      </c>
      <c r="G3592" s="8" t="s">
        <v>19331</v>
      </c>
      <c r="H3592" s="8" t="s">
        <v>19332</v>
      </c>
      <c r="I3592" s="8" t="str">
        <f>HYPERLINK("http://www.ervasia.com/","www.ervasia.com")</f>
        <v>www.ervasia.com</v>
      </c>
      <c r="J3592" s="10">
        <v>534.16600000000005</v>
      </c>
      <c r="K3592" s="10">
        <v>534.16600000000005</v>
      </c>
      <c r="L3592" s="10">
        <v>573.35199999999998</v>
      </c>
      <c r="M3592" s="10">
        <v>101.249</v>
      </c>
      <c r="N3592" s="10">
        <v>101.249</v>
      </c>
      <c r="O3592" s="10">
        <v>124.931</v>
      </c>
      <c r="P3592" s="15" t="s">
        <v>19286</v>
      </c>
      <c r="Q3592" s="15" t="s">
        <v>19286</v>
      </c>
      <c r="R3592" s="10">
        <v>9</v>
      </c>
    </row>
    <row r="3593" spans="1:18" ht="17" customHeight="1" x14ac:dyDescent="0.15">
      <c r="A3593" s="11" t="s">
        <v>19333</v>
      </c>
      <c r="B3593" s="1" t="s">
        <v>19334</v>
      </c>
      <c r="C3593" s="11" t="s">
        <v>19335</v>
      </c>
      <c r="D3593" s="11" t="s">
        <v>19335</v>
      </c>
      <c r="E3593" s="11" t="s">
        <v>19336</v>
      </c>
      <c r="F3593" s="11" t="s">
        <v>19298</v>
      </c>
      <c r="G3593" s="11" t="s">
        <v>19337</v>
      </c>
      <c r="H3593" s="11" t="s">
        <v>19285</v>
      </c>
      <c r="I3593" s="11" t="str">
        <f>HYPERLINK("http://www.oceandrivesrl.com/","www.oceandrivesrl.com")</f>
        <v>www.oceandrivesrl.com</v>
      </c>
      <c r="J3593" s="12">
        <v>428.62400000000002</v>
      </c>
      <c r="K3593" s="12">
        <v>428.62400000000002</v>
      </c>
      <c r="L3593" s="13">
        <v>573.26800000000003</v>
      </c>
      <c r="M3593" s="12">
        <v>0.46600000000000003</v>
      </c>
      <c r="N3593" s="12">
        <v>0.46600000000000003</v>
      </c>
      <c r="O3593" s="12">
        <v>3.4000000000000002E-2</v>
      </c>
      <c r="P3593" s="14" t="s">
        <v>19286</v>
      </c>
      <c r="Q3593" s="14" t="s">
        <v>19286</v>
      </c>
      <c r="R3593" s="12">
        <v>1</v>
      </c>
    </row>
    <row r="3594" spans="1:18" ht="29.5" customHeight="1" x14ac:dyDescent="0.15">
      <c r="A3594" s="8" t="s">
        <v>19338</v>
      </c>
      <c r="B3594" s="9" t="s">
        <v>19339</v>
      </c>
      <c r="C3594" s="8" t="s">
        <v>19340</v>
      </c>
      <c r="D3594" s="8" t="s">
        <v>19340</v>
      </c>
      <c r="E3594" s="8" t="s">
        <v>19341</v>
      </c>
      <c r="F3594" s="8" t="s">
        <v>19324</v>
      </c>
      <c r="G3594" s="8" t="s">
        <v>19342</v>
      </c>
      <c r="H3594" s="8" t="s">
        <v>19285</v>
      </c>
      <c r="I3594" s="8" t="str">
        <f>HYPERLINK("http://www.sartoriacaracciolo.it/","www.sartoriacaracciolo.it")</f>
        <v>www.sartoriacaracciolo.it</v>
      </c>
      <c r="J3594" s="10">
        <v>489.73</v>
      </c>
      <c r="K3594" s="10">
        <v>489.73</v>
      </c>
      <c r="L3594" s="10">
        <v>572.68899999999996</v>
      </c>
      <c r="M3594" s="10">
        <v>-0.161</v>
      </c>
      <c r="N3594" s="10">
        <v>-0.161</v>
      </c>
      <c r="O3594" s="10">
        <v>24.334</v>
      </c>
      <c r="P3594" s="10">
        <v>7</v>
      </c>
      <c r="Q3594" s="10">
        <v>7</v>
      </c>
      <c r="R3594" s="10">
        <v>5</v>
      </c>
    </row>
    <row r="3595" spans="1:18" ht="17" customHeight="1" x14ac:dyDescent="0.15">
      <c r="A3595" s="11" t="s">
        <v>19343</v>
      </c>
      <c r="B3595" s="1" t="s">
        <v>19344</v>
      </c>
      <c r="C3595" s="11" t="s">
        <v>19345</v>
      </c>
      <c r="D3595" s="11" t="s">
        <v>19345</v>
      </c>
      <c r="E3595" s="11" t="s">
        <v>19346</v>
      </c>
      <c r="F3595" s="11" t="s">
        <v>19347</v>
      </c>
      <c r="G3595" s="11" t="s">
        <v>19348</v>
      </c>
      <c r="H3595" s="11" t="s">
        <v>19349</v>
      </c>
      <c r="I3595" s="11" t="str">
        <f>HYPERLINK("http://www.a-a-d-design.com/","www.a-a-d-design.com")</f>
        <v>www.a-a-d-design.com</v>
      </c>
      <c r="J3595" s="12">
        <v>656.86599999999999</v>
      </c>
      <c r="K3595" s="12">
        <v>656.86599999999999</v>
      </c>
      <c r="L3595" s="13">
        <v>572.38599999999997</v>
      </c>
      <c r="M3595" s="12">
        <v>0.56599999999999995</v>
      </c>
      <c r="N3595" s="12">
        <v>0.56599999999999995</v>
      </c>
      <c r="O3595" s="12">
        <v>8.2319999999999993</v>
      </c>
      <c r="P3595" s="14" t="s">
        <v>19286</v>
      </c>
      <c r="Q3595" s="14" t="s">
        <v>19286</v>
      </c>
      <c r="R3595" s="12">
        <v>5</v>
      </c>
    </row>
    <row r="3596" spans="1:18" ht="17" customHeight="1" x14ac:dyDescent="0.15">
      <c r="A3596" s="8" t="s">
        <v>19350</v>
      </c>
      <c r="B3596" s="9" t="s">
        <v>19351</v>
      </c>
      <c r="C3596" s="8" t="s">
        <v>19352</v>
      </c>
      <c r="D3596" s="8" t="s">
        <v>19352</v>
      </c>
      <c r="E3596" s="8" t="s">
        <v>19353</v>
      </c>
      <c r="F3596" s="8" t="s">
        <v>19354</v>
      </c>
      <c r="G3596" s="8" t="s">
        <v>19355</v>
      </c>
      <c r="H3596" s="8" t="s">
        <v>19356</v>
      </c>
      <c r="I3596" s="8" t="str">
        <f>HYPERLINK("http://www.fasmagroup.it/","www.fasmagroup.it")</f>
        <v>www.fasmagroup.it</v>
      </c>
      <c r="J3596" s="10">
        <v>621.745</v>
      </c>
      <c r="K3596" s="10">
        <v>621.745</v>
      </c>
      <c r="L3596" s="10">
        <v>572.34500000000003</v>
      </c>
      <c r="M3596" s="10">
        <v>3.5019999999999998</v>
      </c>
      <c r="N3596" s="10">
        <v>3.5019999999999998</v>
      </c>
      <c r="O3596" s="10">
        <v>2.66</v>
      </c>
      <c r="P3596" s="10">
        <v>1</v>
      </c>
      <c r="Q3596" s="10">
        <v>1</v>
      </c>
      <c r="R3596" s="10">
        <v>1</v>
      </c>
    </row>
    <row r="3597" spans="1:18" ht="17" customHeight="1" x14ac:dyDescent="0.15">
      <c r="A3597" s="11" t="s">
        <v>19357</v>
      </c>
      <c r="B3597" s="1" t="s">
        <v>19358</v>
      </c>
      <c r="C3597" s="11" t="s">
        <v>19359</v>
      </c>
      <c r="D3597" s="11" t="s">
        <v>19359</v>
      </c>
      <c r="E3597" s="11" t="s">
        <v>19360</v>
      </c>
      <c r="F3597" s="11" t="s">
        <v>19361</v>
      </c>
      <c r="G3597" s="11" t="s">
        <v>19362</v>
      </c>
      <c r="H3597" s="11" t="s">
        <v>19332</v>
      </c>
      <c r="I3597" s="11" t="str">
        <f>HYPERLINK("http://www.dalsport74.it/","www.dalsport74.it")</f>
        <v>www.dalsport74.it</v>
      </c>
      <c r="J3597" s="12">
        <v>849.89099999999996</v>
      </c>
      <c r="K3597" s="12">
        <v>849.89099999999996</v>
      </c>
      <c r="L3597" s="13">
        <v>571.55399999999997</v>
      </c>
      <c r="M3597" s="12">
        <v>56.981000000000002</v>
      </c>
      <c r="N3597" s="12">
        <v>56.981000000000002</v>
      </c>
      <c r="O3597" s="12">
        <v>41.823</v>
      </c>
      <c r="P3597" s="12">
        <v>8</v>
      </c>
      <c r="Q3597" s="12">
        <v>8</v>
      </c>
      <c r="R3597" s="12">
        <v>7</v>
      </c>
    </row>
    <row r="3598" spans="1:18" ht="17" customHeight="1" x14ac:dyDescent="0.15">
      <c r="A3598" s="8" t="s">
        <v>19363</v>
      </c>
      <c r="B3598" s="9" t="s">
        <v>19364</v>
      </c>
      <c r="C3598" s="8" t="s">
        <v>19365</v>
      </c>
      <c r="D3598" s="8" t="s">
        <v>19365</v>
      </c>
      <c r="E3598" s="8" t="s">
        <v>19366</v>
      </c>
      <c r="F3598" s="8" t="s">
        <v>19367</v>
      </c>
      <c r="G3598" s="8" t="s">
        <v>19368</v>
      </c>
      <c r="H3598" s="8" t="s">
        <v>19300</v>
      </c>
      <c r="I3598" s="8" t="str">
        <f>HYPERLINK("http://www.forniturecappelli.com/","www.forniturecappelli.com")</f>
        <v>www.forniturecappelli.com</v>
      </c>
      <c r="J3598" s="10">
        <v>639.55999999999995</v>
      </c>
      <c r="K3598" s="10">
        <v>639.55999999999995</v>
      </c>
      <c r="L3598" s="10">
        <v>571.04300000000001</v>
      </c>
      <c r="M3598" s="10">
        <v>17.585999999999999</v>
      </c>
      <c r="N3598" s="10">
        <v>17.585999999999999</v>
      </c>
      <c r="O3598" s="10">
        <v>9.3859999999999992</v>
      </c>
      <c r="P3598" s="15" t="s">
        <v>19286</v>
      </c>
      <c r="Q3598" s="15" t="s">
        <v>19286</v>
      </c>
      <c r="R3598" s="10">
        <v>2</v>
      </c>
    </row>
    <row r="3599" spans="1:18" ht="17" customHeight="1" x14ac:dyDescent="0.15">
      <c r="A3599" s="11" t="s">
        <v>19369</v>
      </c>
      <c r="B3599" s="1" t="s">
        <v>19370</v>
      </c>
      <c r="C3599" s="11" t="s">
        <v>19371</v>
      </c>
      <c r="D3599" s="11" t="s">
        <v>19371</v>
      </c>
      <c r="E3599" s="11" t="s">
        <v>19372</v>
      </c>
      <c r="F3599" s="11" t="s">
        <v>19373</v>
      </c>
      <c r="G3599" s="11" t="s">
        <v>19374</v>
      </c>
      <c r="H3599" s="11" t="s">
        <v>19356</v>
      </c>
      <c r="I3599" s="11" t="str">
        <f>HYPERLINK("http://www.firenzeemoda.com/","www.firenzeemoda.com")</f>
        <v>www.firenzeemoda.com</v>
      </c>
      <c r="J3599" s="12">
        <v>262.61799999999999</v>
      </c>
      <c r="K3599" s="12">
        <v>262.61799999999999</v>
      </c>
      <c r="L3599" s="13">
        <v>571.01300000000003</v>
      </c>
      <c r="M3599" s="12">
        <v>-36.747</v>
      </c>
      <c r="N3599" s="12">
        <v>-36.747</v>
      </c>
      <c r="O3599" s="12">
        <v>95.344999999999999</v>
      </c>
      <c r="P3599" s="12">
        <v>3</v>
      </c>
      <c r="Q3599" s="12">
        <v>3</v>
      </c>
      <c r="R3599" s="12">
        <v>5</v>
      </c>
    </row>
    <row r="3600" spans="1:18" ht="17" customHeight="1" x14ac:dyDescent="0.15">
      <c r="A3600" s="8" t="s">
        <v>19375</v>
      </c>
      <c r="B3600" s="9" t="s">
        <v>19376</v>
      </c>
      <c r="C3600" s="8" t="s">
        <v>19377</v>
      </c>
      <c r="D3600" s="8" t="s">
        <v>19377</v>
      </c>
      <c r="E3600" s="8" t="s">
        <v>19378</v>
      </c>
      <c r="F3600" s="8" t="s">
        <v>19354</v>
      </c>
      <c r="G3600" s="8" t="s">
        <v>19292</v>
      </c>
      <c r="H3600" s="8" t="s">
        <v>19293</v>
      </c>
      <c r="I3600" s="8" t="str">
        <f>HYPERLINK("http://www.dipa.it/","www.dipa.it")</f>
        <v>www.dipa.it</v>
      </c>
      <c r="J3600" s="10">
        <v>255.53899999999999</v>
      </c>
      <c r="K3600" s="10">
        <v>255.53899999999999</v>
      </c>
      <c r="L3600" s="10">
        <v>570.45699999999999</v>
      </c>
      <c r="M3600" s="10">
        <v>-94.516000000000005</v>
      </c>
      <c r="N3600" s="10">
        <v>-94.516000000000005</v>
      </c>
      <c r="O3600" s="10">
        <v>-57.005000000000003</v>
      </c>
      <c r="P3600" s="10">
        <v>6</v>
      </c>
      <c r="Q3600" s="10">
        <v>6</v>
      </c>
      <c r="R3600" s="10">
        <v>3</v>
      </c>
    </row>
    <row r="3601" spans="1:18" ht="17" customHeight="1" x14ac:dyDescent="0.15">
      <c r="A3601" s="11" t="s">
        <v>19379</v>
      </c>
      <c r="B3601" s="1" t="s">
        <v>19380</v>
      </c>
      <c r="C3601" s="11" t="s">
        <v>19381</v>
      </c>
      <c r="D3601" s="11" t="s">
        <v>19381</v>
      </c>
      <c r="E3601" s="11" t="s">
        <v>19382</v>
      </c>
      <c r="F3601" s="11" t="s">
        <v>19354</v>
      </c>
      <c r="G3601" s="11" t="s">
        <v>19383</v>
      </c>
      <c r="H3601" s="11" t="s">
        <v>19384</v>
      </c>
      <c r="I3601" s="11" t="str">
        <f>HYPERLINK("http://atelierlavs.com/","atelierlavs.com")</f>
        <v>atelierlavs.com</v>
      </c>
      <c r="J3601" s="12">
        <v>713.27</v>
      </c>
      <c r="K3601" s="12">
        <v>713.27</v>
      </c>
      <c r="L3601" s="13">
        <v>569.27200000000005</v>
      </c>
      <c r="M3601" s="12">
        <v>24.253</v>
      </c>
      <c r="N3601" s="12">
        <v>24.253</v>
      </c>
      <c r="O3601" s="12">
        <v>20.648</v>
      </c>
      <c r="P3601" s="12">
        <v>11</v>
      </c>
      <c r="Q3601" s="12">
        <v>11</v>
      </c>
      <c r="R3601" s="12">
        <v>9</v>
      </c>
    </row>
    <row r="3602" spans="1:18" ht="29.5" customHeight="1" x14ac:dyDescent="0.15">
      <c r="A3602" s="8" t="s">
        <v>19385</v>
      </c>
      <c r="B3602" s="9" t="s">
        <v>19386</v>
      </c>
      <c r="C3602" s="8" t="s">
        <v>19387</v>
      </c>
      <c r="D3602" s="8" t="s">
        <v>19387</v>
      </c>
      <c r="E3602" s="8" t="s">
        <v>19388</v>
      </c>
      <c r="F3602" s="8" t="s">
        <v>19319</v>
      </c>
      <c r="G3602" s="8" t="s">
        <v>19389</v>
      </c>
      <c r="H3602" s="8" t="s">
        <v>19300</v>
      </c>
      <c r="I3602" s="8" t="str">
        <f>HYPERLINK("http://www.zagoalberto.it/","www.zagoalberto.it")</f>
        <v>www.zagoalberto.it</v>
      </c>
      <c r="J3602" s="10">
        <v>360.98599999999999</v>
      </c>
      <c r="K3602" s="10">
        <v>360.98599999999999</v>
      </c>
      <c r="L3602" s="10">
        <v>568.33500000000004</v>
      </c>
      <c r="M3602" s="10">
        <v>2.7679999999999998</v>
      </c>
      <c r="N3602" s="10">
        <v>2.7679999999999998</v>
      </c>
      <c r="O3602" s="10">
        <v>7.5679999999999996</v>
      </c>
      <c r="P3602" s="15" t="s">
        <v>19286</v>
      </c>
      <c r="Q3602" s="15" t="s">
        <v>19286</v>
      </c>
      <c r="R3602" s="10">
        <v>4</v>
      </c>
    </row>
    <row r="3603" spans="1:18" ht="17" customHeight="1" x14ac:dyDescent="0.15">
      <c r="A3603" s="11" t="s">
        <v>19390</v>
      </c>
      <c r="B3603" s="1" t="s">
        <v>19391</v>
      </c>
      <c r="C3603" s="11" t="s">
        <v>19392</v>
      </c>
      <c r="D3603" s="11" t="s">
        <v>19392</v>
      </c>
      <c r="E3603" s="11" t="s">
        <v>19393</v>
      </c>
      <c r="F3603" s="11" t="s">
        <v>19291</v>
      </c>
      <c r="G3603" s="11" t="s">
        <v>19394</v>
      </c>
      <c r="H3603" s="11" t="s">
        <v>19326</v>
      </c>
      <c r="I3603" s="11" t="str">
        <f>HYPERLINK("http://www.bahobab.it/","www.bahobab.it")</f>
        <v>www.bahobab.it</v>
      </c>
      <c r="J3603" s="12">
        <v>614.48299999999995</v>
      </c>
      <c r="K3603" s="12">
        <v>614.48299999999995</v>
      </c>
      <c r="L3603" s="13">
        <v>566.77099999999996</v>
      </c>
      <c r="M3603" s="12">
        <v>18.324000000000002</v>
      </c>
      <c r="N3603" s="12">
        <v>18.324000000000002</v>
      </c>
      <c r="O3603" s="12">
        <v>25.167000000000002</v>
      </c>
      <c r="P3603" s="12">
        <v>1</v>
      </c>
      <c r="Q3603" s="12">
        <v>1</v>
      </c>
      <c r="R3603" s="12">
        <v>2</v>
      </c>
    </row>
    <row r="3604" spans="1:18" ht="17" customHeight="1" x14ac:dyDescent="0.15">
      <c r="A3604" s="8" t="s">
        <v>19395</v>
      </c>
      <c r="B3604" s="9" t="s">
        <v>19396</v>
      </c>
      <c r="C3604" s="8" t="s">
        <v>19397</v>
      </c>
      <c r="D3604" s="8" t="s">
        <v>19397</v>
      </c>
      <c r="E3604" s="8" t="s">
        <v>19398</v>
      </c>
      <c r="F3604" s="8" t="s">
        <v>19312</v>
      </c>
      <c r="G3604" s="8" t="s">
        <v>19313</v>
      </c>
      <c r="H3604" s="8" t="s">
        <v>19314</v>
      </c>
      <c r="I3604" s="8" t="str">
        <f>HYPERLINK("http://www.gamplastsrl.it/","www.gamplastsrl.it")</f>
        <v>www.gamplastsrl.it</v>
      </c>
      <c r="J3604" s="10">
        <v>526.86900000000003</v>
      </c>
      <c r="K3604" s="10">
        <v>526.86900000000003</v>
      </c>
      <c r="L3604" s="10">
        <v>565.70600000000002</v>
      </c>
      <c r="M3604" s="10">
        <v>6.2539999999999996</v>
      </c>
      <c r="N3604" s="10">
        <v>6.2539999999999996</v>
      </c>
      <c r="O3604" s="10">
        <v>1.2969999999999999</v>
      </c>
      <c r="P3604" s="10">
        <v>6</v>
      </c>
      <c r="Q3604" s="10">
        <v>6</v>
      </c>
      <c r="R3604" s="10">
        <v>6</v>
      </c>
    </row>
    <row r="3605" spans="1:18" ht="17" customHeight="1" x14ac:dyDescent="0.15">
      <c r="A3605" s="11" t="s">
        <v>19399</v>
      </c>
      <c r="B3605" s="1" t="s">
        <v>19400</v>
      </c>
      <c r="C3605" s="11" t="s">
        <v>19401</v>
      </c>
      <c r="D3605" s="11" t="s">
        <v>19401</v>
      </c>
      <c r="E3605" s="11" t="s">
        <v>19402</v>
      </c>
      <c r="F3605" s="11" t="s">
        <v>19291</v>
      </c>
      <c r="G3605" s="11" t="s">
        <v>19325</v>
      </c>
      <c r="H3605" s="11" t="s">
        <v>19326</v>
      </c>
      <c r="I3605" s="11" t="str">
        <f>HYPERLINK("http://www.coltom.it/","www.coltom.it")</f>
        <v>www.coltom.it</v>
      </c>
      <c r="J3605" s="12">
        <v>762.41399999999999</v>
      </c>
      <c r="K3605" s="12">
        <v>762.41399999999999</v>
      </c>
      <c r="L3605" s="13">
        <v>564.93600000000004</v>
      </c>
      <c r="M3605" s="12">
        <v>40.851999999999997</v>
      </c>
      <c r="N3605" s="12">
        <v>40.851999999999997</v>
      </c>
      <c r="O3605" s="12">
        <v>30.725999999999999</v>
      </c>
      <c r="P3605" s="14" t="s">
        <v>19286</v>
      </c>
      <c r="Q3605" s="14" t="s">
        <v>19286</v>
      </c>
      <c r="R3605" s="12">
        <v>7</v>
      </c>
    </row>
    <row r="3606" spans="1:18" ht="17" customHeight="1" x14ac:dyDescent="0.15">
      <c r="A3606" s="8" t="s">
        <v>19403</v>
      </c>
      <c r="B3606" s="9" t="s">
        <v>19404</v>
      </c>
      <c r="C3606" s="8" t="s">
        <v>19405</v>
      </c>
      <c r="D3606" s="8" t="s">
        <v>19405</v>
      </c>
      <c r="E3606" s="8" t="s">
        <v>19406</v>
      </c>
      <c r="F3606" s="8" t="s">
        <v>19283</v>
      </c>
      <c r="G3606" s="8" t="s">
        <v>19407</v>
      </c>
      <c r="H3606" s="8" t="s">
        <v>19326</v>
      </c>
      <c r="I3606" s="8" t="str">
        <f>HYPERLINK("http://www.ninocristiani1963.it/","www.ninocristiani1963.it")</f>
        <v>www.ninocristiani1963.it</v>
      </c>
      <c r="J3606" s="10">
        <v>495.39800000000002</v>
      </c>
      <c r="K3606" s="10">
        <v>495.39800000000002</v>
      </c>
      <c r="L3606" s="10">
        <v>564.49</v>
      </c>
      <c r="M3606" s="10">
        <v>14.327999999999999</v>
      </c>
      <c r="N3606" s="10">
        <v>14.327999999999999</v>
      </c>
      <c r="O3606" s="10">
        <v>22.146999999999998</v>
      </c>
      <c r="P3606" s="10">
        <v>3</v>
      </c>
      <c r="Q3606" s="10">
        <v>3</v>
      </c>
      <c r="R3606" s="10">
        <v>1</v>
      </c>
    </row>
    <row r="3607" spans="1:18" ht="17" customHeight="1" x14ac:dyDescent="0.15">
      <c r="A3607" s="11" t="s">
        <v>19408</v>
      </c>
      <c r="B3607" s="1" t="s">
        <v>19409</v>
      </c>
      <c r="C3607" s="11" t="s">
        <v>19410</v>
      </c>
      <c r="D3607" s="11" t="s">
        <v>19410</v>
      </c>
      <c r="E3607" s="11" t="s">
        <v>19411</v>
      </c>
      <c r="F3607" s="11" t="s">
        <v>19291</v>
      </c>
      <c r="G3607" s="11" t="s">
        <v>19412</v>
      </c>
      <c r="H3607" s="11" t="s">
        <v>19285</v>
      </c>
      <c r="I3607" s="11" t="str">
        <f>HYPERLINK("http://www.racalsnc.it/","www.racalsnc.it")</f>
        <v>www.racalsnc.it</v>
      </c>
      <c r="J3607" s="12">
        <v>543.87400000000002</v>
      </c>
      <c r="K3607" s="12">
        <v>543.87400000000002</v>
      </c>
      <c r="L3607" s="13">
        <v>563.72299999999996</v>
      </c>
      <c r="M3607" s="12">
        <v>9.0039999999999996</v>
      </c>
      <c r="N3607" s="12">
        <v>9.0039999999999996</v>
      </c>
      <c r="O3607" s="12">
        <v>8.0869999999999997</v>
      </c>
      <c r="P3607" s="14" t="s">
        <v>19286</v>
      </c>
      <c r="Q3607" s="14" t="s">
        <v>19286</v>
      </c>
      <c r="R3607" s="12">
        <v>2</v>
      </c>
    </row>
    <row r="3608" spans="1:18" ht="17" customHeight="1" x14ac:dyDescent="0.15">
      <c r="A3608" s="8" t="s">
        <v>19413</v>
      </c>
      <c r="B3608" s="9" t="s">
        <v>19414</v>
      </c>
      <c r="C3608" s="8" t="s">
        <v>19415</v>
      </c>
      <c r="D3608" s="8" t="s">
        <v>19415</v>
      </c>
      <c r="E3608" s="8" t="s">
        <v>19416</v>
      </c>
      <c r="F3608" s="8" t="s">
        <v>19417</v>
      </c>
      <c r="G3608" s="8" t="s">
        <v>19418</v>
      </c>
      <c r="H3608" s="8" t="s">
        <v>19300</v>
      </c>
      <c r="I3608" s="8" t="str">
        <f>HYPERLINK("http://www.calzificiosillan.it/","www.calzificiosillan.it")</f>
        <v>www.calzificiosillan.it</v>
      </c>
      <c r="J3608" s="10">
        <v>1336.82</v>
      </c>
      <c r="K3608" s="10">
        <v>1336.82</v>
      </c>
      <c r="L3608" s="10">
        <v>563.33699999999999</v>
      </c>
      <c r="M3608" s="10">
        <v>11.304</v>
      </c>
      <c r="N3608" s="10">
        <v>11.304</v>
      </c>
      <c r="O3608" s="10">
        <v>-144.63800000000001</v>
      </c>
      <c r="P3608" s="15" t="s">
        <v>19286</v>
      </c>
      <c r="Q3608" s="15" t="s">
        <v>19286</v>
      </c>
      <c r="R3608" s="10">
        <v>6</v>
      </c>
    </row>
    <row r="3609" spans="1:18" ht="17" customHeight="1" x14ac:dyDescent="0.15">
      <c r="A3609" s="11" t="s">
        <v>19419</v>
      </c>
      <c r="B3609" s="1" t="s">
        <v>19420</v>
      </c>
      <c r="C3609" s="11" t="s">
        <v>19421</v>
      </c>
      <c r="D3609" s="11" t="s">
        <v>19421</v>
      </c>
      <c r="E3609" s="11" t="s">
        <v>19422</v>
      </c>
      <c r="F3609" s="11" t="s">
        <v>19283</v>
      </c>
      <c r="G3609" s="11" t="s">
        <v>19374</v>
      </c>
      <c r="H3609" s="11" t="s">
        <v>19356</v>
      </c>
      <c r="I3609" s="11" t="str">
        <f>HYPERLINK("http://www.libertyrose.it/","www.libertyrose.it")</f>
        <v>www.libertyrose.it</v>
      </c>
      <c r="J3609" s="12">
        <v>606.05100000000004</v>
      </c>
      <c r="K3609" s="12">
        <v>606.05100000000004</v>
      </c>
      <c r="L3609" s="13">
        <v>563.03599999999994</v>
      </c>
      <c r="M3609" s="12">
        <v>1.6890000000000001</v>
      </c>
      <c r="N3609" s="12">
        <v>1.6890000000000001</v>
      </c>
      <c r="O3609" s="12">
        <v>-1.095</v>
      </c>
      <c r="P3609" s="14" t="s">
        <v>19286</v>
      </c>
      <c r="Q3609" s="14" t="s">
        <v>19286</v>
      </c>
      <c r="R3609" s="12">
        <v>2</v>
      </c>
    </row>
    <row r="3610" spans="1:18" ht="17" customHeight="1" x14ac:dyDescent="0.15">
      <c r="A3610" s="8" t="s">
        <v>19423</v>
      </c>
      <c r="B3610" s="9" t="s">
        <v>19424</v>
      </c>
      <c r="C3610" s="8" t="s">
        <v>19425</v>
      </c>
      <c r="D3610" s="8" t="s">
        <v>19425</v>
      </c>
      <c r="E3610" s="8" t="s">
        <v>19426</v>
      </c>
      <c r="F3610" s="8" t="s">
        <v>19373</v>
      </c>
      <c r="G3610" s="8" t="s">
        <v>19427</v>
      </c>
      <c r="H3610" s="8" t="s">
        <v>19300</v>
      </c>
      <c r="I3610" s="8" t="str">
        <f>HYPERLINK("http://dogissimi.com/","dogissimi.com")</f>
        <v>dogissimi.com</v>
      </c>
      <c r="J3610" s="10">
        <v>297.65499999999997</v>
      </c>
      <c r="K3610" s="10">
        <v>297.65499999999997</v>
      </c>
      <c r="L3610" s="10">
        <v>562.44100000000003</v>
      </c>
      <c r="M3610" s="10">
        <v>-28.38</v>
      </c>
      <c r="N3610" s="10">
        <v>-28.38</v>
      </c>
      <c r="O3610" s="10">
        <v>44.302</v>
      </c>
      <c r="P3610" s="15" t="s">
        <v>19286</v>
      </c>
      <c r="Q3610" s="15" t="s">
        <v>19286</v>
      </c>
      <c r="R3610" s="10">
        <v>0</v>
      </c>
    </row>
    <row r="3611" spans="1:18" ht="17" customHeight="1" x14ac:dyDescent="0.15">
      <c r="A3611" s="11" t="s">
        <v>19428</v>
      </c>
      <c r="B3611" s="1" t="s">
        <v>19429</v>
      </c>
      <c r="C3611" s="11" t="s">
        <v>19430</v>
      </c>
      <c r="D3611" s="11" t="s">
        <v>19430</v>
      </c>
      <c r="E3611" s="11" t="s">
        <v>19431</v>
      </c>
      <c r="F3611" s="11" t="s">
        <v>19319</v>
      </c>
      <c r="G3611" s="11" t="s">
        <v>19412</v>
      </c>
      <c r="H3611" s="11" t="s">
        <v>19285</v>
      </c>
      <c r="I3611" s="11" t="str">
        <f>HYPERLINK("http://eddicuomo.com/","eddicuomo.com")</f>
        <v>eddicuomo.com</v>
      </c>
      <c r="J3611" s="12">
        <v>682.87800000000004</v>
      </c>
      <c r="K3611" s="12">
        <v>682.87800000000004</v>
      </c>
      <c r="L3611" s="13">
        <v>561.69200000000001</v>
      </c>
      <c r="M3611" s="12">
        <v>27.826000000000001</v>
      </c>
      <c r="N3611" s="12">
        <v>27.826000000000001</v>
      </c>
      <c r="O3611" s="12">
        <v>42.015000000000001</v>
      </c>
      <c r="P3611" s="12">
        <v>4</v>
      </c>
      <c r="Q3611" s="12">
        <v>4</v>
      </c>
      <c r="R3611" s="12">
        <v>4</v>
      </c>
    </row>
    <row r="3612" spans="1:18" ht="17" customHeight="1" x14ac:dyDescent="0.15">
      <c r="A3612" s="8" t="s">
        <v>19432</v>
      </c>
      <c r="B3612" s="9" t="s">
        <v>19433</v>
      </c>
      <c r="C3612" s="8" t="s">
        <v>19434</v>
      </c>
      <c r="D3612" s="8" t="s">
        <v>19434</v>
      </c>
      <c r="E3612" s="8" t="s">
        <v>19435</v>
      </c>
      <c r="F3612" s="8" t="s">
        <v>19312</v>
      </c>
      <c r="G3612" s="8" t="s">
        <v>19436</v>
      </c>
      <c r="H3612" s="8" t="s">
        <v>19307</v>
      </c>
      <c r="I3612" s="8" t="str">
        <f>HYPERLINK("http://tacchificiosaiv.com/","tacchificiosaiv.com")</f>
        <v>tacchificiosaiv.com</v>
      </c>
      <c r="J3612" s="10">
        <v>600.00900000000001</v>
      </c>
      <c r="K3612" s="10">
        <v>600.00900000000001</v>
      </c>
      <c r="L3612" s="10">
        <v>559.65099999999995</v>
      </c>
      <c r="M3612" s="10">
        <v>13.667</v>
      </c>
      <c r="N3612" s="10">
        <v>13.667</v>
      </c>
      <c r="O3612" s="10">
        <v>67.445999999999998</v>
      </c>
      <c r="P3612" s="15" t="s">
        <v>19286</v>
      </c>
      <c r="Q3612" s="15" t="s">
        <v>19286</v>
      </c>
      <c r="R3612" s="10">
        <v>8</v>
      </c>
    </row>
    <row r="3613" spans="1:18" ht="17" customHeight="1" x14ac:dyDescent="0.15">
      <c r="A3613" s="11" t="s">
        <v>19437</v>
      </c>
      <c r="B3613" s="1" t="s">
        <v>19438</v>
      </c>
      <c r="C3613" s="11" t="s">
        <v>19439</v>
      </c>
      <c r="D3613" s="11" t="s">
        <v>19440</v>
      </c>
      <c r="E3613" s="11" t="s">
        <v>19441</v>
      </c>
      <c r="F3613" s="11" t="s">
        <v>19361</v>
      </c>
      <c r="G3613" s="11" t="s">
        <v>19442</v>
      </c>
      <c r="H3613" s="11" t="s">
        <v>19300</v>
      </c>
      <c r="I3613" s="11" t="str">
        <f>HYPERLINK("http://sportech.it/","sportech.it")</f>
        <v>sportech.it</v>
      </c>
      <c r="J3613" s="12">
        <v>558.803</v>
      </c>
      <c r="K3613" s="14" t="s">
        <v>19286</v>
      </c>
      <c r="L3613" s="13">
        <v>558.803</v>
      </c>
      <c r="M3613" s="12">
        <v>8.7349999999999994</v>
      </c>
      <c r="N3613" s="14" t="s">
        <v>19286</v>
      </c>
      <c r="O3613" s="12">
        <v>8.7349999999999994</v>
      </c>
      <c r="P3613" s="12">
        <v>6</v>
      </c>
      <c r="Q3613" s="14" t="s">
        <v>19286</v>
      </c>
      <c r="R3613" s="12">
        <v>6</v>
      </c>
    </row>
    <row r="3614" spans="1:18" ht="17" customHeight="1" x14ac:dyDescent="0.15">
      <c r="A3614" s="8" t="s">
        <v>19443</v>
      </c>
      <c r="B3614" s="9" t="s">
        <v>19444</v>
      </c>
      <c r="C3614" s="8" t="s">
        <v>19445</v>
      </c>
      <c r="D3614" s="8" t="s">
        <v>19445</v>
      </c>
      <c r="E3614" s="8" t="s">
        <v>19446</v>
      </c>
      <c r="F3614" s="8" t="s">
        <v>19291</v>
      </c>
      <c r="G3614" s="8" t="s">
        <v>19447</v>
      </c>
      <c r="H3614" s="8" t="s">
        <v>19448</v>
      </c>
      <c r="I3614" s="8" t="str">
        <f>HYPERLINK("http://sartoriaragusa.eu/","sartoriaragusa.eu")</f>
        <v>sartoriaragusa.eu</v>
      </c>
      <c r="J3614" s="10">
        <v>469.28300000000002</v>
      </c>
      <c r="K3614" s="10">
        <v>469.28300000000002</v>
      </c>
      <c r="L3614" s="10">
        <v>558.41099999999994</v>
      </c>
      <c r="M3614" s="10">
        <v>49.927999999999997</v>
      </c>
      <c r="N3614" s="10">
        <v>49.927999999999997</v>
      </c>
      <c r="O3614" s="10">
        <v>56.174999999999997</v>
      </c>
      <c r="P3614" s="10">
        <v>10</v>
      </c>
      <c r="Q3614" s="10">
        <v>10</v>
      </c>
      <c r="R3614" s="10">
        <v>10</v>
      </c>
    </row>
    <row r="3615" spans="1:18" ht="17" customHeight="1" x14ac:dyDescent="0.15">
      <c r="A3615" s="11" t="s">
        <v>19449</v>
      </c>
      <c r="B3615" s="1" t="s">
        <v>19450</v>
      </c>
      <c r="C3615" s="11" t="s">
        <v>19451</v>
      </c>
      <c r="D3615" s="11" t="s">
        <v>19451</v>
      </c>
      <c r="E3615" s="11" t="s">
        <v>19452</v>
      </c>
      <c r="F3615" s="11" t="s">
        <v>19453</v>
      </c>
      <c r="G3615" s="11" t="s">
        <v>19454</v>
      </c>
      <c r="H3615" s="11" t="s">
        <v>19314</v>
      </c>
      <c r="I3615" s="11" t="str">
        <f>HYPERLINK("http://www.essenove.it/","www.essenove.it")</f>
        <v>www.essenove.it</v>
      </c>
      <c r="J3615" s="12">
        <v>617.47299999999996</v>
      </c>
      <c r="K3615" s="12">
        <v>617.47299999999996</v>
      </c>
      <c r="L3615" s="13">
        <v>557.39800000000002</v>
      </c>
      <c r="M3615" s="12">
        <v>-15.622999999999999</v>
      </c>
      <c r="N3615" s="12">
        <v>-15.622999999999999</v>
      </c>
      <c r="O3615" s="12">
        <v>-6.9530000000000003</v>
      </c>
      <c r="P3615" s="12">
        <v>2</v>
      </c>
      <c r="Q3615" s="12">
        <v>2</v>
      </c>
      <c r="R3615" s="12">
        <v>2</v>
      </c>
    </row>
    <row r="3616" spans="1:18" ht="43" customHeight="1" x14ac:dyDescent="0.15">
      <c r="A3616" s="8" t="s">
        <v>19455</v>
      </c>
      <c r="B3616" s="9" t="s">
        <v>19456</v>
      </c>
      <c r="C3616" s="8" t="s">
        <v>19457</v>
      </c>
      <c r="D3616" s="8" t="s">
        <v>19457</v>
      </c>
      <c r="E3616" s="8" t="s">
        <v>19458</v>
      </c>
      <c r="F3616" s="8" t="s">
        <v>19347</v>
      </c>
      <c r="G3616" s="8" t="s">
        <v>19459</v>
      </c>
      <c r="H3616" s="8" t="s">
        <v>19300</v>
      </c>
      <c r="I3616" s="8" t="str">
        <f>HYPERLINK("http://www.usual-usual.it/","www.usual-usual.it")</f>
        <v>www.usual-usual.it</v>
      </c>
      <c r="J3616" s="10">
        <v>356.27</v>
      </c>
      <c r="K3616" s="10">
        <v>356.27</v>
      </c>
      <c r="L3616" s="10">
        <v>556.91800000000001</v>
      </c>
      <c r="M3616" s="10">
        <v>-86.66</v>
      </c>
      <c r="N3616" s="10">
        <v>-86.66</v>
      </c>
      <c r="O3616" s="10">
        <v>4.3630000000000004</v>
      </c>
      <c r="P3616" s="15" t="s">
        <v>19286</v>
      </c>
      <c r="Q3616" s="15" t="s">
        <v>19286</v>
      </c>
      <c r="R3616" s="10">
        <v>3</v>
      </c>
    </row>
    <row r="3617" spans="1:18" ht="17" customHeight="1" x14ac:dyDescent="0.15">
      <c r="A3617" s="11" t="s">
        <v>19460</v>
      </c>
      <c r="B3617" s="1" t="s">
        <v>19461</v>
      </c>
      <c r="C3617" s="11" t="s">
        <v>19462</v>
      </c>
      <c r="D3617" s="11" t="s">
        <v>19462</v>
      </c>
      <c r="E3617" s="11" t="s">
        <v>19463</v>
      </c>
      <c r="F3617" s="11" t="s">
        <v>19464</v>
      </c>
      <c r="G3617" s="11" t="s">
        <v>19465</v>
      </c>
      <c r="H3617" s="11" t="s">
        <v>19466</v>
      </c>
      <c r="I3617" s="11" t="str">
        <f>HYPERLINK("http://www.karmaofcharmeshop.com/","www.karmaofcharmeshop.com")</f>
        <v>www.karmaofcharmeshop.com</v>
      </c>
      <c r="J3617" s="12">
        <v>426.57299999999998</v>
      </c>
      <c r="K3617" s="12">
        <v>426.57299999999998</v>
      </c>
      <c r="L3617" s="13">
        <v>556.26199999999994</v>
      </c>
      <c r="M3617" s="12">
        <v>-130.82599999999999</v>
      </c>
      <c r="N3617" s="12">
        <v>-130.82599999999999</v>
      </c>
      <c r="O3617" s="12">
        <v>-2.4820000000000002</v>
      </c>
      <c r="P3617" s="14" t="s">
        <v>19467</v>
      </c>
      <c r="Q3617" s="14" t="s">
        <v>19467</v>
      </c>
      <c r="R3617" s="12">
        <v>4</v>
      </c>
    </row>
    <row r="3618" spans="1:18" ht="17" customHeight="1" x14ac:dyDescent="0.15">
      <c r="A3618" s="8" t="s">
        <v>19468</v>
      </c>
      <c r="B3618" s="9" t="s">
        <v>19469</v>
      </c>
      <c r="C3618" s="8" t="s">
        <v>19470</v>
      </c>
      <c r="D3618" s="8" t="s">
        <v>19470</v>
      </c>
      <c r="E3618" s="8" t="s">
        <v>19471</v>
      </c>
      <c r="F3618" s="8" t="s">
        <v>19464</v>
      </c>
      <c r="G3618" s="8" t="s">
        <v>19472</v>
      </c>
      <c r="H3618" s="8" t="s">
        <v>19466</v>
      </c>
      <c r="I3618" s="8" t="str">
        <f>HYPERLINK("http://www.fiorangelo.it/","www.fiorangelo.it")</f>
        <v>www.fiorangelo.it</v>
      </c>
      <c r="J3618" s="10">
        <v>552.66</v>
      </c>
      <c r="K3618" s="10">
        <v>552.66</v>
      </c>
      <c r="L3618" s="10">
        <v>555.89200000000005</v>
      </c>
      <c r="M3618" s="10">
        <v>17.983000000000001</v>
      </c>
      <c r="N3618" s="10">
        <v>17.983000000000001</v>
      </c>
      <c r="O3618" s="10">
        <v>25.058</v>
      </c>
      <c r="P3618" s="10">
        <v>4</v>
      </c>
      <c r="Q3618" s="10">
        <v>4</v>
      </c>
      <c r="R3618" s="10">
        <v>4</v>
      </c>
    </row>
    <row r="3619" spans="1:18" ht="17" customHeight="1" x14ac:dyDescent="0.15">
      <c r="A3619" s="11" t="s">
        <v>19473</v>
      </c>
      <c r="B3619" s="1" t="s">
        <v>19474</v>
      </c>
      <c r="C3619" s="11" t="s">
        <v>19475</v>
      </c>
      <c r="D3619" s="11" t="s">
        <v>19475</v>
      </c>
      <c r="E3619" s="11" t="s">
        <v>19476</v>
      </c>
      <c r="F3619" s="11" t="s">
        <v>19477</v>
      </c>
      <c r="G3619" s="11" t="s">
        <v>19478</v>
      </c>
      <c r="H3619" s="11" t="s">
        <v>19479</v>
      </c>
      <c r="I3619" s="11" t="str">
        <f>HYPERLINK("http://www.brandocamicie.com/","www.brandocamicie.com")</f>
        <v>www.brandocamicie.com</v>
      </c>
      <c r="J3619" s="12">
        <v>617.61800000000005</v>
      </c>
      <c r="K3619" s="12">
        <v>617.61800000000005</v>
      </c>
      <c r="L3619" s="13">
        <v>555.78599999999994</v>
      </c>
      <c r="M3619" s="12">
        <v>57.79</v>
      </c>
      <c r="N3619" s="12">
        <v>57.79</v>
      </c>
      <c r="O3619" s="12">
        <v>23.128</v>
      </c>
      <c r="P3619" s="12">
        <v>4</v>
      </c>
      <c r="Q3619" s="12">
        <v>4</v>
      </c>
      <c r="R3619" s="12">
        <v>5</v>
      </c>
    </row>
    <row r="3620" spans="1:18" ht="17" customHeight="1" x14ac:dyDescent="0.15">
      <c r="A3620" s="8" t="s">
        <v>19480</v>
      </c>
      <c r="B3620" s="9" t="s">
        <v>19481</v>
      </c>
      <c r="C3620" s="8" t="s">
        <v>19482</v>
      </c>
      <c r="D3620" s="8" t="s">
        <v>19482</v>
      </c>
      <c r="E3620" s="8" t="s">
        <v>19483</v>
      </c>
      <c r="F3620" s="8" t="s">
        <v>19484</v>
      </c>
      <c r="G3620" s="8" t="s">
        <v>19485</v>
      </c>
      <c r="H3620" s="8" t="s">
        <v>19486</v>
      </c>
      <c r="I3620" s="8" t="str">
        <f>HYPERLINK("http://www.merisiosrl.com/","www.merisiosrl.com")</f>
        <v>www.merisiosrl.com</v>
      </c>
      <c r="J3620" s="10">
        <v>567.03399999999999</v>
      </c>
      <c r="K3620" s="10">
        <v>567.03399999999999</v>
      </c>
      <c r="L3620" s="10">
        <v>555.23900000000003</v>
      </c>
      <c r="M3620" s="10">
        <v>-3.1909999999999998</v>
      </c>
      <c r="N3620" s="10">
        <v>-3.1909999999999998</v>
      </c>
      <c r="O3620" s="10">
        <v>20.664000000000001</v>
      </c>
      <c r="P3620" s="15" t="s">
        <v>19467</v>
      </c>
      <c r="Q3620" s="15" t="s">
        <v>19467</v>
      </c>
      <c r="R3620" s="10">
        <v>16</v>
      </c>
    </row>
    <row r="3621" spans="1:18" ht="17" customHeight="1" x14ac:dyDescent="0.15">
      <c r="A3621" s="11" t="s">
        <v>19487</v>
      </c>
      <c r="B3621" s="1" t="s">
        <v>19488</v>
      </c>
      <c r="C3621" s="11" t="s">
        <v>19489</v>
      </c>
      <c r="D3621" s="11" t="s">
        <v>19489</v>
      </c>
      <c r="E3621" s="11" t="s">
        <v>19490</v>
      </c>
      <c r="F3621" s="11" t="s">
        <v>19491</v>
      </c>
      <c r="G3621" s="11" t="s">
        <v>19492</v>
      </c>
      <c r="H3621" s="11" t="s">
        <v>19493</v>
      </c>
      <c r="I3621" s="11" t="str">
        <f>HYPERLINK("http://hakx.it/","hakx.it")</f>
        <v>hakx.it</v>
      </c>
      <c r="J3621" s="12">
        <v>583.71100000000001</v>
      </c>
      <c r="K3621" s="12">
        <v>583.71100000000001</v>
      </c>
      <c r="L3621" s="13">
        <v>555.02700000000004</v>
      </c>
      <c r="M3621" s="12">
        <v>2.726</v>
      </c>
      <c r="N3621" s="12">
        <v>2.726</v>
      </c>
      <c r="O3621" s="12">
        <v>5.2530000000000001</v>
      </c>
      <c r="P3621" s="12">
        <v>2</v>
      </c>
      <c r="Q3621" s="12">
        <v>2</v>
      </c>
      <c r="R3621" s="12">
        <v>2</v>
      </c>
    </row>
    <row r="3622" spans="1:18" ht="17" customHeight="1" x14ac:dyDescent="0.15">
      <c r="A3622" s="8" t="s">
        <v>19494</v>
      </c>
      <c r="B3622" s="9" t="s">
        <v>19495</v>
      </c>
      <c r="C3622" s="8" t="s">
        <v>19496</v>
      </c>
      <c r="D3622" s="8" t="s">
        <v>19496</v>
      </c>
      <c r="E3622" s="8" t="s">
        <v>19497</v>
      </c>
      <c r="F3622" s="8" t="s">
        <v>19498</v>
      </c>
      <c r="G3622" s="8" t="s">
        <v>19499</v>
      </c>
      <c r="H3622" s="8" t="s">
        <v>19500</v>
      </c>
      <c r="I3622" s="8" t="str">
        <f>HYPERLINK("http://www.interservicericami.it/","www.interservicericami.it")</f>
        <v>www.interservicericami.it</v>
      </c>
      <c r="J3622" s="10">
        <v>618.95799999999997</v>
      </c>
      <c r="K3622" s="10">
        <v>618.95799999999997</v>
      </c>
      <c r="L3622" s="10">
        <v>554.06600000000003</v>
      </c>
      <c r="M3622" s="10">
        <v>27.393999999999998</v>
      </c>
      <c r="N3622" s="10">
        <v>27.393999999999998</v>
      </c>
      <c r="O3622" s="10">
        <v>16.658000000000001</v>
      </c>
      <c r="P3622" s="10">
        <v>6</v>
      </c>
      <c r="Q3622" s="10">
        <v>6</v>
      </c>
      <c r="R3622" s="10">
        <v>6</v>
      </c>
    </row>
    <row r="3623" spans="1:18" ht="17" customHeight="1" x14ac:dyDescent="0.15">
      <c r="A3623" s="11" t="s">
        <v>19501</v>
      </c>
      <c r="B3623" s="1" t="s">
        <v>19502</v>
      </c>
      <c r="C3623" s="11" t="s">
        <v>19503</v>
      </c>
      <c r="D3623" s="11" t="s">
        <v>19503</v>
      </c>
      <c r="E3623" s="11" t="s">
        <v>19504</v>
      </c>
      <c r="F3623" s="11" t="s">
        <v>19464</v>
      </c>
      <c r="G3623" s="11" t="s">
        <v>19505</v>
      </c>
      <c r="H3623" s="11" t="s">
        <v>19506</v>
      </c>
      <c r="I3623" s="11" t="str">
        <f>HYPERLINK("http://www.chiaracarrino.it/","www.chiaracarrino.it")</f>
        <v>www.chiaracarrino.it</v>
      </c>
      <c r="J3623" s="12">
        <v>498.02800000000002</v>
      </c>
      <c r="K3623" s="12">
        <v>498.02800000000002</v>
      </c>
      <c r="L3623" s="13">
        <v>554.024</v>
      </c>
      <c r="M3623" s="12">
        <v>-59.863999999999997</v>
      </c>
      <c r="N3623" s="12">
        <v>-59.863999999999997</v>
      </c>
      <c r="O3623" s="12">
        <v>8.2780000000000005</v>
      </c>
      <c r="P3623" s="12">
        <v>13</v>
      </c>
      <c r="Q3623" s="12">
        <v>13</v>
      </c>
      <c r="R3623" s="12">
        <v>13</v>
      </c>
    </row>
    <row r="3624" spans="1:18" ht="17" customHeight="1" x14ac:dyDescent="0.15">
      <c r="A3624" s="8" t="s">
        <v>19507</v>
      </c>
      <c r="B3624" s="9" t="s">
        <v>19508</v>
      </c>
      <c r="C3624" s="8" t="s">
        <v>19509</v>
      </c>
      <c r="D3624" s="8" t="s">
        <v>19509</v>
      </c>
      <c r="E3624" s="8" t="s">
        <v>19510</v>
      </c>
      <c r="F3624" s="8" t="s">
        <v>19484</v>
      </c>
      <c r="G3624" s="8" t="s">
        <v>19511</v>
      </c>
      <c r="H3624" s="8" t="s">
        <v>19512</v>
      </c>
      <c r="I3624" s="8" t="str">
        <f>HYPERLINK("http://www.robertopancani.it/","www.robertopancani.it")</f>
        <v>www.robertopancani.it</v>
      </c>
      <c r="J3624" s="10">
        <v>296.45499999999998</v>
      </c>
      <c r="K3624" s="10">
        <v>296.45499999999998</v>
      </c>
      <c r="L3624" s="10">
        <v>553.97500000000002</v>
      </c>
      <c r="M3624" s="10">
        <v>-79.817999999999998</v>
      </c>
      <c r="N3624" s="10">
        <v>-79.817999999999998</v>
      </c>
      <c r="O3624" s="10">
        <v>3.8809999999999998</v>
      </c>
      <c r="P3624" s="15" t="s">
        <v>19467</v>
      </c>
      <c r="Q3624" s="15" t="s">
        <v>19467</v>
      </c>
      <c r="R3624" s="10">
        <v>3</v>
      </c>
    </row>
    <row r="3625" spans="1:18" ht="17" customHeight="1" x14ac:dyDescent="0.15">
      <c r="A3625" s="11" t="s">
        <v>19513</v>
      </c>
      <c r="B3625" s="1" t="s">
        <v>19514</v>
      </c>
      <c r="C3625" s="11" t="s">
        <v>19515</v>
      </c>
      <c r="D3625" s="11" t="s">
        <v>19515</v>
      </c>
      <c r="E3625" s="11" t="s">
        <v>19516</v>
      </c>
      <c r="F3625" s="11" t="s">
        <v>19517</v>
      </c>
      <c r="G3625" s="11" t="s">
        <v>19472</v>
      </c>
      <c r="H3625" s="11" t="s">
        <v>19466</v>
      </c>
      <c r="I3625" s="11" t="str">
        <f>HYPERLINK("http://www.solettificiomassetti.it/","www.solettificiomassetti.it")</f>
        <v>www.solettificiomassetti.it</v>
      </c>
      <c r="J3625" s="12">
        <v>3397.056</v>
      </c>
      <c r="K3625" s="12">
        <v>1505.019</v>
      </c>
      <c r="L3625" s="13">
        <v>552.99400000000003</v>
      </c>
      <c r="M3625" s="12">
        <v>527.84900000000005</v>
      </c>
      <c r="N3625" s="12">
        <v>231.72399999999999</v>
      </c>
      <c r="O3625" s="12">
        <v>2.91</v>
      </c>
      <c r="P3625" s="14" t="s">
        <v>19467</v>
      </c>
      <c r="Q3625" s="14" t="s">
        <v>19467</v>
      </c>
      <c r="R3625" s="12">
        <v>7</v>
      </c>
    </row>
    <row r="3626" spans="1:18" ht="17" customHeight="1" x14ac:dyDescent="0.15">
      <c r="A3626" s="8" t="s">
        <v>19518</v>
      </c>
      <c r="B3626" s="9" t="s">
        <v>19519</v>
      </c>
      <c r="C3626" s="8" t="s">
        <v>19520</v>
      </c>
      <c r="D3626" s="8" t="s">
        <v>19520</v>
      </c>
      <c r="E3626" s="8" t="s">
        <v>19521</v>
      </c>
      <c r="F3626" s="8" t="s">
        <v>19498</v>
      </c>
      <c r="G3626" s="8" t="s">
        <v>19522</v>
      </c>
      <c r="H3626" s="8" t="s">
        <v>19523</v>
      </c>
      <c r="I3626" s="8" t="str">
        <f>HYPERLINK("http://www.garmentsrl.it/","www.garmentsrl.it")</f>
        <v>www.garmentsrl.it</v>
      </c>
      <c r="J3626" s="10">
        <v>600.86300000000006</v>
      </c>
      <c r="K3626" s="10">
        <v>600.86300000000006</v>
      </c>
      <c r="L3626" s="10">
        <v>552.76400000000001</v>
      </c>
      <c r="M3626" s="10">
        <v>4.742</v>
      </c>
      <c r="N3626" s="10">
        <v>4.742</v>
      </c>
      <c r="O3626" s="10">
        <v>12.7</v>
      </c>
      <c r="P3626" s="15" t="s">
        <v>19467</v>
      </c>
      <c r="Q3626" s="15" t="s">
        <v>19467</v>
      </c>
      <c r="R3626" s="10">
        <v>12</v>
      </c>
    </row>
    <row r="3627" spans="1:18" ht="17" customHeight="1" x14ac:dyDescent="0.15">
      <c r="A3627" s="11" t="s">
        <v>19524</v>
      </c>
      <c r="B3627" s="1" t="s">
        <v>19525</v>
      </c>
      <c r="C3627" s="11" t="s">
        <v>19526</v>
      </c>
      <c r="D3627" s="11" t="s">
        <v>19526</v>
      </c>
      <c r="E3627" s="11" t="s">
        <v>19527</v>
      </c>
      <c r="F3627" s="11" t="s">
        <v>19528</v>
      </c>
      <c r="G3627" s="11" t="s">
        <v>19529</v>
      </c>
      <c r="H3627" s="11" t="s">
        <v>19512</v>
      </c>
      <c r="I3627" s="11" t="str">
        <f>HYPERLINK("http://www.onext.it/","www.onext.it")</f>
        <v>www.onext.it</v>
      </c>
      <c r="J3627" s="12">
        <v>569.61400000000003</v>
      </c>
      <c r="K3627" s="12">
        <v>569.61400000000003</v>
      </c>
      <c r="L3627" s="13">
        <v>552.78099999999995</v>
      </c>
      <c r="M3627" s="12">
        <v>5.9009999999999998</v>
      </c>
      <c r="N3627" s="12">
        <v>5.9009999999999998</v>
      </c>
      <c r="O3627" s="12">
        <v>2.9569999999999999</v>
      </c>
      <c r="P3627" s="14" t="s">
        <v>19467</v>
      </c>
      <c r="Q3627" s="14" t="s">
        <v>19467</v>
      </c>
      <c r="R3627" s="12">
        <v>14</v>
      </c>
    </row>
    <row r="3628" spans="1:18" ht="17" customHeight="1" x14ac:dyDescent="0.15">
      <c r="A3628" s="8" t="s">
        <v>19530</v>
      </c>
      <c r="B3628" s="9" t="s">
        <v>19531</v>
      </c>
      <c r="C3628" s="8" t="s">
        <v>19532</v>
      </c>
      <c r="D3628" s="8" t="s">
        <v>19532</v>
      </c>
      <c r="E3628" s="8" t="s">
        <v>19533</v>
      </c>
      <c r="F3628" s="8" t="s">
        <v>19528</v>
      </c>
      <c r="G3628" s="8" t="s">
        <v>19478</v>
      </c>
      <c r="H3628" s="8" t="s">
        <v>19479</v>
      </c>
      <c r="I3628" s="8" t="str">
        <f>HYPERLINK("http://www.fditalia.com/","www.fditalia.com")</f>
        <v>www.fditalia.com</v>
      </c>
      <c r="J3628" s="10">
        <v>552.36400000000003</v>
      </c>
      <c r="K3628" s="15" t="s">
        <v>19467</v>
      </c>
      <c r="L3628" s="10">
        <v>552.36400000000003</v>
      </c>
      <c r="M3628" s="10">
        <v>0.2</v>
      </c>
      <c r="N3628" s="15" t="s">
        <v>19467</v>
      </c>
      <c r="O3628" s="10">
        <v>0.2</v>
      </c>
      <c r="P3628" s="10">
        <v>8</v>
      </c>
      <c r="Q3628" s="15" t="s">
        <v>19467</v>
      </c>
      <c r="R3628" s="10">
        <v>8</v>
      </c>
    </row>
    <row r="3629" spans="1:18" ht="17" customHeight="1" x14ac:dyDescent="0.15">
      <c r="A3629" s="11" t="s">
        <v>19534</v>
      </c>
      <c r="B3629" s="1" t="s">
        <v>19535</v>
      </c>
      <c r="C3629" s="11" t="s">
        <v>19536</v>
      </c>
      <c r="D3629" s="11" t="s">
        <v>19536</v>
      </c>
      <c r="E3629" s="11" t="s">
        <v>19537</v>
      </c>
      <c r="F3629" s="11" t="s">
        <v>19464</v>
      </c>
      <c r="G3629" s="11" t="s">
        <v>19538</v>
      </c>
      <c r="H3629" s="11" t="s">
        <v>19539</v>
      </c>
      <c r="I3629" s="11" t="str">
        <f>HYPERLINK("http://host.samet.it/","host.samet.it")</f>
        <v>host.samet.it</v>
      </c>
      <c r="J3629" s="12">
        <v>600.42200000000003</v>
      </c>
      <c r="K3629" s="12">
        <v>600.42200000000003</v>
      </c>
      <c r="L3629" s="13">
        <v>552.18299999999999</v>
      </c>
      <c r="M3629" s="12">
        <v>14.436999999999999</v>
      </c>
      <c r="N3629" s="12">
        <v>14.436999999999999</v>
      </c>
      <c r="O3629" s="12">
        <v>24.564</v>
      </c>
      <c r="P3629" s="14" t="s">
        <v>19467</v>
      </c>
      <c r="Q3629" s="14" t="s">
        <v>19467</v>
      </c>
      <c r="R3629" s="12">
        <v>8</v>
      </c>
    </row>
    <row r="3630" spans="1:18" ht="17" customHeight="1" x14ac:dyDescent="0.15">
      <c r="A3630" s="8" t="s">
        <v>19540</v>
      </c>
      <c r="B3630" s="9" t="s">
        <v>19541</v>
      </c>
      <c r="C3630" s="8" t="s">
        <v>19542</v>
      </c>
      <c r="D3630" s="8" t="s">
        <v>19542</v>
      </c>
      <c r="E3630" s="8" t="s">
        <v>19543</v>
      </c>
      <c r="F3630" s="8" t="s">
        <v>19544</v>
      </c>
      <c r="G3630" s="8" t="s">
        <v>19545</v>
      </c>
      <c r="H3630" s="8" t="s">
        <v>19506</v>
      </c>
      <c r="I3630" s="8" t="str">
        <f>HYPERLINK("http://www.carideiglovefactory.it/","www.carideiglovefactory.it")</f>
        <v>www.carideiglovefactory.it</v>
      </c>
      <c r="J3630" s="10">
        <v>585.28599999999994</v>
      </c>
      <c r="K3630" s="10">
        <v>585.28599999999994</v>
      </c>
      <c r="L3630" s="10">
        <v>551.91700000000003</v>
      </c>
      <c r="M3630" s="10">
        <v>35.326000000000001</v>
      </c>
      <c r="N3630" s="10">
        <v>35.326000000000001</v>
      </c>
      <c r="O3630" s="10">
        <v>48.962000000000003</v>
      </c>
      <c r="P3630" s="10">
        <v>6</v>
      </c>
      <c r="Q3630" s="10">
        <v>6</v>
      </c>
      <c r="R3630" s="10">
        <v>6</v>
      </c>
    </row>
    <row r="3631" spans="1:18" ht="17" customHeight="1" x14ac:dyDescent="0.15">
      <c r="A3631" s="11" t="s">
        <v>19546</v>
      </c>
      <c r="B3631" s="1" t="s">
        <v>19547</v>
      </c>
      <c r="C3631" s="11" t="s">
        <v>19548</v>
      </c>
      <c r="D3631" s="11" t="s">
        <v>19548</v>
      </c>
      <c r="E3631" s="11" t="s">
        <v>19549</v>
      </c>
      <c r="F3631" s="11" t="s">
        <v>19550</v>
      </c>
      <c r="G3631" s="11" t="s">
        <v>19551</v>
      </c>
      <c r="H3631" s="11" t="s">
        <v>19512</v>
      </c>
      <c r="I3631" s="11" t="str">
        <f>HYPERLINK("http://www.colibrisrl.net/","www.colibrisrl.net")</f>
        <v>www.colibrisrl.net</v>
      </c>
      <c r="J3631" s="12">
        <v>458.87</v>
      </c>
      <c r="K3631" s="12">
        <v>458.87</v>
      </c>
      <c r="L3631" s="13">
        <v>550.66</v>
      </c>
      <c r="M3631" s="12">
        <v>-176.17</v>
      </c>
      <c r="N3631" s="12">
        <v>-176.17</v>
      </c>
      <c r="O3631" s="12">
        <v>0.89400000000000002</v>
      </c>
      <c r="P3631" s="14" t="s">
        <v>19467</v>
      </c>
      <c r="Q3631" s="14" t="s">
        <v>19467</v>
      </c>
      <c r="R3631" s="12">
        <v>10</v>
      </c>
    </row>
    <row r="3632" spans="1:18" ht="17" customHeight="1" x14ac:dyDescent="0.15">
      <c r="A3632" s="8" t="s">
        <v>19552</v>
      </c>
      <c r="B3632" s="9" t="s">
        <v>19553</v>
      </c>
      <c r="C3632" s="8" t="s">
        <v>19554</v>
      </c>
      <c r="D3632" s="8" t="s">
        <v>19554</v>
      </c>
      <c r="E3632" s="8" t="s">
        <v>19555</v>
      </c>
      <c r="F3632" s="8" t="s">
        <v>19528</v>
      </c>
      <c r="G3632" s="8" t="s">
        <v>19556</v>
      </c>
      <c r="H3632" s="8" t="s">
        <v>19557</v>
      </c>
      <c r="I3632" s="8" t="str">
        <f>HYPERLINK("http://sgconfezioni.it/","sgconfezioni.it")</f>
        <v>sgconfezioni.it</v>
      </c>
      <c r="J3632" s="10">
        <v>893.68</v>
      </c>
      <c r="K3632" s="10">
        <v>893.68</v>
      </c>
      <c r="L3632" s="10">
        <v>549.58500000000004</v>
      </c>
      <c r="M3632" s="10">
        <v>1.2230000000000001</v>
      </c>
      <c r="N3632" s="10">
        <v>1.2230000000000001</v>
      </c>
      <c r="O3632" s="10">
        <v>-13.382999999999999</v>
      </c>
      <c r="P3632" s="15" t="s">
        <v>19467</v>
      </c>
      <c r="Q3632" s="15" t="s">
        <v>19467</v>
      </c>
      <c r="R3632" s="10">
        <v>12</v>
      </c>
    </row>
    <row r="3633" spans="1:18" ht="17" customHeight="1" x14ac:dyDescent="0.15">
      <c r="A3633" s="11" t="s">
        <v>19558</v>
      </c>
      <c r="B3633" s="1" t="s">
        <v>19559</v>
      </c>
      <c r="C3633" s="11" t="s">
        <v>19560</v>
      </c>
      <c r="D3633" s="11" t="s">
        <v>19560</v>
      </c>
      <c r="E3633" s="11" t="s">
        <v>19561</v>
      </c>
      <c r="F3633" s="11" t="s">
        <v>19562</v>
      </c>
      <c r="G3633" s="11" t="s">
        <v>19545</v>
      </c>
      <c r="H3633" s="11" t="s">
        <v>19506</v>
      </c>
      <c r="I3633" s="11" t="str">
        <f>HYPERLINK("http://www.enzopisano.it/","www.enzopisano.it")</f>
        <v>www.enzopisano.it</v>
      </c>
      <c r="J3633" s="12">
        <v>612.11300000000006</v>
      </c>
      <c r="K3633" s="12">
        <v>612.11300000000006</v>
      </c>
      <c r="L3633" s="13">
        <v>549.27499999999998</v>
      </c>
      <c r="M3633" s="12">
        <v>13.565</v>
      </c>
      <c r="N3633" s="12">
        <v>13.565</v>
      </c>
      <c r="O3633" s="12">
        <v>9.1170000000000009</v>
      </c>
      <c r="P3633" s="12">
        <v>14</v>
      </c>
      <c r="Q3633" s="12">
        <v>14</v>
      </c>
      <c r="R3633" s="12">
        <v>12</v>
      </c>
    </row>
    <row r="3634" spans="1:18" ht="17" customHeight="1" x14ac:dyDescent="0.15">
      <c r="A3634" s="8" t="s">
        <v>19563</v>
      </c>
      <c r="B3634" s="9" t="s">
        <v>19564</v>
      </c>
      <c r="C3634" s="8" t="s">
        <v>19565</v>
      </c>
      <c r="D3634" s="8" t="s">
        <v>19565</v>
      </c>
      <c r="E3634" s="8" t="s">
        <v>19566</v>
      </c>
      <c r="F3634" s="8" t="s">
        <v>19464</v>
      </c>
      <c r="G3634" s="8" t="s">
        <v>19567</v>
      </c>
      <c r="H3634" s="8" t="s">
        <v>19557</v>
      </c>
      <c r="I3634" s="8" t="str">
        <f>HYPERLINK("http://www.tranceriafm.it/","www.tranceriafm.it")</f>
        <v>www.tranceriafm.it</v>
      </c>
      <c r="J3634" s="10">
        <v>497.54399999999998</v>
      </c>
      <c r="K3634" s="10">
        <v>497.54399999999998</v>
      </c>
      <c r="L3634" s="10">
        <v>548.70799999999997</v>
      </c>
      <c r="M3634" s="10">
        <v>1.353</v>
      </c>
      <c r="N3634" s="10">
        <v>1.353</v>
      </c>
      <c r="O3634" s="10">
        <v>1.6619999999999999</v>
      </c>
      <c r="P3634" s="15" t="s">
        <v>19467</v>
      </c>
      <c r="Q3634" s="15" t="s">
        <v>19467</v>
      </c>
      <c r="R3634" s="10">
        <v>14</v>
      </c>
    </row>
    <row r="3635" spans="1:18" ht="17" customHeight="1" x14ac:dyDescent="0.15">
      <c r="A3635" s="11" t="s">
        <v>19568</v>
      </c>
      <c r="B3635" s="1" t="s">
        <v>19569</v>
      </c>
      <c r="C3635" s="11" t="s">
        <v>19570</v>
      </c>
      <c r="D3635" s="11" t="s">
        <v>19570</v>
      </c>
      <c r="E3635" s="11" t="s">
        <v>19571</v>
      </c>
      <c r="F3635" s="11" t="s">
        <v>19550</v>
      </c>
      <c r="G3635" s="11" t="s">
        <v>19551</v>
      </c>
      <c r="H3635" s="11" t="s">
        <v>19512</v>
      </c>
      <c r="I3635" s="11" t="str">
        <f>HYPERLINK("http://www.conceriamadera.it/","www.conceriamadera.it")</f>
        <v>www.conceriamadera.it</v>
      </c>
      <c r="J3635" s="12">
        <v>548.36300000000006</v>
      </c>
      <c r="K3635" s="14" t="s">
        <v>19467</v>
      </c>
      <c r="L3635" s="13">
        <v>548.36300000000006</v>
      </c>
      <c r="M3635" s="12">
        <v>-281.46300000000002</v>
      </c>
      <c r="N3635" s="14" t="s">
        <v>19467</v>
      </c>
      <c r="O3635" s="12">
        <v>-281.46300000000002</v>
      </c>
      <c r="P3635" s="12">
        <v>12</v>
      </c>
      <c r="Q3635" s="14" t="s">
        <v>19467</v>
      </c>
      <c r="R3635" s="12">
        <v>12</v>
      </c>
    </row>
    <row r="3636" spans="1:18" ht="17" customHeight="1" x14ac:dyDescent="0.15">
      <c r="A3636" s="8" t="s">
        <v>19572</v>
      </c>
      <c r="B3636" s="9" t="s">
        <v>19573</v>
      </c>
      <c r="C3636" s="8" t="s">
        <v>19574</v>
      </c>
      <c r="D3636" s="8" t="s">
        <v>19574</v>
      </c>
      <c r="E3636" s="8" t="s">
        <v>19575</v>
      </c>
      <c r="F3636" s="8" t="s">
        <v>19491</v>
      </c>
      <c r="G3636" s="8" t="s">
        <v>19576</v>
      </c>
      <c r="H3636" s="8" t="s">
        <v>19523</v>
      </c>
      <c r="I3636" s="8" t="str">
        <f>HYPERLINK("http://www.athletesbasketball.com/","www.athletesbasketball.com")</f>
        <v>www.athletesbasketball.com</v>
      </c>
      <c r="J3636" s="10">
        <v>645.21900000000005</v>
      </c>
      <c r="K3636" s="10">
        <v>645.21900000000005</v>
      </c>
      <c r="L3636" s="10">
        <v>548.33299999999997</v>
      </c>
      <c r="M3636" s="10">
        <v>20.309999999999999</v>
      </c>
      <c r="N3636" s="10">
        <v>20.309999999999999</v>
      </c>
      <c r="O3636" s="10">
        <v>-0.91900000000000004</v>
      </c>
      <c r="P3636" s="10">
        <v>3</v>
      </c>
      <c r="Q3636" s="10">
        <v>3</v>
      </c>
      <c r="R3636" s="10">
        <v>3</v>
      </c>
    </row>
    <row r="3637" spans="1:18" ht="17" customHeight="1" x14ac:dyDescent="0.15">
      <c r="A3637" s="11" t="s">
        <v>19577</v>
      </c>
      <c r="B3637" s="1" t="s">
        <v>19578</v>
      </c>
      <c r="C3637" s="11" t="s">
        <v>19579</v>
      </c>
      <c r="D3637" s="11" t="s">
        <v>19579</v>
      </c>
      <c r="E3637" s="11" t="s">
        <v>19580</v>
      </c>
      <c r="F3637" s="11" t="s">
        <v>19528</v>
      </c>
      <c r="G3637" s="11" t="s">
        <v>19556</v>
      </c>
      <c r="H3637" s="11" t="s">
        <v>19557</v>
      </c>
      <c r="I3637" s="11" t="str">
        <f>HYPERLINK("http://www.donnaesse.it/","www.donnaesse.it")</f>
        <v>www.donnaesse.it</v>
      </c>
      <c r="J3637" s="12">
        <v>492.16800000000001</v>
      </c>
      <c r="K3637" s="12">
        <v>492.16800000000001</v>
      </c>
      <c r="L3637" s="13">
        <v>547.83299999999997</v>
      </c>
      <c r="M3637" s="12">
        <v>-7.75</v>
      </c>
      <c r="N3637" s="12">
        <v>-7.75</v>
      </c>
      <c r="O3637" s="12">
        <v>16.765999999999998</v>
      </c>
      <c r="P3637" s="12">
        <v>13</v>
      </c>
      <c r="Q3637" s="12">
        <v>13</v>
      </c>
      <c r="R3637" s="12">
        <v>12</v>
      </c>
    </row>
    <row r="3638" spans="1:18" ht="29.5" customHeight="1" x14ac:dyDescent="0.15">
      <c r="A3638" s="8" t="s">
        <v>19581</v>
      </c>
      <c r="B3638" s="9" t="s">
        <v>19582</v>
      </c>
      <c r="C3638" s="8" t="s">
        <v>19583</v>
      </c>
      <c r="D3638" s="8" t="s">
        <v>19583</v>
      </c>
      <c r="E3638" s="8" t="s">
        <v>19584</v>
      </c>
      <c r="F3638" s="8" t="s">
        <v>19517</v>
      </c>
      <c r="G3638" s="8" t="s">
        <v>19472</v>
      </c>
      <c r="H3638" s="8" t="s">
        <v>19466</v>
      </c>
      <c r="I3638" s="8" t="str">
        <f>HYPERLINK("http://www.davincontrafforti.it/","www.davincontrafforti.it")</f>
        <v>www.davincontrafforti.it</v>
      </c>
      <c r="J3638" s="10">
        <v>443.459</v>
      </c>
      <c r="K3638" s="10">
        <v>443.459</v>
      </c>
      <c r="L3638" s="10">
        <v>547.46900000000005</v>
      </c>
      <c r="M3638" s="10">
        <v>31.218</v>
      </c>
      <c r="N3638" s="10">
        <v>31.218</v>
      </c>
      <c r="O3638" s="10">
        <v>72.495999999999995</v>
      </c>
      <c r="P3638" s="10">
        <v>7</v>
      </c>
      <c r="Q3638" s="10">
        <v>7</v>
      </c>
      <c r="R3638" s="10">
        <v>7</v>
      </c>
    </row>
    <row r="3639" spans="1:18" ht="17" customHeight="1" x14ac:dyDescent="0.15">
      <c r="A3639" s="11" t="s">
        <v>19585</v>
      </c>
      <c r="B3639" s="1" t="s">
        <v>19586</v>
      </c>
      <c r="C3639" s="11" t="s">
        <v>19587</v>
      </c>
      <c r="D3639" s="11" t="s">
        <v>19587</v>
      </c>
      <c r="E3639" s="11" t="s">
        <v>19588</v>
      </c>
      <c r="F3639" s="11" t="s">
        <v>19477</v>
      </c>
      <c r="G3639" s="11" t="s">
        <v>19589</v>
      </c>
      <c r="H3639" s="11" t="s">
        <v>19493</v>
      </c>
      <c r="I3639" s="11" t="str">
        <f>HYPERLINK("http://varese.abbigliamento-contoterzi.it/","varese.abbigliamento-contoterzi.it")</f>
        <v>varese.abbigliamento-contoterzi.it</v>
      </c>
      <c r="J3639" s="12">
        <v>885.02800000000002</v>
      </c>
      <c r="K3639" s="12">
        <v>885.02800000000002</v>
      </c>
      <c r="L3639" s="13">
        <v>547.34699999999998</v>
      </c>
      <c r="M3639" s="12">
        <v>143.607</v>
      </c>
      <c r="N3639" s="12">
        <v>143.607</v>
      </c>
      <c r="O3639" s="12">
        <v>180.376</v>
      </c>
      <c r="P3639" s="12">
        <v>11</v>
      </c>
      <c r="Q3639" s="12">
        <v>11</v>
      </c>
      <c r="R3639" s="12">
        <v>7</v>
      </c>
    </row>
    <row r="3640" spans="1:18" ht="17" customHeight="1" x14ac:dyDescent="0.15">
      <c r="A3640" s="8" t="s">
        <v>19590</v>
      </c>
      <c r="B3640" s="9" t="s">
        <v>19591</v>
      </c>
      <c r="C3640" s="8" t="s">
        <v>19592</v>
      </c>
      <c r="D3640" s="8" t="s">
        <v>19592</v>
      </c>
      <c r="E3640" s="8" t="s">
        <v>19593</v>
      </c>
      <c r="F3640" s="8" t="s">
        <v>19528</v>
      </c>
      <c r="G3640" s="8" t="s">
        <v>19594</v>
      </c>
      <c r="H3640" s="8" t="s">
        <v>19557</v>
      </c>
      <c r="I3640" s="8" t="str">
        <f>HYPERLINK("http://ibrigu.it/","ibrigu.it")</f>
        <v>ibrigu.it</v>
      </c>
      <c r="J3640" s="10">
        <v>1042.2840000000001</v>
      </c>
      <c r="K3640" s="10">
        <v>1042.2840000000001</v>
      </c>
      <c r="L3640" s="10">
        <v>546.86</v>
      </c>
      <c r="M3640" s="10">
        <v>7.1180000000000003</v>
      </c>
      <c r="N3640" s="10">
        <v>7.1180000000000003</v>
      </c>
      <c r="O3640" s="10">
        <v>-7.8029999999999999</v>
      </c>
      <c r="P3640" s="10">
        <v>4</v>
      </c>
      <c r="Q3640" s="10">
        <v>4</v>
      </c>
      <c r="R3640" s="10">
        <v>2</v>
      </c>
    </row>
    <row r="3641" spans="1:18" ht="29.5" customHeight="1" x14ac:dyDescent="0.15">
      <c r="A3641" s="11" t="s">
        <v>19595</v>
      </c>
      <c r="B3641" s="1" t="s">
        <v>19596</v>
      </c>
      <c r="C3641" s="11" t="s">
        <v>19597</v>
      </c>
      <c r="D3641" s="11" t="s">
        <v>19597</v>
      </c>
      <c r="E3641" s="11" t="s">
        <v>19598</v>
      </c>
      <c r="F3641" s="11" t="s">
        <v>19599</v>
      </c>
      <c r="G3641" s="11" t="s">
        <v>19600</v>
      </c>
      <c r="H3641" s="11" t="s">
        <v>19506</v>
      </c>
      <c r="I3641" s="11" t="str">
        <f>HYPERLINK("http://www.filippopanzera.it/","http://www.filippopanzera.it")</f>
        <v>http://www.filippopanzera.it</v>
      </c>
      <c r="J3641" s="12">
        <v>709.69399999999996</v>
      </c>
      <c r="K3641" s="12">
        <v>709.69399999999996</v>
      </c>
      <c r="L3641" s="13">
        <v>546.60400000000004</v>
      </c>
      <c r="M3641" s="12">
        <v>74.138999999999996</v>
      </c>
      <c r="N3641" s="12">
        <v>74.138999999999996</v>
      </c>
      <c r="O3641" s="12">
        <v>30.218</v>
      </c>
      <c r="P3641" s="14" t="s">
        <v>19467</v>
      </c>
      <c r="Q3641" s="14" t="s">
        <v>19467</v>
      </c>
      <c r="R3641" s="12">
        <v>2</v>
      </c>
    </row>
    <row r="3642" spans="1:18" ht="17" customHeight="1" x14ac:dyDescent="0.15">
      <c r="A3642" s="8" t="s">
        <v>19601</v>
      </c>
      <c r="B3642" s="9" t="s">
        <v>19602</v>
      </c>
      <c r="C3642" s="8" t="s">
        <v>19603</v>
      </c>
      <c r="D3642" s="8" t="s">
        <v>19603</v>
      </c>
      <c r="E3642" s="8" t="s">
        <v>19604</v>
      </c>
      <c r="F3642" s="8" t="s">
        <v>19464</v>
      </c>
      <c r="G3642" s="8" t="s">
        <v>19472</v>
      </c>
      <c r="H3642" s="8" t="s">
        <v>19466</v>
      </c>
      <c r="I3642" s="8" t="str">
        <f>HYPERLINK("http://www.fiorita.it/","www.fiorita.it")</f>
        <v>www.fiorita.it</v>
      </c>
      <c r="J3642" s="10">
        <v>503.50599999999997</v>
      </c>
      <c r="K3642" s="10">
        <v>503.50599999999997</v>
      </c>
      <c r="L3642" s="10">
        <v>545.60500000000002</v>
      </c>
      <c r="M3642" s="10">
        <v>7.5999999999999998E-2</v>
      </c>
      <c r="N3642" s="10">
        <v>7.5999999999999998E-2</v>
      </c>
      <c r="O3642" s="10">
        <v>1.857</v>
      </c>
      <c r="P3642" s="10">
        <v>7</v>
      </c>
      <c r="Q3642" s="10">
        <v>7</v>
      </c>
      <c r="R3642" s="10">
        <v>7</v>
      </c>
    </row>
    <row r="3643" spans="1:18" ht="17" customHeight="1" x14ac:dyDescent="0.15">
      <c r="A3643" s="11" t="s">
        <v>19605</v>
      </c>
      <c r="B3643" s="1" t="s">
        <v>19606</v>
      </c>
      <c r="C3643" s="11" t="s">
        <v>19607</v>
      </c>
      <c r="D3643" s="11" t="s">
        <v>19607</v>
      </c>
      <c r="E3643" s="11" t="s">
        <v>19608</v>
      </c>
      <c r="F3643" s="11" t="s">
        <v>19498</v>
      </c>
      <c r="G3643" s="11" t="s">
        <v>19511</v>
      </c>
      <c r="H3643" s="11" t="s">
        <v>19512</v>
      </c>
      <c r="I3643" s="11" t="str">
        <f>HYPERLINK("http://www.europaabbigliamentolavoro.it/","www.europaabbigliamentolavoro.it")</f>
        <v>www.europaabbigliamentolavoro.it</v>
      </c>
      <c r="J3643" s="12">
        <v>588.55799999999999</v>
      </c>
      <c r="K3643" s="12">
        <v>588.55799999999999</v>
      </c>
      <c r="L3643" s="13">
        <v>545.23500000000001</v>
      </c>
      <c r="M3643" s="12">
        <v>31.405000000000001</v>
      </c>
      <c r="N3643" s="12">
        <v>31.405000000000001</v>
      </c>
      <c r="O3643" s="12">
        <v>27.425000000000001</v>
      </c>
      <c r="P3643" s="12">
        <v>8</v>
      </c>
      <c r="Q3643" s="12">
        <v>8</v>
      </c>
      <c r="R3643" s="12">
        <v>11</v>
      </c>
    </row>
    <row r="3644" spans="1:18" ht="17" customHeight="1" x14ac:dyDescent="0.15">
      <c r="A3644" s="8" t="s">
        <v>19609</v>
      </c>
      <c r="B3644" s="9" t="s">
        <v>19610</v>
      </c>
      <c r="C3644" s="8" t="s">
        <v>19611</v>
      </c>
      <c r="D3644" s="8" t="s">
        <v>19611</v>
      </c>
      <c r="E3644" s="8" t="s">
        <v>19612</v>
      </c>
      <c r="F3644" s="8" t="s">
        <v>19528</v>
      </c>
      <c r="G3644" s="8" t="s">
        <v>19613</v>
      </c>
      <c r="H3644" s="8" t="s">
        <v>19539</v>
      </c>
      <c r="I3644" s="8" t="str">
        <f>HYPERLINK("http://progetto-due.com/","progetto-due.com")</f>
        <v>progetto-due.com</v>
      </c>
      <c r="J3644" s="10">
        <v>411.74900000000002</v>
      </c>
      <c r="K3644" s="10">
        <v>411.74900000000002</v>
      </c>
      <c r="L3644" s="10">
        <v>544.81299999999999</v>
      </c>
      <c r="M3644" s="10">
        <v>-4.8250000000000002</v>
      </c>
      <c r="N3644" s="10">
        <v>-4.8250000000000002</v>
      </c>
      <c r="O3644" s="10">
        <v>-6.992</v>
      </c>
      <c r="P3644" s="15" t="s">
        <v>19467</v>
      </c>
      <c r="Q3644" s="15" t="s">
        <v>19467</v>
      </c>
      <c r="R3644" s="10">
        <v>3</v>
      </c>
    </row>
    <row r="3645" spans="1:18" ht="17" customHeight="1" x14ac:dyDescent="0.15">
      <c r="A3645" s="11" t="s">
        <v>19614</v>
      </c>
      <c r="B3645" s="1" t="s">
        <v>19615</v>
      </c>
      <c r="C3645" s="11" t="s">
        <v>19616</v>
      </c>
      <c r="D3645" s="11" t="s">
        <v>19617</v>
      </c>
      <c r="E3645" s="11" t="s">
        <v>19618</v>
      </c>
      <c r="F3645" s="11" t="s">
        <v>19498</v>
      </c>
      <c r="G3645" s="11" t="s">
        <v>19619</v>
      </c>
      <c r="H3645" s="11" t="s">
        <v>19512</v>
      </c>
      <c r="I3645" s="11" t="str">
        <f>HYPERLINK("http://www.gammadifelisi.com/","www.gammadifelisi.com")</f>
        <v>www.gammadifelisi.com</v>
      </c>
      <c r="J3645" s="12">
        <v>550.41999999999996</v>
      </c>
      <c r="K3645" s="12">
        <v>550.41999999999996</v>
      </c>
      <c r="L3645" s="13">
        <v>544.57299999999998</v>
      </c>
      <c r="M3645" s="12">
        <v>18.795000000000002</v>
      </c>
      <c r="N3645" s="12">
        <v>18.795000000000002</v>
      </c>
      <c r="O3645" s="12">
        <v>19.358000000000001</v>
      </c>
      <c r="P3645" s="12">
        <v>3</v>
      </c>
      <c r="Q3645" s="12">
        <v>3</v>
      </c>
      <c r="R3645" s="12">
        <v>4</v>
      </c>
    </row>
    <row r="3646" spans="1:18" ht="17" customHeight="1" x14ac:dyDescent="0.15">
      <c r="A3646" s="8" t="s">
        <v>19620</v>
      </c>
      <c r="B3646" s="9" t="s">
        <v>19621</v>
      </c>
      <c r="C3646" s="8" t="s">
        <v>19622</v>
      </c>
      <c r="D3646" s="8" t="s">
        <v>19622</v>
      </c>
      <c r="E3646" s="8" t="s">
        <v>19623</v>
      </c>
      <c r="F3646" s="8" t="s">
        <v>19517</v>
      </c>
      <c r="G3646" s="8" t="s">
        <v>19465</v>
      </c>
      <c r="H3646" s="8" t="s">
        <v>19466</v>
      </c>
      <c r="I3646" s="8" t="str">
        <f>HYPERLINK("http://lasertorresi.it/","lasertorresi.it")</f>
        <v>lasertorresi.it</v>
      </c>
      <c r="J3646" s="10">
        <v>441.13799999999998</v>
      </c>
      <c r="K3646" s="10">
        <v>441.13799999999998</v>
      </c>
      <c r="L3646" s="10">
        <v>543.79499999999996</v>
      </c>
      <c r="M3646" s="10">
        <v>8.1349999999999998</v>
      </c>
      <c r="N3646" s="10">
        <v>8.1349999999999998</v>
      </c>
      <c r="O3646" s="10">
        <v>39.584000000000003</v>
      </c>
      <c r="P3646" s="15" t="s">
        <v>19467</v>
      </c>
      <c r="Q3646" s="15" t="s">
        <v>19467</v>
      </c>
      <c r="R3646" s="10">
        <v>8</v>
      </c>
    </row>
    <row r="3647" spans="1:18" ht="17" customHeight="1" x14ac:dyDescent="0.15">
      <c r="A3647" s="11" t="s">
        <v>19624</v>
      </c>
      <c r="B3647" s="1" t="s">
        <v>19625</v>
      </c>
      <c r="C3647" s="11" t="s">
        <v>19626</v>
      </c>
      <c r="D3647" s="11" t="s">
        <v>19626</v>
      </c>
      <c r="E3647" s="11" t="s">
        <v>19627</v>
      </c>
      <c r="F3647" s="11" t="s">
        <v>19517</v>
      </c>
      <c r="G3647" s="11" t="s">
        <v>19551</v>
      </c>
      <c r="H3647" s="11" t="s">
        <v>19512</v>
      </c>
      <c r="I3647" s="11" t="str">
        <f>HYPERLINK("http://www.tacchificio.com/","http://www.tacchificio.com")</f>
        <v>http://www.tacchificio.com</v>
      </c>
      <c r="J3647" s="12">
        <v>441.86599999999999</v>
      </c>
      <c r="K3647" s="12">
        <v>441.86599999999999</v>
      </c>
      <c r="L3647" s="13">
        <v>543.60799999999995</v>
      </c>
      <c r="M3647" s="12">
        <v>-24.434000000000001</v>
      </c>
      <c r="N3647" s="12">
        <v>-24.434000000000001</v>
      </c>
      <c r="O3647" s="12">
        <v>22.902999999999999</v>
      </c>
      <c r="P3647" s="12">
        <v>3</v>
      </c>
      <c r="Q3647" s="12">
        <v>3</v>
      </c>
      <c r="R3647" s="12">
        <v>7</v>
      </c>
    </row>
    <row r="3648" spans="1:18" ht="17" customHeight="1" x14ac:dyDescent="0.15">
      <c r="A3648" s="8" t="s">
        <v>19628</v>
      </c>
      <c r="B3648" s="9" t="s">
        <v>19629</v>
      </c>
      <c r="C3648" s="8" t="s">
        <v>19630</v>
      </c>
      <c r="D3648" s="8" t="s">
        <v>19630</v>
      </c>
      <c r="E3648" s="8" t="s">
        <v>19631</v>
      </c>
      <c r="F3648" s="8" t="s">
        <v>19632</v>
      </c>
      <c r="G3648" s="8" t="s">
        <v>19633</v>
      </c>
      <c r="H3648" s="8" t="s">
        <v>19512</v>
      </c>
      <c r="I3648" s="8" t="str">
        <f>HYPERLINK("http://bernardinifashion.it/","bernardinifashion.it")</f>
        <v>bernardinifashion.it</v>
      </c>
      <c r="J3648" s="10">
        <v>655.50699999999995</v>
      </c>
      <c r="K3648" s="10">
        <v>655.50699999999995</v>
      </c>
      <c r="L3648" s="10">
        <v>543.38900000000001</v>
      </c>
      <c r="M3648" s="10">
        <v>12.242000000000001</v>
      </c>
      <c r="N3648" s="10">
        <v>12.242000000000001</v>
      </c>
      <c r="O3648" s="10">
        <v>10.708</v>
      </c>
      <c r="P3648" s="10">
        <v>0</v>
      </c>
      <c r="Q3648" s="10">
        <v>0</v>
      </c>
      <c r="R3648" s="10">
        <v>0</v>
      </c>
    </row>
    <row r="3649" spans="1:18" ht="17" customHeight="1" x14ac:dyDescent="0.15">
      <c r="A3649" s="11" t="s">
        <v>19634</v>
      </c>
      <c r="B3649" s="1" t="s">
        <v>19635</v>
      </c>
      <c r="C3649" s="11" t="s">
        <v>19636</v>
      </c>
      <c r="D3649" s="11" t="s">
        <v>19637</v>
      </c>
      <c r="E3649" s="11" t="s">
        <v>19638</v>
      </c>
      <c r="F3649" s="11" t="s">
        <v>19639</v>
      </c>
      <c r="G3649" s="11" t="s">
        <v>19640</v>
      </c>
      <c r="H3649" s="11" t="s">
        <v>19641</v>
      </c>
      <c r="I3649" s="11" t="str">
        <f>HYPERLINK("http://www.algima.it/","http://www.algima.it")</f>
        <v>http://www.algima.it</v>
      </c>
      <c r="J3649" s="12">
        <v>531.05100000000004</v>
      </c>
      <c r="K3649" s="12">
        <v>531.05100000000004</v>
      </c>
      <c r="L3649" s="13">
        <v>543.32399999999996</v>
      </c>
      <c r="M3649" s="12">
        <v>-106.178</v>
      </c>
      <c r="N3649" s="12">
        <v>-106.178</v>
      </c>
      <c r="O3649" s="12">
        <v>-813.82600000000002</v>
      </c>
      <c r="P3649" s="12">
        <v>2</v>
      </c>
      <c r="Q3649" s="12">
        <v>2</v>
      </c>
      <c r="R3649" s="12">
        <v>2</v>
      </c>
    </row>
    <row r="3650" spans="1:18" ht="17" customHeight="1" x14ac:dyDescent="0.15">
      <c r="A3650" s="8" t="s">
        <v>19642</v>
      </c>
      <c r="B3650" s="9" t="s">
        <v>19643</v>
      </c>
      <c r="C3650" s="8" t="s">
        <v>19644</v>
      </c>
      <c r="D3650" s="8" t="s">
        <v>19644</v>
      </c>
      <c r="E3650" s="8" t="s">
        <v>19645</v>
      </c>
      <c r="F3650" s="8" t="s">
        <v>19646</v>
      </c>
      <c r="G3650" s="8" t="s">
        <v>19647</v>
      </c>
      <c r="H3650" s="8" t="s">
        <v>19648</v>
      </c>
      <c r="I3650" s="8" t="str">
        <f>HYPERLINK("http://www.valigeriamascetti.it/","www.valigeriamascetti.it")</f>
        <v>www.valigeriamascetti.it</v>
      </c>
      <c r="J3650" s="10">
        <v>239.613</v>
      </c>
      <c r="K3650" s="10">
        <v>239.613</v>
      </c>
      <c r="L3650" s="10">
        <v>543.08000000000004</v>
      </c>
      <c r="M3650" s="10">
        <v>-119.986</v>
      </c>
      <c r="N3650" s="10">
        <v>-119.986</v>
      </c>
      <c r="O3650" s="10">
        <v>-5.2119999999999997</v>
      </c>
      <c r="P3650" s="10">
        <v>7</v>
      </c>
      <c r="Q3650" s="10">
        <v>7</v>
      </c>
      <c r="R3650" s="10">
        <v>9</v>
      </c>
    </row>
    <row r="3651" spans="1:18" ht="17" customHeight="1" x14ac:dyDescent="0.15">
      <c r="A3651" s="11" t="s">
        <v>19649</v>
      </c>
      <c r="B3651" s="1" t="s">
        <v>19650</v>
      </c>
      <c r="C3651" s="11" t="s">
        <v>19651</v>
      </c>
      <c r="D3651" s="11" t="s">
        <v>19651</v>
      </c>
      <c r="E3651" s="11" t="s">
        <v>19652</v>
      </c>
      <c r="F3651" s="11" t="s">
        <v>19653</v>
      </c>
      <c r="G3651" s="11" t="s">
        <v>19654</v>
      </c>
      <c r="H3651" s="11" t="s">
        <v>19655</v>
      </c>
      <c r="I3651" s="11" t="str">
        <f>HYPERLINK("http://www.elizadivenezia.it/","www.elizadivenezia.it")</f>
        <v>www.elizadivenezia.it</v>
      </c>
      <c r="J3651" s="12">
        <v>768.41899999999998</v>
      </c>
      <c r="K3651" s="12">
        <v>768.41899999999998</v>
      </c>
      <c r="L3651" s="13">
        <v>542.98900000000003</v>
      </c>
      <c r="M3651" s="12">
        <v>4.7</v>
      </c>
      <c r="N3651" s="12">
        <v>4.7</v>
      </c>
      <c r="O3651" s="12">
        <v>6.9809999999999999</v>
      </c>
      <c r="P3651" s="12">
        <v>1</v>
      </c>
      <c r="Q3651" s="12">
        <v>1</v>
      </c>
      <c r="R3651" s="12">
        <v>1</v>
      </c>
    </row>
    <row r="3652" spans="1:18" ht="17" customHeight="1" x14ac:dyDescent="0.15">
      <c r="A3652" s="8" t="s">
        <v>19656</v>
      </c>
      <c r="B3652" s="9" t="s">
        <v>19657</v>
      </c>
      <c r="C3652" s="8" t="s">
        <v>19658</v>
      </c>
      <c r="D3652" s="8" t="s">
        <v>19658</v>
      </c>
      <c r="E3652" s="8" t="s">
        <v>19659</v>
      </c>
      <c r="F3652" s="8" t="s">
        <v>19660</v>
      </c>
      <c r="G3652" s="8" t="s">
        <v>19661</v>
      </c>
      <c r="H3652" s="8" t="s">
        <v>19655</v>
      </c>
      <c r="I3652" s="8" t="str">
        <f>HYPERLINK("http://www.suolificio-gfg.com/","www.suolificio-gfg.com")</f>
        <v>www.suolificio-gfg.com</v>
      </c>
      <c r="J3652" s="10">
        <v>564.70600000000002</v>
      </c>
      <c r="K3652" s="10">
        <v>564.70600000000002</v>
      </c>
      <c r="L3652" s="10">
        <v>542.61</v>
      </c>
      <c r="M3652" s="10">
        <v>1.7</v>
      </c>
      <c r="N3652" s="10">
        <v>1.7</v>
      </c>
      <c r="O3652" s="10">
        <v>-56.177</v>
      </c>
      <c r="P3652" s="15" t="s">
        <v>19662</v>
      </c>
      <c r="Q3652" s="15" t="s">
        <v>19662</v>
      </c>
      <c r="R3652" s="10">
        <v>6</v>
      </c>
    </row>
    <row r="3653" spans="1:18" ht="17" customHeight="1" x14ac:dyDescent="0.15">
      <c r="A3653" s="11" t="s">
        <v>19663</v>
      </c>
      <c r="B3653" s="1" t="s">
        <v>19664</v>
      </c>
      <c r="C3653" s="11" t="s">
        <v>19665</v>
      </c>
      <c r="D3653" s="11" t="s">
        <v>19665</v>
      </c>
      <c r="E3653" s="11" t="s">
        <v>19666</v>
      </c>
      <c r="F3653" s="11" t="s">
        <v>19667</v>
      </c>
      <c r="G3653" s="11" t="s">
        <v>19668</v>
      </c>
      <c r="H3653" s="11" t="s">
        <v>19641</v>
      </c>
      <c r="I3653" s="11" t="str">
        <f>HYPERLINK("http://www.mtos.it/","www.mtos.it")</f>
        <v>www.mtos.it</v>
      </c>
      <c r="J3653" s="12">
        <v>542.46699999999998</v>
      </c>
      <c r="K3653" s="14" t="s">
        <v>19662</v>
      </c>
      <c r="L3653" s="13">
        <v>542.46699999999998</v>
      </c>
      <c r="M3653" s="12">
        <v>-80.92</v>
      </c>
      <c r="N3653" s="14" t="s">
        <v>19662</v>
      </c>
      <c r="O3653" s="12">
        <v>-80.92</v>
      </c>
      <c r="P3653" s="12">
        <v>11</v>
      </c>
      <c r="Q3653" s="14" t="s">
        <v>19662</v>
      </c>
      <c r="R3653" s="12">
        <v>11</v>
      </c>
    </row>
    <row r="3654" spans="1:18" ht="17" customHeight="1" x14ac:dyDescent="0.15">
      <c r="A3654" s="8" t="s">
        <v>19669</v>
      </c>
      <c r="B3654" s="9" t="s">
        <v>19670</v>
      </c>
      <c r="C3654" s="8" t="s">
        <v>19671</v>
      </c>
      <c r="D3654" s="8" t="s">
        <v>19671</v>
      </c>
      <c r="E3654" s="8" t="s">
        <v>19672</v>
      </c>
      <c r="F3654" s="8" t="s">
        <v>19673</v>
      </c>
      <c r="G3654" s="8" t="s">
        <v>19674</v>
      </c>
      <c r="H3654" s="8" t="s">
        <v>19675</v>
      </c>
      <c r="I3654" s="8" t="str">
        <f>HYPERLINK("http://blog.divertilandia.it/","blog.divertilandia.it")</f>
        <v>blog.divertilandia.it</v>
      </c>
      <c r="J3654" s="10">
        <v>587.44100000000003</v>
      </c>
      <c r="K3654" s="10">
        <v>587.44100000000003</v>
      </c>
      <c r="L3654" s="10">
        <v>542.11099999999999</v>
      </c>
      <c r="M3654" s="10">
        <v>10.778</v>
      </c>
      <c r="N3654" s="10">
        <v>10.778</v>
      </c>
      <c r="O3654" s="10">
        <v>3.9020000000000001</v>
      </c>
      <c r="P3654" s="15" t="s">
        <v>19662</v>
      </c>
      <c r="Q3654" s="15" t="s">
        <v>19662</v>
      </c>
      <c r="R3654" s="10">
        <v>3</v>
      </c>
    </row>
    <row r="3655" spans="1:18" ht="17" customHeight="1" x14ac:dyDescent="0.15">
      <c r="A3655" s="11" t="s">
        <v>19676</v>
      </c>
      <c r="B3655" s="1" t="s">
        <v>19677</v>
      </c>
      <c r="C3655" s="11" t="s">
        <v>19678</v>
      </c>
      <c r="D3655" s="11" t="s">
        <v>19678</v>
      </c>
      <c r="E3655" s="11" t="s">
        <v>19679</v>
      </c>
      <c r="F3655" s="11" t="s">
        <v>19680</v>
      </c>
      <c r="G3655" s="11" t="s">
        <v>19681</v>
      </c>
      <c r="H3655" s="11" t="s">
        <v>19682</v>
      </c>
      <c r="I3655" s="11" t="str">
        <f>HYPERLINK("http://francetich.it/","francetich.it")</f>
        <v>francetich.it</v>
      </c>
      <c r="J3655" s="12">
        <v>415.553</v>
      </c>
      <c r="K3655" s="12">
        <v>415.553</v>
      </c>
      <c r="L3655" s="13">
        <v>541.68399999999997</v>
      </c>
      <c r="M3655" s="12">
        <v>-16.231000000000002</v>
      </c>
      <c r="N3655" s="12">
        <v>-16.231000000000002</v>
      </c>
      <c r="O3655" s="12">
        <v>-54.948</v>
      </c>
      <c r="P3655" s="12">
        <v>7</v>
      </c>
      <c r="Q3655" s="12">
        <v>7</v>
      </c>
      <c r="R3655" s="12">
        <v>12</v>
      </c>
    </row>
    <row r="3656" spans="1:18" ht="17" customHeight="1" x14ac:dyDescent="0.15">
      <c r="A3656" s="8" t="s">
        <v>19683</v>
      </c>
      <c r="B3656" s="9" t="s">
        <v>19684</v>
      </c>
      <c r="C3656" s="8" t="s">
        <v>19685</v>
      </c>
      <c r="D3656" s="8" t="s">
        <v>19685</v>
      </c>
      <c r="E3656" s="8" t="s">
        <v>19686</v>
      </c>
      <c r="F3656" s="8" t="s">
        <v>19687</v>
      </c>
      <c r="G3656" s="8" t="s">
        <v>19688</v>
      </c>
      <c r="H3656" s="8" t="s">
        <v>19689</v>
      </c>
      <c r="I3656" s="8" t="str">
        <f>HYPERLINK("http://velasposa.it/","velasposa.it")</f>
        <v>velasposa.it</v>
      </c>
      <c r="J3656" s="10">
        <v>590.86199999999997</v>
      </c>
      <c r="K3656" s="10">
        <v>590.86199999999997</v>
      </c>
      <c r="L3656" s="10">
        <v>541.39400000000001</v>
      </c>
      <c r="M3656" s="10">
        <v>32.908999999999999</v>
      </c>
      <c r="N3656" s="10">
        <v>32.908999999999999</v>
      </c>
      <c r="O3656" s="10">
        <v>23.242999999999999</v>
      </c>
      <c r="P3656" s="10">
        <v>8</v>
      </c>
      <c r="Q3656" s="10">
        <v>8</v>
      </c>
      <c r="R3656" s="10">
        <v>7</v>
      </c>
    </row>
    <row r="3657" spans="1:18" ht="17" customHeight="1" x14ac:dyDescent="0.15">
      <c r="A3657" s="11" t="s">
        <v>19690</v>
      </c>
      <c r="B3657" s="1" t="s">
        <v>19691</v>
      </c>
      <c r="C3657" s="11" t="s">
        <v>19692</v>
      </c>
      <c r="D3657" s="11" t="s">
        <v>19692</v>
      </c>
      <c r="E3657" s="11" t="s">
        <v>19693</v>
      </c>
      <c r="F3657" s="11" t="s">
        <v>19687</v>
      </c>
      <c r="G3657" s="11" t="s">
        <v>19647</v>
      </c>
      <c r="H3657" s="11" t="s">
        <v>19648</v>
      </c>
      <c r="I3657" s="11" t="str">
        <f>HYPERLINK("http://www.textilross.com/","www.textilross.com")</f>
        <v>www.textilross.com</v>
      </c>
      <c r="J3657" s="12">
        <v>579.74300000000005</v>
      </c>
      <c r="K3657" s="12">
        <v>579.74300000000005</v>
      </c>
      <c r="L3657" s="13">
        <v>541.00900000000001</v>
      </c>
      <c r="M3657" s="12">
        <v>-58.85</v>
      </c>
      <c r="N3657" s="12">
        <v>-58.85</v>
      </c>
      <c r="O3657" s="12">
        <v>-24.797999999999998</v>
      </c>
      <c r="P3657" s="12">
        <v>3</v>
      </c>
      <c r="Q3657" s="12">
        <v>3</v>
      </c>
      <c r="R3657" s="12">
        <v>3</v>
      </c>
    </row>
    <row r="3658" spans="1:18" ht="17" customHeight="1" x14ac:dyDescent="0.15">
      <c r="A3658" s="8" t="s">
        <v>19694</v>
      </c>
      <c r="B3658" s="9" t="s">
        <v>19695</v>
      </c>
      <c r="C3658" s="8" t="s">
        <v>19696</v>
      </c>
      <c r="D3658" s="8" t="s">
        <v>19696</v>
      </c>
      <c r="E3658" s="8" t="s">
        <v>19697</v>
      </c>
      <c r="F3658" s="8" t="s">
        <v>19698</v>
      </c>
      <c r="G3658" s="8" t="s">
        <v>19699</v>
      </c>
      <c r="H3658" s="8" t="s">
        <v>19700</v>
      </c>
      <c r="I3658" s="8" t="str">
        <f>HYPERLINK("http://shopmascherine.altervista.org/","shopmascherine.altervista.org")</f>
        <v>shopmascherine.altervista.org</v>
      </c>
      <c r="J3658" s="10">
        <v>619.79600000000005</v>
      </c>
      <c r="K3658" s="10">
        <v>619.79600000000005</v>
      </c>
      <c r="L3658" s="10">
        <v>540.43799999999999</v>
      </c>
      <c r="M3658" s="10">
        <v>5.5119999999999996</v>
      </c>
      <c r="N3658" s="10">
        <v>5.5119999999999996</v>
      </c>
      <c r="O3658" s="10">
        <v>4.9560000000000004</v>
      </c>
      <c r="P3658" s="10">
        <v>4</v>
      </c>
      <c r="Q3658" s="10">
        <v>4</v>
      </c>
      <c r="R3658" s="10">
        <v>4</v>
      </c>
    </row>
    <row r="3659" spans="1:18" ht="17" customHeight="1" x14ac:dyDescent="0.15">
      <c r="A3659" s="11" t="s">
        <v>19701</v>
      </c>
      <c r="B3659" s="1" t="s">
        <v>19702</v>
      </c>
      <c r="C3659" s="11" t="s">
        <v>19703</v>
      </c>
      <c r="D3659" s="11" t="s">
        <v>19703</v>
      </c>
      <c r="E3659" s="11" t="s">
        <v>19704</v>
      </c>
      <c r="F3659" s="11" t="s">
        <v>19705</v>
      </c>
      <c r="G3659" s="11" t="s">
        <v>19640</v>
      </c>
      <c r="H3659" s="11" t="s">
        <v>19641</v>
      </c>
      <c r="I3659" s="11" t="str">
        <f>HYPERLINK("http://www.studioestile.com/","www.studioestile.com")</f>
        <v>www.studioestile.com</v>
      </c>
      <c r="J3659" s="12">
        <v>650.65200000000004</v>
      </c>
      <c r="K3659" s="12">
        <v>650.65200000000004</v>
      </c>
      <c r="L3659" s="13">
        <v>539.52</v>
      </c>
      <c r="M3659" s="12">
        <v>0.70799999999999996</v>
      </c>
      <c r="N3659" s="12">
        <v>0.70799999999999996</v>
      </c>
      <c r="O3659" s="12">
        <v>0.48799999999999999</v>
      </c>
      <c r="P3659" s="12">
        <v>2</v>
      </c>
      <c r="Q3659" s="12">
        <v>2</v>
      </c>
      <c r="R3659" s="12">
        <v>2</v>
      </c>
    </row>
    <row r="3660" spans="1:18" ht="29.5" customHeight="1" x14ac:dyDescent="0.15">
      <c r="A3660" s="8" t="s">
        <v>19706</v>
      </c>
      <c r="B3660" s="9" t="s">
        <v>19707</v>
      </c>
      <c r="C3660" s="8" t="s">
        <v>19708</v>
      </c>
      <c r="D3660" s="8" t="s">
        <v>19708</v>
      </c>
      <c r="E3660" s="8" t="s">
        <v>19709</v>
      </c>
      <c r="F3660" s="8" t="s">
        <v>19673</v>
      </c>
      <c r="G3660" s="8" t="s">
        <v>19710</v>
      </c>
      <c r="H3660" s="8" t="s">
        <v>19711</v>
      </c>
      <c r="I3660" s="8" t="str">
        <f>HYPERLINK("http://www.valentisposa.com/","www.valentisposa.com")</f>
        <v>www.valentisposa.com</v>
      </c>
      <c r="J3660" s="10">
        <v>488.411</v>
      </c>
      <c r="K3660" s="10">
        <v>488.411</v>
      </c>
      <c r="L3660" s="10">
        <v>538.87599999999998</v>
      </c>
      <c r="M3660" s="10">
        <v>17.838000000000001</v>
      </c>
      <c r="N3660" s="10">
        <v>17.838000000000001</v>
      </c>
      <c r="O3660" s="10">
        <v>-46.654000000000003</v>
      </c>
      <c r="P3660" s="15" t="s">
        <v>19662</v>
      </c>
      <c r="Q3660" s="15" t="s">
        <v>19662</v>
      </c>
      <c r="R3660" s="10">
        <v>3</v>
      </c>
    </row>
    <row r="3661" spans="1:18" ht="17" customHeight="1" x14ac:dyDescent="0.15">
      <c r="A3661" s="11" t="s">
        <v>19712</v>
      </c>
      <c r="B3661" s="1" t="s">
        <v>19713</v>
      </c>
      <c r="C3661" s="11" t="s">
        <v>19714</v>
      </c>
      <c r="D3661" s="11" t="s">
        <v>19714</v>
      </c>
      <c r="E3661" s="11" t="s">
        <v>19715</v>
      </c>
      <c r="F3661" s="11" t="s">
        <v>19667</v>
      </c>
      <c r="G3661" s="11" t="s">
        <v>19688</v>
      </c>
      <c r="H3661" s="11" t="s">
        <v>19689</v>
      </c>
      <c r="I3661" s="11" t="str">
        <f>HYPERLINK("http://www.stefanardi.com/","www.stefanardi.com")</f>
        <v>www.stefanardi.com</v>
      </c>
      <c r="J3661" s="12">
        <v>625.11500000000001</v>
      </c>
      <c r="K3661" s="12">
        <v>625.11500000000001</v>
      </c>
      <c r="L3661" s="13">
        <v>538.83900000000006</v>
      </c>
      <c r="M3661" s="12">
        <v>16.928000000000001</v>
      </c>
      <c r="N3661" s="12">
        <v>16.928000000000001</v>
      </c>
      <c r="O3661" s="12">
        <v>-1.7989999999999999</v>
      </c>
      <c r="P3661" s="14" t="s">
        <v>19662</v>
      </c>
      <c r="Q3661" s="14" t="s">
        <v>19662</v>
      </c>
      <c r="R3661" s="12">
        <v>10</v>
      </c>
    </row>
    <row r="3662" spans="1:18" ht="29.5" customHeight="1" x14ac:dyDescent="0.15">
      <c r="A3662" s="8" t="s">
        <v>19716</v>
      </c>
      <c r="B3662" s="9" t="s">
        <v>19717</v>
      </c>
      <c r="C3662" s="8" t="s">
        <v>19718</v>
      </c>
      <c r="D3662" s="8" t="s">
        <v>19718</v>
      </c>
      <c r="E3662" s="8" t="s">
        <v>19719</v>
      </c>
      <c r="F3662" s="8" t="s">
        <v>19646</v>
      </c>
      <c r="G3662" s="8" t="s">
        <v>19720</v>
      </c>
      <c r="H3662" s="8" t="s">
        <v>19721</v>
      </c>
      <c r="I3662" s="8" t="str">
        <f>HYPERLINK("http://www.complastsnc.com/","www.complastsnc.com")</f>
        <v>www.complastsnc.com</v>
      </c>
      <c r="J3662" s="10">
        <v>553.38199999999995</v>
      </c>
      <c r="K3662" s="10">
        <v>553.38199999999995</v>
      </c>
      <c r="L3662" s="10">
        <v>538.02200000000005</v>
      </c>
      <c r="M3662" s="10">
        <v>46.546999999999997</v>
      </c>
      <c r="N3662" s="10">
        <v>46.546999999999997</v>
      </c>
      <c r="O3662" s="10">
        <v>2.0830000000000002</v>
      </c>
      <c r="P3662" s="10">
        <v>3</v>
      </c>
      <c r="Q3662" s="10">
        <v>3</v>
      </c>
      <c r="R3662" s="10">
        <v>4</v>
      </c>
    </row>
    <row r="3663" spans="1:18" ht="17" customHeight="1" x14ac:dyDescent="0.15">
      <c r="A3663" s="11" t="s">
        <v>19722</v>
      </c>
      <c r="B3663" s="1" t="s">
        <v>19723</v>
      </c>
      <c r="C3663" s="11" t="s">
        <v>19724</v>
      </c>
      <c r="D3663" s="11" t="s">
        <v>19724</v>
      </c>
      <c r="E3663" s="11" t="s">
        <v>19725</v>
      </c>
      <c r="F3663" s="11" t="s">
        <v>19726</v>
      </c>
      <c r="G3663" s="11" t="s">
        <v>19681</v>
      </c>
      <c r="H3663" s="11" t="s">
        <v>19682</v>
      </c>
      <c r="I3663" s="11" t="str">
        <f>HYPERLINK("http://www.megisrl.com/","www.megisrl.com")</f>
        <v>www.megisrl.com</v>
      </c>
      <c r="J3663" s="12">
        <v>561.58199999999999</v>
      </c>
      <c r="K3663" s="12">
        <v>561.58199999999999</v>
      </c>
      <c r="L3663" s="13">
        <v>537.76700000000005</v>
      </c>
      <c r="M3663" s="12">
        <v>-3.8210000000000002</v>
      </c>
      <c r="N3663" s="12">
        <v>-3.8210000000000002</v>
      </c>
      <c r="O3663" s="12">
        <v>88.727000000000004</v>
      </c>
      <c r="P3663" s="12">
        <v>6</v>
      </c>
      <c r="Q3663" s="12">
        <v>6</v>
      </c>
      <c r="R3663" s="12">
        <v>4</v>
      </c>
    </row>
    <row r="3664" spans="1:18" ht="17" customHeight="1" x14ac:dyDescent="0.15">
      <c r="A3664" s="8" t="s">
        <v>19727</v>
      </c>
      <c r="B3664" s="9" t="s">
        <v>19728</v>
      </c>
      <c r="C3664" s="8" t="s">
        <v>19729</v>
      </c>
      <c r="D3664" s="8" t="s">
        <v>19729</v>
      </c>
      <c r="E3664" s="8" t="s">
        <v>19730</v>
      </c>
      <c r="F3664" s="8" t="s">
        <v>19667</v>
      </c>
      <c r="G3664" s="8" t="s">
        <v>19731</v>
      </c>
      <c r="H3664" s="8" t="s">
        <v>19700</v>
      </c>
      <c r="I3664" s="8" t="str">
        <f>HYPERLINK("http://www.maestripellettieri.it/","www.maestripellettieri.it")</f>
        <v>www.maestripellettieri.it</v>
      </c>
      <c r="J3664" s="10">
        <v>548.41</v>
      </c>
      <c r="K3664" s="10">
        <v>548.41</v>
      </c>
      <c r="L3664" s="10">
        <v>537.69299999999998</v>
      </c>
      <c r="M3664" s="10">
        <v>17.399000000000001</v>
      </c>
      <c r="N3664" s="10">
        <v>17.399000000000001</v>
      </c>
      <c r="O3664" s="10">
        <v>14.297000000000001</v>
      </c>
      <c r="P3664" s="10">
        <v>3</v>
      </c>
      <c r="Q3664" s="10">
        <v>3</v>
      </c>
      <c r="R3664" s="10">
        <v>3</v>
      </c>
    </row>
    <row r="3665" spans="1:18" ht="17" customHeight="1" x14ac:dyDescent="0.15">
      <c r="A3665" s="11" t="s">
        <v>19732</v>
      </c>
      <c r="B3665" s="1" t="s">
        <v>19733</v>
      </c>
      <c r="C3665" s="11" t="s">
        <v>19734</v>
      </c>
      <c r="D3665" s="11" t="s">
        <v>19734</v>
      </c>
      <c r="E3665" s="11" t="s">
        <v>19735</v>
      </c>
      <c r="F3665" s="11" t="s">
        <v>19667</v>
      </c>
      <c r="G3665" s="11" t="s">
        <v>19736</v>
      </c>
      <c r="H3665" s="11" t="s">
        <v>19648</v>
      </c>
      <c r="I3665" s="11" t="str">
        <f>HYPERLINK("http://www.donnaelissa.it/","www.donnaelissa.it")</f>
        <v>www.donnaelissa.it</v>
      </c>
      <c r="J3665" s="12">
        <v>582.423</v>
      </c>
      <c r="K3665" s="12">
        <v>582.423</v>
      </c>
      <c r="L3665" s="13">
        <v>537.51800000000003</v>
      </c>
      <c r="M3665" s="12">
        <v>-418.45</v>
      </c>
      <c r="N3665" s="12">
        <v>-418.45</v>
      </c>
      <c r="O3665" s="12">
        <v>-485.94600000000003</v>
      </c>
      <c r="P3665" s="12">
        <v>9</v>
      </c>
      <c r="Q3665" s="12">
        <v>9</v>
      </c>
      <c r="R3665" s="12">
        <v>15</v>
      </c>
    </row>
    <row r="3666" spans="1:18" ht="17" customHeight="1" x14ac:dyDescent="0.15">
      <c r="A3666" s="8" t="s">
        <v>19737</v>
      </c>
      <c r="B3666" s="9" t="s">
        <v>19738</v>
      </c>
      <c r="C3666" s="8" t="s">
        <v>19739</v>
      </c>
      <c r="D3666" s="8" t="s">
        <v>19739</v>
      </c>
      <c r="E3666" s="8" t="s">
        <v>19740</v>
      </c>
      <c r="F3666" s="8" t="s">
        <v>19705</v>
      </c>
      <c r="G3666" s="8" t="s">
        <v>19741</v>
      </c>
      <c r="H3666" s="8" t="s">
        <v>19648</v>
      </c>
      <c r="I3666" s="8" t="str">
        <f>HYPERLINK("http://www.accessorimodabianchi.com/","www.accessorimodabianchi.com")</f>
        <v>www.accessorimodabianchi.com</v>
      </c>
      <c r="J3666" s="10">
        <v>438.09800000000001</v>
      </c>
      <c r="K3666" s="10">
        <v>438.09800000000001</v>
      </c>
      <c r="L3666" s="10">
        <v>535.48</v>
      </c>
      <c r="M3666" s="10">
        <v>6.069</v>
      </c>
      <c r="N3666" s="10">
        <v>6.069</v>
      </c>
      <c r="O3666" s="10">
        <v>8.2289999999999992</v>
      </c>
      <c r="P3666" s="10">
        <v>2</v>
      </c>
      <c r="Q3666" s="10">
        <v>2</v>
      </c>
      <c r="R3666" s="10">
        <v>2</v>
      </c>
    </row>
    <row r="3667" spans="1:18" ht="17" customHeight="1" x14ac:dyDescent="0.15">
      <c r="A3667" s="11" t="s">
        <v>19742</v>
      </c>
      <c r="B3667" s="1" t="s">
        <v>19743</v>
      </c>
      <c r="C3667" s="11" t="s">
        <v>19744</v>
      </c>
      <c r="D3667" s="11" t="s">
        <v>19744</v>
      </c>
      <c r="E3667" s="11" t="s">
        <v>19745</v>
      </c>
      <c r="F3667" s="11" t="s">
        <v>19646</v>
      </c>
      <c r="G3667" s="11" t="s">
        <v>19746</v>
      </c>
      <c r="H3667" s="11" t="s">
        <v>19747</v>
      </c>
      <c r="I3667" s="11" t="str">
        <f>HYPERLINK("http://www.parmeggiani.com/","www.parmeggiani.com")</f>
        <v>www.parmeggiani.com</v>
      </c>
      <c r="J3667" s="12">
        <v>401.47800000000001</v>
      </c>
      <c r="K3667" s="12">
        <v>401.47800000000001</v>
      </c>
      <c r="L3667" s="13">
        <v>534.80499999999995</v>
      </c>
      <c r="M3667" s="12">
        <v>3.2</v>
      </c>
      <c r="N3667" s="12">
        <v>3.2</v>
      </c>
      <c r="O3667" s="12">
        <v>5.1539999999999999</v>
      </c>
      <c r="P3667" s="12">
        <v>3</v>
      </c>
      <c r="Q3667" s="12">
        <v>3</v>
      </c>
      <c r="R3667" s="12">
        <v>3</v>
      </c>
    </row>
    <row r="3668" spans="1:18" ht="17" customHeight="1" x14ac:dyDescent="0.15">
      <c r="A3668" s="8" t="s">
        <v>19748</v>
      </c>
      <c r="B3668" s="9" t="s">
        <v>19749</v>
      </c>
      <c r="C3668" s="8" t="s">
        <v>19750</v>
      </c>
      <c r="D3668" s="8" t="s">
        <v>19750</v>
      </c>
      <c r="E3668" s="8" t="s">
        <v>19751</v>
      </c>
      <c r="F3668" s="8" t="s">
        <v>19653</v>
      </c>
      <c r="G3668" s="8" t="s">
        <v>19752</v>
      </c>
      <c r="H3668" s="8" t="s">
        <v>19641</v>
      </c>
      <c r="I3668" s="8" t="str">
        <f>HYPERLINK("http://www.katysrl.com/","www.katysrl.com")</f>
        <v>www.katysrl.com</v>
      </c>
      <c r="J3668" s="10">
        <v>654.16600000000005</v>
      </c>
      <c r="K3668" s="10">
        <v>654.16600000000005</v>
      </c>
      <c r="L3668" s="10">
        <v>534.44600000000003</v>
      </c>
      <c r="M3668" s="10">
        <v>8.8879999999999999</v>
      </c>
      <c r="N3668" s="10">
        <v>8.8879999999999999</v>
      </c>
      <c r="O3668" s="10">
        <v>1.871</v>
      </c>
      <c r="P3668" s="15" t="s">
        <v>19662</v>
      </c>
      <c r="Q3668" s="15" t="s">
        <v>19662</v>
      </c>
      <c r="R3668" s="10">
        <v>9</v>
      </c>
    </row>
    <row r="3669" spans="1:18" ht="17" customHeight="1" x14ac:dyDescent="0.15">
      <c r="A3669" s="11" t="s">
        <v>19753</v>
      </c>
      <c r="B3669" s="1" t="s">
        <v>19754</v>
      </c>
      <c r="C3669" s="11" t="s">
        <v>19755</v>
      </c>
      <c r="D3669" s="11" t="s">
        <v>19755</v>
      </c>
      <c r="E3669" s="11" t="s">
        <v>19756</v>
      </c>
      <c r="F3669" s="11" t="s">
        <v>19705</v>
      </c>
      <c r="G3669" s="11" t="s">
        <v>19757</v>
      </c>
      <c r="H3669" s="11" t="s">
        <v>19758</v>
      </c>
      <c r="I3669" s="11" t="str">
        <f>HYPERLINK("http://www.royalrow.it/","www.royalrow.it")</f>
        <v>www.royalrow.it</v>
      </c>
      <c r="J3669" s="12">
        <v>651.66800000000001</v>
      </c>
      <c r="K3669" s="12">
        <v>651.66800000000001</v>
      </c>
      <c r="L3669" s="13">
        <v>534.01499999999999</v>
      </c>
      <c r="M3669" s="12">
        <v>9.2279999999999998</v>
      </c>
      <c r="N3669" s="12">
        <v>9.2279999999999998</v>
      </c>
      <c r="O3669" s="12">
        <v>3.206</v>
      </c>
      <c r="P3669" s="12">
        <v>4</v>
      </c>
      <c r="Q3669" s="12">
        <v>4</v>
      </c>
      <c r="R3669" s="12">
        <v>4</v>
      </c>
    </row>
    <row r="3670" spans="1:18" ht="29.5" customHeight="1" x14ac:dyDescent="0.15">
      <c r="A3670" s="8" t="s">
        <v>19759</v>
      </c>
      <c r="B3670" s="9" t="s">
        <v>19760</v>
      </c>
      <c r="C3670" s="8" t="s">
        <v>19761</v>
      </c>
      <c r="D3670" s="8" t="s">
        <v>19761</v>
      </c>
      <c r="E3670" s="8" t="s">
        <v>19762</v>
      </c>
      <c r="F3670" s="8" t="s">
        <v>19653</v>
      </c>
      <c r="G3670" s="8" t="s">
        <v>19654</v>
      </c>
      <c r="H3670" s="8" t="s">
        <v>19655</v>
      </c>
      <c r="I3670" s="8" t="str">
        <f>HYPERLINK("http://www.puntopigrostore.com/","www.puntopigrostore.com")</f>
        <v>www.puntopigrostore.com</v>
      </c>
      <c r="J3670" s="10">
        <v>619.08600000000001</v>
      </c>
      <c r="K3670" s="10">
        <v>619.08600000000001</v>
      </c>
      <c r="L3670" s="10">
        <v>533.25199999999995</v>
      </c>
      <c r="M3670" s="10">
        <v>1.431</v>
      </c>
      <c r="N3670" s="10">
        <v>1.431</v>
      </c>
      <c r="O3670" s="10">
        <v>16.045000000000002</v>
      </c>
      <c r="P3670" s="15" t="s">
        <v>19662</v>
      </c>
      <c r="Q3670" s="15" t="s">
        <v>19662</v>
      </c>
      <c r="R3670" s="10">
        <v>7</v>
      </c>
    </row>
    <row r="3671" spans="1:18" ht="17" customHeight="1" x14ac:dyDescent="0.15">
      <c r="A3671" s="11" t="s">
        <v>19763</v>
      </c>
      <c r="B3671" s="1" t="s">
        <v>19764</v>
      </c>
      <c r="C3671" s="11" t="s">
        <v>19765</v>
      </c>
      <c r="D3671" s="11" t="s">
        <v>19765</v>
      </c>
      <c r="E3671" s="11" t="s">
        <v>19766</v>
      </c>
      <c r="F3671" s="11" t="s">
        <v>19726</v>
      </c>
      <c r="G3671" s="11" t="s">
        <v>19767</v>
      </c>
      <c r="H3671" s="11" t="s">
        <v>19641</v>
      </c>
      <c r="I3671" s="11" t="str">
        <f>HYPERLINK("http://www.concerialafortezza.it/","www.concerialafortezza.it")</f>
        <v>www.concerialafortezza.it</v>
      </c>
      <c r="J3671" s="12">
        <v>466.46800000000002</v>
      </c>
      <c r="K3671" s="12">
        <v>466.46800000000002</v>
      </c>
      <c r="L3671" s="13">
        <v>532.88499999999999</v>
      </c>
      <c r="M3671" s="12">
        <v>-33.076999999999998</v>
      </c>
      <c r="N3671" s="12">
        <v>-33.076999999999998</v>
      </c>
      <c r="O3671" s="12">
        <v>-171.12100000000001</v>
      </c>
      <c r="P3671" s="14" t="s">
        <v>19662</v>
      </c>
      <c r="Q3671" s="14" t="s">
        <v>19662</v>
      </c>
      <c r="R3671" s="12">
        <v>5</v>
      </c>
    </row>
    <row r="3672" spans="1:18" ht="17" customHeight="1" x14ac:dyDescent="0.15">
      <c r="A3672" s="8" t="s">
        <v>19768</v>
      </c>
      <c r="B3672" s="9" t="s">
        <v>19769</v>
      </c>
      <c r="C3672" s="8" t="s">
        <v>19770</v>
      </c>
      <c r="D3672" s="8" t="s">
        <v>19770</v>
      </c>
      <c r="E3672" s="8" t="s">
        <v>19771</v>
      </c>
      <c r="F3672" s="8" t="s">
        <v>19653</v>
      </c>
      <c r="G3672" s="8" t="s">
        <v>19772</v>
      </c>
      <c r="H3672" s="8" t="s">
        <v>19682</v>
      </c>
      <c r="I3672" s="8" t="str">
        <f>HYPERLINK("http://www.naglev.com/","www.naglev.com")</f>
        <v>www.naglev.com</v>
      </c>
      <c r="J3672" s="10">
        <v>93.852999999999994</v>
      </c>
      <c r="K3672" s="10">
        <v>93.852999999999994</v>
      </c>
      <c r="L3672" s="10">
        <v>531.63300000000004</v>
      </c>
      <c r="M3672" s="10">
        <v>-14.654999999999999</v>
      </c>
      <c r="N3672" s="10">
        <v>-14.654999999999999</v>
      </c>
      <c r="O3672" s="10">
        <v>18.417999999999999</v>
      </c>
      <c r="P3672" s="10">
        <v>0</v>
      </c>
      <c r="Q3672" s="10">
        <v>0</v>
      </c>
      <c r="R3672" s="10">
        <v>0</v>
      </c>
    </row>
    <row r="3673" spans="1:18" ht="43" customHeight="1" x14ac:dyDescent="0.15">
      <c r="A3673" s="11" t="s">
        <v>19773</v>
      </c>
      <c r="B3673" s="1" t="s">
        <v>19774</v>
      </c>
      <c r="C3673" s="11" t="s">
        <v>19775</v>
      </c>
      <c r="D3673" s="11" t="s">
        <v>19775</v>
      </c>
      <c r="E3673" s="11" t="s">
        <v>19776</v>
      </c>
      <c r="F3673" s="11" t="s">
        <v>19777</v>
      </c>
      <c r="G3673" s="11" t="s">
        <v>19778</v>
      </c>
      <c r="H3673" s="11" t="s">
        <v>19689</v>
      </c>
      <c r="I3673" s="11" t="str">
        <f>HYPERLINK("http://topitaliamoda.it/","topitaliamoda.it")</f>
        <v>topitaliamoda.it</v>
      </c>
      <c r="J3673" s="12">
        <v>484.928</v>
      </c>
      <c r="K3673" s="12">
        <v>484.928</v>
      </c>
      <c r="L3673" s="13">
        <v>531.22799999999995</v>
      </c>
      <c r="M3673" s="12">
        <v>16.908000000000001</v>
      </c>
      <c r="N3673" s="12">
        <v>16.908000000000001</v>
      </c>
      <c r="O3673" s="12">
        <v>18.492000000000001</v>
      </c>
      <c r="P3673" s="14" t="s">
        <v>19662</v>
      </c>
      <c r="Q3673" s="14" t="s">
        <v>19662</v>
      </c>
      <c r="R3673" s="12">
        <v>14</v>
      </c>
    </row>
    <row r="3674" spans="1:18" ht="29.5" customHeight="1" x14ac:dyDescent="0.15">
      <c r="A3674" s="8" t="s">
        <v>19779</v>
      </c>
      <c r="B3674" s="9" t="s">
        <v>19780</v>
      </c>
      <c r="C3674" s="8" t="s">
        <v>19781</v>
      </c>
      <c r="D3674" s="8" t="s">
        <v>19781</v>
      </c>
      <c r="E3674" s="8" t="s">
        <v>19782</v>
      </c>
      <c r="F3674" s="8" t="s">
        <v>19698</v>
      </c>
      <c r="G3674" s="8" t="s">
        <v>19736</v>
      </c>
      <c r="H3674" s="8" t="s">
        <v>19648</v>
      </c>
      <c r="I3674" s="8" t="str">
        <f>HYPERLINK("http://www.arrigocostumi.com/","www.arrigocostumi.com")</f>
        <v>www.arrigocostumi.com</v>
      </c>
      <c r="J3674" s="10">
        <v>577.66999999999996</v>
      </c>
      <c r="K3674" s="10">
        <v>577.66999999999996</v>
      </c>
      <c r="L3674" s="10">
        <v>531.05600000000004</v>
      </c>
      <c r="M3674" s="10">
        <v>97.47</v>
      </c>
      <c r="N3674" s="10">
        <v>97.47</v>
      </c>
      <c r="O3674" s="10">
        <v>-52.735999999999997</v>
      </c>
      <c r="P3674" s="10">
        <v>4</v>
      </c>
      <c r="Q3674" s="10">
        <v>4</v>
      </c>
      <c r="R3674" s="10">
        <v>4</v>
      </c>
    </row>
    <row r="3675" spans="1:18" ht="17" customHeight="1" x14ac:dyDescent="0.15">
      <c r="A3675" s="11" t="s">
        <v>19783</v>
      </c>
      <c r="B3675" s="1" t="s">
        <v>19784</v>
      </c>
      <c r="C3675" s="11" t="s">
        <v>19785</v>
      </c>
      <c r="D3675" s="11" t="s">
        <v>19785</v>
      </c>
      <c r="E3675" s="11" t="s">
        <v>19786</v>
      </c>
      <c r="F3675" s="11" t="s">
        <v>19705</v>
      </c>
      <c r="G3675" s="11" t="s">
        <v>19736</v>
      </c>
      <c r="H3675" s="11" t="s">
        <v>19648</v>
      </c>
      <c r="I3675" s="11" t="str">
        <f>HYPERLINK("http://www.restelliguanti.it/","www.restelliguanti.it")</f>
        <v>www.restelliguanti.it</v>
      </c>
      <c r="J3675" s="12">
        <v>541.32299999999998</v>
      </c>
      <c r="K3675" s="12">
        <v>541.32299999999998</v>
      </c>
      <c r="L3675" s="13">
        <v>530.48299999999995</v>
      </c>
      <c r="M3675" s="12">
        <v>-58.682000000000002</v>
      </c>
      <c r="N3675" s="12">
        <v>-58.682000000000002</v>
      </c>
      <c r="O3675" s="12">
        <v>-6.8170000000000002</v>
      </c>
      <c r="P3675" s="14" t="s">
        <v>19662</v>
      </c>
      <c r="Q3675" s="14" t="s">
        <v>19662</v>
      </c>
      <c r="R3675" s="12">
        <v>7</v>
      </c>
    </row>
    <row r="3676" spans="1:18" ht="17" customHeight="1" x14ac:dyDescent="0.15">
      <c r="A3676" s="8" t="s">
        <v>19787</v>
      </c>
      <c r="B3676" s="9" t="s">
        <v>19788</v>
      </c>
      <c r="C3676" s="8" t="s">
        <v>19789</v>
      </c>
      <c r="D3676" s="8" t="s">
        <v>19789</v>
      </c>
      <c r="E3676" s="8" t="s">
        <v>19790</v>
      </c>
      <c r="F3676" s="8" t="s">
        <v>19653</v>
      </c>
      <c r="G3676" s="8" t="s">
        <v>19736</v>
      </c>
      <c r="H3676" s="8" t="s">
        <v>19648</v>
      </c>
      <c r="I3676" s="8" t="str">
        <f>HYPERLINK("http://www.porselli.it/","www.porselli.it")</f>
        <v>www.porselli.it</v>
      </c>
      <c r="J3676" s="10">
        <v>476.31200000000001</v>
      </c>
      <c r="K3676" s="10">
        <v>476.31200000000001</v>
      </c>
      <c r="L3676" s="10">
        <v>530.06700000000001</v>
      </c>
      <c r="M3676" s="10">
        <v>-131.209</v>
      </c>
      <c r="N3676" s="10">
        <v>-131.209</v>
      </c>
      <c r="O3676" s="10">
        <v>-167.46799999999999</v>
      </c>
      <c r="P3676" s="10">
        <v>9</v>
      </c>
      <c r="Q3676" s="10">
        <v>9</v>
      </c>
      <c r="R3676" s="10">
        <v>9</v>
      </c>
    </row>
    <row r="3677" spans="1:18" ht="17" customHeight="1" x14ac:dyDescent="0.15">
      <c r="A3677" s="11" t="s">
        <v>19791</v>
      </c>
      <c r="B3677" s="1" t="s">
        <v>19792</v>
      </c>
      <c r="C3677" s="11" t="s">
        <v>19793</v>
      </c>
      <c r="D3677" s="11" t="s">
        <v>19793</v>
      </c>
      <c r="E3677" s="11" t="s">
        <v>19794</v>
      </c>
      <c r="F3677" s="11" t="s">
        <v>19705</v>
      </c>
      <c r="G3677" s="11" t="s">
        <v>19668</v>
      </c>
      <c r="H3677" s="11" t="s">
        <v>19641</v>
      </c>
      <c r="I3677" s="11" t="str">
        <f>HYPERLINK("http://www.craafts.com/","www.craafts.com")</f>
        <v>www.craafts.com</v>
      </c>
      <c r="J3677" s="12">
        <v>1038.9880000000001</v>
      </c>
      <c r="K3677" s="12">
        <v>1038.9880000000001</v>
      </c>
      <c r="L3677" s="13">
        <v>529.26300000000003</v>
      </c>
      <c r="M3677" s="12">
        <v>1.3859999999999999</v>
      </c>
      <c r="N3677" s="12">
        <v>1.3859999999999999</v>
      </c>
      <c r="O3677" s="12">
        <v>6.5670000000000002</v>
      </c>
      <c r="P3677" s="12">
        <v>6</v>
      </c>
      <c r="Q3677" s="12">
        <v>6</v>
      </c>
      <c r="R3677" s="12">
        <v>6</v>
      </c>
    </row>
    <row r="3678" spans="1:18" ht="17" customHeight="1" x14ac:dyDescent="0.15">
      <c r="A3678" s="8" t="s">
        <v>19795</v>
      </c>
      <c r="B3678" s="9" t="s">
        <v>19796</v>
      </c>
      <c r="C3678" s="8" t="s">
        <v>19797</v>
      </c>
      <c r="D3678" s="8" t="s">
        <v>19797</v>
      </c>
      <c r="E3678" s="8" t="s">
        <v>19798</v>
      </c>
      <c r="F3678" s="8" t="s">
        <v>19667</v>
      </c>
      <c r="G3678" s="8" t="s">
        <v>19799</v>
      </c>
      <c r="H3678" s="8" t="s">
        <v>19747</v>
      </c>
      <c r="I3678" s="8" t="str">
        <f>HYPERLINK("http://www.numero10bags.com/","www.numero10bags.com")</f>
        <v>www.numero10bags.com</v>
      </c>
      <c r="J3678" s="10">
        <v>466.49799999999999</v>
      </c>
      <c r="K3678" s="10">
        <v>466.49799999999999</v>
      </c>
      <c r="L3678" s="10">
        <v>529.029</v>
      </c>
      <c r="M3678" s="10">
        <v>-16.856000000000002</v>
      </c>
      <c r="N3678" s="10">
        <v>-16.856000000000002</v>
      </c>
      <c r="O3678" s="10">
        <v>-15.691000000000001</v>
      </c>
      <c r="P3678" s="10">
        <v>3</v>
      </c>
      <c r="Q3678" s="10">
        <v>3</v>
      </c>
      <c r="R3678" s="10">
        <v>2</v>
      </c>
    </row>
    <row r="3679" spans="1:18" ht="17" customHeight="1" x14ac:dyDescent="0.15">
      <c r="A3679" s="11" t="s">
        <v>19800</v>
      </c>
      <c r="B3679" s="1" t="s">
        <v>19801</v>
      </c>
      <c r="C3679" s="11" t="s">
        <v>19802</v>
      </c>
      <c r="D3679" s="11" t="s">
        <v>19802</v>
      </c>
      <c r="E3679" s="11" t="s">
        <v>19803</v>
      </c>
      <c r="F3679" s="11" t="s">
        <v>19673</v>
      </c>
      <c r="G3679" s="11" t="s">
        <v>19804</v>
      </c>
      <c r="H3679" s="11" t="s">
        <v>19689</v>
      </c>
      <c r="I3679" s="11" t="str">
        <f>HYPERLINK("http://metaverse.g-inglese.com/","metaverse.g-inglese.com")</f>
        <v>metaverse.g-inglese.com</v>
      </c>
      <c r="J3679" s="12">
        <v>598.322</v>
      </c>
      <c r="K3679" s="12">
        <v>598.322</v>
      </c>
      <c r="L3679" s="13">
        <v>528.89099999999996</v>
      </c>
      <c r="M3679" s="12">
        <v>-240.83500000000001</v>
      </c>
      <c r="N3679" s="12">
        <v>-240.83500000000001</v>
      </c>
      <c r="O3679" s="12">
        <v>-150.86699999999999</v>
      </c>
      <c r="P3679" s="14" t="s">
        <v>19662</v>
      </c>
      <c r="Q3679" s="14" t="s">
        <v>19662</v>
      </c>
      <c r="R3679" s="12">
        <v>13</v>
      </c>
    </row>
    <row r="3680" spans="1:18" ht="17" customHeight="1" x14ac:dyDescent="0.15">
      <c r="A3680" s="8" t="s">
        <v>19805</v>
      </c>
      <c r="B3680" s="9" t="s">
        <v>19806</v>
      </c>
      <c r="C3680" s="8" t="s">
        <v>19807</v>
      </c>
      <c r="D3680" s="8" t="s">
        <v>19807</v>
      </c>
      <c r="E3680" s="8" t="s">
        <v>19808</v>
      </c>
      <c r="F3680" s="8" t="s">
        <v>19809</v>
      </c>
      <c r="G3680" s="8" t="s">
        <v>19810</v>
      </c>
      <c r="H3680" s="8" t="s">
        <v>19655</v>
      </c>
      <c r="I3680" s="8" t="str">
        <f>HYPERLINK("http://www.agostinomartinez.it/","http://www.agostinomartinez.it")</f>
        <v>http://www.agostinomartinez.it</v>
      </c>
      <c r="J3680" s="10">
        <v>460.06400000000002</v>
      </c>
      <c r="K3680" s="10">
        <v>460.06400000000002</v>
      </c>
      <c r="L3680" s="10">
        <v>527.928</v>
      </c>
      <c r="M3680" s="10">
        <v>-5.2510000000000003</v>
      </c>
      <c r="N3680" s="10">
        <v>-5.2510000000000003</v>
      </c>
      <c r="O3680" s="10">
        <v>1.752</v>
      </c>
      <c r="P3680" s="10">
        <v>2</v>
      </c>
      <c r="Q3680" s="10">
        <v>2</v>
      </c>
      <c r="R3680" s="10">
        <v>2</v>
      </c>
    </row>
    <row r="3681" spans="1:18" ht="43" customHeight="1" x14ac:dyDescent="0.15">
      <c r="A3681" s="11" t="s">
        <v>19811</v>
      </c>
      <c r="B3681" s="1" t="s">
        <v>19812</v>
      </c>
      <c r="C3681" s="11" t="s">
        <v>19813</v>
      </c>
      <c r="D3681" s="11" t="s">
        <v>19813</v>
      </c>
      <c r="E3681" s="11" t="s">
        <v>19814</v>
      </c>
      <c r="F3681" s="11" t="s">
        <v>19815</v>
      </c>
      <c r="G3681" s="11" t="s">
        <v>19816</v>
      </c>
      <c r="H3681" s="11" t="s">
        <v>19817</v>
      </c>
      <c r="I3681" s="11" t="str">
        <f>HYPERLINK("http://www.sartoriasagripanti.it/","www.sartoriasagripanti.it")</f>
        <v>www.sartoriasagripanti.it</v>
      </c>
      <c r="J3681" s="12">
        <v>557.65599999999995</v>
      </c>
      <c r="K3681" s="12">
        <v>557.65599999999995</v>
      </c>
      <c r="L3681" s="13">
        <v>527.83799999999997</v>
      </c>
      <c r="M3681" s="12">
        <v>40.503999999999998</v>
      </c>
      <c r="N3681" s="12">
        <v>40.503999999999998</v>
      </c>
      <c r="O3681" s="12">
        <v>47.399000000000001</v>
      </c>
      <c r="P3681" s="12">
        <v>3</v>
      </c>
      <c r="Q3681" s="12">
        <v>3</v>
      </c>
      <c r="R3681" s="12">
        <v>3</v>
      </c>
    </row>
    <row r="3682" spans="1:18" ht="17" customHeight="1" x14ac:dyDescent="0.15">
      <c r="A3682" s="8" t="s">
        <v>19818</v>
      </c>
      <c r="B3682" s="9" t="s">
        <v>19819</v>
      </c>
      <c r="C3682" s="8" t="s">
        <v>19820</v>
      </c>
      <c r="D3682" s="8" t="s">
        <v>19820</v>
      </c>
      <c r="E3682" s="8" t="s">
        <v>19821</v>
      </c>
      <c r="F3682" s="8" t="s">
        <v>19822</v>
      </c>
      <c r="G3682" s="8" t="s">
        <v>19823</v>
      </c>
      <c r="H3682" s="8" t="s">
        <v>19824</v>
      </c>
      <c r="I3682" s="8" t="str">
        <f>HYPERLINK("http://www.bazzecole.com/","www.bazzecole.com")</f>
        <v>www.bazzecole.com</v>
      </c>
      <c r="J3682" s="10">
        <v>314.154</v>
      </c>
      <c r="K3682" s="10">
        <v>314.154</v>
      </c>
      <c r="L3682" s="10">
        <v>527.80600000000004</v>
      </c>
      <c r="M3682" s="10">
        <v>15.925000000000001</v>
      </c>
      <c r="N3682" s="10">
        <v>15.925000000000001</v>
      </c>
      <c r="O3682" s="10">
        <v>12.542999999999999</v>
      </c>
      <c r="P3682" s="15" t="s">
        <v>19825</v>
      </c>
      <c r="Q3682" s="15" t="s">
        <v>19825</v>
      </c>
      <c r="R3682" s="10">
        <v>5</v>
      </c>
    </row>
    <row r="3683" spans="1:18" ht="29.5" customHeight="1" x14ac:dyDescent="0.15">
      <c r="A3683" s="11" t="s">
        <v>19826</v>
      </c>
      <c r="B3683" s="1" t="s">
        <v>19827</v>
      </c>
      <c r="C3683" s="11" t="s">
        <v>19828</v>
      </c>
      <c r="D3683" s="11" t="s">
        <v>19828</v>
      </c>
      <c r="E3683" s="11" t="s">
        <v>19829</v>
      </c>
      <c r="F3683" s="11" t="s">
        <v>19830</v>
      </c>
      <c r="G3683" s="11" t="s">
        <v>19831</v>
      </c>
      <c r="H3683" s="11" t="s">
        <v>19832</v>
      </c>
      <c r="I3683" s="11" t="str">
        <f>HYPERLINK("http://www.etoile.it/","www.etoile.it")</f>
        <v>www.etoile.it</v>
      </c>
      <c r="J3683" s="12">
        <v>689.37599999999998</v>
      </c>
      <c r="K3683" s="12">
        <v>689.37599999999998</v>
      </c>
      <c r="L3683" s="13">
        <v>527.64300000000003</v>
      </c>
      <c r="M3683" s="12">
        <v>40.691000000000003</v>
      </c>
      <c r="N3683" s="12">
        <v>40.691000000000003</v>
      </c>
      <c r="O3683" s="12">
        <v>9.5630000000000006</v>
      </c>
      <c r="P3683" s="14" t="s">
        <v>19825</v>
      </c>
      <c r="Q3683" s="14" t="s">
        <v>19825</v>
      </c>
      <c r="R3683" s="12">
        <v>17</v>
      </c>
    </row>
    <row r="3684" spans="1:18" ht="17" customHeight="1" x14ac:dyDescent="0.15">
      <c r="A3684" s="8" t="s">
        <v>19833</v>
      </c>
      <c r="B3684" s="9" t="s">
        <v>19834</v>
      </c>
      <c r="C3684" s="8" t="s">
        <v>19835</v>
      </c>
      <c r="D3684" s="8" t="s">
        <v>19835</v>
      </c>
      <c r="E3684" s="8" t="s">
        <v>19836</v>
      </c>
      <c r="F3684" s="8" t="s">
        <v>19837</v>
      </c>
      <c r="G3684" s="8" t="s">
        <v>19838</v>
      </c>
      <c r="H3684" s="8" t="s">
        <v>19839</v>
      </c>
      <c r="I3684" s="8" t="str">
        <f>HYPERLINK("http://www.imilariamattioli.it/","www.imilariamattioli.it")</f>
        <v>www.imilariamattioli.it</v>
      </c>
      <c r="J3684" s="10">
        <v>527.524</v>
      </c>
      <c r="K3684" s="15" t="s">
        <v>19825</v>
      </c>
      <c r="L3684" s="10">
        <v>527.524</v>
      </c>
      <c r="M3684" s="10">
        <v>35.31</v>
      </c>
      <c r="N3684" s="15" t="s">
        <v>19825</v>
      </c>
      <c r="O3684" s="10">
        <v>35.31</v>
      </c>
      <c r="P3684" s="15" t="s">
        <v>19825</v>
      </c>
      <c r="Q3684" s="15" t="s">
        <v>19825</v>
      </c>
      <c r="R3684" s="15" t="s">
        <v>19825</v>
      </c>
    </row>
    <row r="3685" spans="1:18" ht="29.5" customHeight="1" x14ac:dyDescent="0.15">
      <c r="A3685" s="11" t="s">
        <v>19840</v>
      </c>
      <c r="B3685" s="1" t="s">
        <v>19841</v>
      </c>
      <c r="C3685" s="11" t="s">
        <v>19842</v>
      </c>
      <c r="D3685" s="11" t="s">
        <v>19842</v>
      </c>
      <c r="E3685" s="11" t="s">
        <v>19843</v>
      </c>
      <c r="F3685" s="11" t="s">
        <v>19815</v>
      </c>
      <c r="G3685" s="11" t="s">
        <v>19844</v>
      </c>
      <c r="H3685" s="11" t="s">
        <v>19845</v>
      </c>
      <c r="I3685" s="11" t="str">
        <f>HYPERLINK("http://www.emozionisposa.it/","www.emozionisposa.it")</f>
        <v>www.emozionisposa.it</v>
      </c>
      <c r="J3685" s="12">
        <v>564.005</v>
      </c>
      <c r="K3685" s="12">
        <v>564.005</v>
      </c>
      <c r="L3685" s="13">
        <v>526.93200000000002</v>
      </c>
      <c r="M3685" s="12">
        <v>43.164000000000001</v>
      </c>
      <c r="N3685" s="12">
        <v>43.164000000000001</v>
      </c>
      <c r="O3685" s="12">
        <v>87.941000000000003</v>
      </c>
      <c r="P3685" s="12">
        <v>2</v>
      </c>
      <c r="Q3685" s="12">
        <v>2</v>
      </c>
      <c r="R3685" s="12">
        <v>4</v>
      </c>
    </row>
    <row r="3686" spans="1:18" ht="29.5" customHeight="1" x14ac:dyDescent="0.15">
      <c r="A3686" s="8" t="s">
        <v>19846</v>
      </c>
      <c r="B3686" s="9" t="s">
        <v>19847</v>
      </c>
      <c r="C3686" s="8" t="s">
        <v>19848</v>
      </c>
      <c r="D3686" s="8" t="s">
        <v>19848</v>
      </c>
      <c r="E3686" s="8" t="s">
        <v>19849</v>
      </c>
      <c r="F3686" s="8" t="s">
        <v>19830</v>
      </c>
      <c r="G3686" s="8" t="s">
        <v>19850</v>
      </c>
      <c r="H3686" s="8" t="s">
        <v>19851</v>
      </c>
      <c r="I3686" s="8" t="str">
        <f>HYPERLINK("http://www.chesterton1953.com/","www.chesterton1953.com")</f>
        <v>www.chesterton1953.com</v>
      </c>
      <c r="J3686" s="10">
        <v>447.18099999999998</v>
      </c>
      <c r="K3686" s="10">
        <v>447.18099999999998</v>
      </c>
      <c r="L3686" s="10">
        <v>526.90899999999999</v>
      </c>
      <c r="M3686" s="10">
        <v>0.72299999999999998</v>
      </c>
      <c r="N3686" s="10">
        <v>0.72299999999999998</v>
      </c>
      <c r="O3686" s="10">
        <v>15.175000000000001</v>
      </c>
      <c r="P3686" s="10">
        <v>0</v>
      </c>
      <c r="Q3686" s="10">
        <v>0</v>
      </c>
      <c r="R3686" s="10">
        <v>0</v>
      </c>
    </row>
    <row r="3687" spans="1:18" ht="17" customHeight="1" x14ac:dyDescent="0.15">
      <c r="A3687" s="11" t="s">
        <v>19852</v>
      </c>
      <c r="B3687" s="1" t="s">
        <v>19853</v>
      </c>
      <c r="C3687" s="11" t="s">
        <v>19854</v>
      </c>
      <c r="D3687" s="11" t="s">
        <v>19854</v>
      </c>
      <c r="E3687" s="11" t="s">
        <v>19855</v>
      </c>
      <c r="F3687" s="11" t="s">
        <v>19856</v>
      </c>
      <c r="G3687" s="11" t="s">
        <v>19844</v>
      </c>
      <c r="H3687" s="11" t="s">
        <v>19845</v>
      </c>
      <c r="I3687" s="11" t="str">
        <f>HYPERLINK("http://www.ottavionuccio.com/","www.ottavionuccio.com")</f>
        <v>www.ottavionuccio.com</v>
      </c>
      <c r="J3687" s="12">
        <v>534.97400000000005</v>
      </c>
      <c r="K3687" s="12">
        <v>534.97400000000005</v>
      </c>
      <c r="L3687" s="13">
        <v>525.33000000000004</v>
      </c>
      <c r="M3687" s="12">
        <v>228.642</v>
      </c>
      <c r="N3687" s="12">
        <v>228.642</v>
      </c>
      <c r="O3687" s="12">
        <v>59.328000000000003</v>
      </c>
      <c r="P3687" s="12">
        <v>5</v>
      </c>
      <c r="Q3687" s="12">
        <v>5</v>
      </c>
      <c r="R3687" s="12">
        <v>5</v>
      </c>
    </row>
    <row r="3688" spans="1:18" ht="17" customHeight="1" x14ac:dyDescent="0.15">
      <c r="A3688" s="8" t="s">
        <v>19857</v>
      </c>
      <c r="B3688" s="9" t="s">
        <v>19858</v>
      </c>
      <c r="C3688" s="8" t="s">
        <v>19859</v>
      </c>
      <c r="D3688" s="8" t="s">
        <v>19859</v>
      </c>
      <c r="E3688" s="8" t="s">
        <v>19860</v>
      </c>
      <c r="F3688" s="8" t="s">
        <v>19861</v>
      </c>
      <c r="G3688" s="8" t="s">
        <v>19862</v>
      </c>
      <c r="H3688" s="8" t="s">
        <v>19863</v>
      </c>
      <c r="I3688" s="8" t="str">
        <f>HYPERLINK("http://www.mbflegnano.com/","www.mbflegnano.com")</f>
        <v>www.mbflegnano.com</v>
      </c>
      <c r="J3688" s="10">
        <v>411.673</v>
      </c>
      <c r="K3688" s="10">
        <v>411.673</v>
      </c>
      <c r="L3688" s="10">
        <v>525.33699999999999</v>
      </c>
      <c r="M3688" s="10">
        <v>18.478999999999999</v>
      </c>
      <c r="N3688" s="10">
        <v>18.478999999999999</v>
      </c>
      <c r="O3688" s="10">
        <v>64.700999999999993</v>
      </c>
      <c r="P3688" s="10">
        <v>3</v>
      </c>
      <c r="Q3688" s="10">
        <v>3</v>
      </c>
      <c r="R3688" s="10">
        <v>3</v>
      </c>
    </row>
    <row r="3689" spans="1:18" ht="17" customHeight="1" x14ac:dyDescent="0.15">
      <c r="A3689" s="11" t="s">
        <v>19864</v>
      </c>
      <c r="B3689" s="1" t="s">
        <v>19865</v>
      </c>
      <c r="C3689" s="11" t="s">
        <v>19866</v>
      </c>
      <c r="D3689" s="11" t="s">
        <v>19866</v>
      </c>
      <c r="E3689" s="11" t="s">
        <v>19867</v>
      </c>
      <c r="F3689" s="11" t="s">
        <v>19815</v>
      </c>
      <c r="G3689" s="11" t="s">
        <v>19868</v>
      </c>
      <c r="H3689" s="11" t="s">
        <v>19845</v>
      </c>
      <c r="I3689" s="11" t="str">
        <f>HYPERLINK("http://www.edocamicie.it/","www.edocamicie.it")</f>
        <v>www.edocamicie.it</v>
      </c>
      <c r="J3689" s="12">
        <v>627.34400000000005</v>
      </c>
      <c r="K3689" s="12">
        <v>627.34400000000005</v>
      </c>
      <c r="L3689" s="13">
        <v>525.14300000000003</v>
      </c>
      <c r="M3689" s="12">
        <v>1.3169999999999999</v>
      </c>
      <c r="N3689" s="12">
        <v>1.3169999999999999</v>
      </c>
      <c r="O3689" s="12">
        <v>7.8959999999999999</v>
      </c>
      <c r="P3689" s="12">
        <v>11</v>
      </c>
      <c r="Q3689" s="12">
        <v>11</v>
      </c>
      <c r="R3689" s="12">
        <v>10</v>
      </c>
    </row>
    <row r="3690" spans="1:18" ht="17" customHeight="1" x14ac:dyDescent="0.15">
      <c r="A3690" s="8" t="s">
        <v>19869</v>
      </c>
      <c r="B3690" s="9" t="s">
        <v>19870</v>
      </c>
      <c r="C3690" s="8" t="s">
        <v>19871</v>
      </c>
      <c r="D3690" s="8" t="s">
        <v>19871</v>
      </c>
      <c r="E3690" s="8" t="s">
        <v>19872</v>
      </c>
      <c r="F3690" s="8" t="s">
        <v>19856</v>
      </c>
      <c r="G3690" s="8" t="s">
        <v>19873</v>
      </c>
      <c r="H3690" s="8" t="s">
        <v>19874</v>
      </c>
      <c r="I3690" s="8" t="str">
        <f>HYPERLINK("http://www.dopogara.it/","www.dopogara.it")</f>
        <v>www.dopogara.it</v>
      </c>
      <c r="J3690" s="10">
        <v>421.24299999999999</v>
      </c>
      <c r="K3690" s="10">
        <v>421.24299999999999</v>
      </c>
      <c r="L3690" s="10">
        <v>524.78700000000003</v>
      </c>
      <c r="M3690" s="10">
        <v>0.69399999999999995</v>
      </c>
      <c r="N3690" s="10">
        <v>0.69399999999999995</v>
      </c>
      <c r="O3690" s="10">
        <v>-1.482</v>
      </c>
      <c r="P3690" s="10">
        <v>1</v>
      </c>
      <c r="Q3690" s="10">
        <v>1</v>
      </c>
      <c r="R3690" s="10">
        <v>2</v>
      </c>
    </row>
    <row r="3691" spans="1:18" ht="17" customHeight="1" x14ac:dyDescent="0.15">
      <c r="A3691" s="11" t="s">
        <v>19875</v>
      </c>
      <c r="B3691" s="1" t="s">
        <v>19876</v>
      </c>
      <c r="C3691" s="11" t="s">
        <v>19877</v>
      </c>
      <c r="D3691" s="11" t="s">
        <v>19877</v>
      </c>
      <c r="E3691" s="11" t="s">
        <v>19878</v>
      </c>
      <c r="F3691" s="11" t="s">
        <v>19879</v>
      </c>
      <c r="G3691" s="11" t="s">
        <v>19831</v>
      </c>
      <c r="H3691" s="11" t="s">
        <v>19832</v>
      </c>
      <c r="I3691" s="11" t="str">
        <f>HYPERLINK("http://www.botterostudio.com/","www.botterostudio.com")</f>
        <v>www.botterostudio.com</v>
      </c>
      <c r="J3691" s="12">
        <v>1057.6179999999999</v>
      </c>
      <c r="K3691" s="12">
        <v>1057.6179999999999</v>
      </c>
      <c r="L3691" s="13">
        <v>523.89599999999996</v>
      </c>
      <c r="M3691" s="12">
        <v>24.321999999999999</v>
      </c>
      <c r="N3691" s="12">
        <v>24.321999999999999</v>
      </c>
      <c r="O3691" s="12">
        <v>3.0150000000000001</v>
      </c>
      <c r="P3691" s="12">
        <v>6</v>
      </c>
      <c r="Q3691" s="12">
        <v>6</v>
      </c>
      <c r="R3691" s="12">
        <v>7</v>
      </c>
    </row>
    <row r="3692" spans="1:18" ht="17" customHeight="1" x14ac:dyDescent="0.15">
      <c r="A3692" s="8" t="s">
        <v>19880</v>
      </c>
      <c r="B3692" s="9" t="s">
        <v>19881</v>
      </c>
      <c r="C3692" s="8" t="s">
        <v>19882</v>
      </c>
      <c r="D3692" s="8" t="s">
        <v>19882</v>
      </c>
      <c r="E3692" s="8" t="s">
        <v>19883</v>
      </c>
      <c r="F3692" s="8" t="s">
        <v>19856</v>
      </c>
      <c r="G3692" s="8" t="s">
        <v>19884</v>
      </c>
      <c r="H3692" s="8" t="s">
        <v>19874</v>
      </c>
      <c r="I3692" s="8" t="str">
        <f>HYPERLINK("http://www.qualitagliosrl.com/","www.qualitagliosrl.com")</f>
        <v>www.qualitagliosrl.com</v>
      </c>
      <c r="J3692" s="10">
        <v>519.48400000000004</v>
      </c>
      <c r="K3692" s="10">
        <v>519.48400000000004</v>
      </c>
      <c r="L3692" s="10">
        <v>523.94399999999996</v>
      </c>
      <c r="M3692" s="10">
        <v>1.39</v>
      </c>
      <c r="N3692" s="10">
        <v>1.39</v>
      </c>
      <c r="O3692" s="10">
        <v>9.1649999999999991</v>
      </c>
      <c r="P3692" s="10">
        <v>9</v>
      </c>
      <c r="Q3692" s="10">
        <v>9</v>
      </c>
      <c r="R3692" s="10">
        <v>9</v>
      </c>
    </row>
    <row r="3693" spans="1:18" ht="17" customHeight="1" x14ac:dyDescent="0.15">
      <c r="A3693" s="11" t="s">
        <v>19885</v>
      </c>
      <c r="B3693" s="1" t="s">
        <v>19886</v>
      </c>
      <c r="C3693" s="11" t="s">
        <v>19887</v>
      </c>
      <c r="D3693" s="11" t="s">
        <v>19887</v>
      </c>
      <c r="E3693" s="11" t="s">
        <v>19888</v>
      </c>
      <c r="F3693" s="11" t="s">
        <v>19861</v>
      </c>
      <c r="G3693" s="11" t="s">
        <v>19889</v>
      </c>
      <c r="H3693" s="11" t="s">
        <v>19890</v>
      </c>
      <c r="I3693" s="11" t="str">
        <f>HYPERLINK("http://www.nuova3b.it/","www.nuova3b.it")</f>
        <v>www.nuova3b.it</v>
      </c>
      <c r="J3693" s="12">
        <v>465.11500000000001</v>
      </c>
      <c r="K3693" s="12">
        <v>465.11500000000001</v>
      </c>
      <c r="L3693" s="13">
        <v>523.29100000000005</v>
      </c>
      <c r="M3693" s="12">
        <v>18.579999999999998</v>
      </c>
      <c r="N3693" s="12">
        <v>18.579999999999998</v>
      </c>
      <c r="O3693" s="12">
        <v>28.66</v>
      </c>
      <c r="P3693" s="12">
        <v>6</v>
      </c>
      <c r="Q3693" s="12">
        <v>6</v>
      </c>
      <c r="R3693" s="12">
        <v>6</v>
      </c>
    </row>
    <row r="3694" spans="1:18" ht="17" customHeight="1" x14ac:dyDescent="0.15">
      <c r="A3694" s="8" t="s">
        <v>19891</v>
      </c>
      <c r="B3694" s="9" t="s">
        <v>19892</v>
      </c>
      <c r="C3694" s="8" t="s">
        <v>19893</v>
      </c>
      <c r="D3694" s="8" t="s">
        <v>19893</v>
      </c>
      <c r="E3694" s="8" t="s">
        <v>19894</v>
      </c>
      <c r="F3694" s="8" t="s">
        <v>19822</v>
      </c>
      <c r="G3694" s="8" t="s">
        <v>19895</v>
      </c>
      <c r="H3694" s="8" t="s">
        <v>19874</v>
      </c>
      <c r="I3694" s="8" t="str">
        <f>HYPERLINK("http://stylehunter.it/","stylehunter.it")</f>
        <v>stylehunter.it</v>
      </c>
      <c r="J3694" s="10">
        <v>561.45299999999997</v>
      </c>
      <c r="K3694" s="10">
        <v>561.45299999999997</v>
      </c>
      <c r="L3694" s="10">
        <v>522.01700000000005</v>
      </c>
      <c r="M3694" s="10">
        <v>-14.082000000000001</v>
      </c>
      <c r="N3694" s="10">
        <v>-14.082000000000001</v>
      </c>
      <c r="O3694" s="10">
        <v>-25.76</v>
      </c>
      <c r="P3694" s="10">
        <v>2</v>
      </c>
      <c r="Q3694" s="10">
        <v>2</v>
      </c>
      <c r="R3694" s="10">
        <v>2</v>
      </c>
    </row>
    <row r="3695" spans="1:18" ht="17" customHeight="1" x14ac:dyDescent="0.15">
      <c r="A3695" s="11" t="s">
        <v>19896</v>
      </c>
      <c r="B3695" s="1" t="s">
        <v>19897</v>
      </c>
      <c r="C3695" s="11" t="s">
        <v>19898</v>
      </c>
      <c r="D3695" s="11" t="s">
        <v>19898</v>
      </c>
      <c r="E3695" s="11" t="s">
        <v>19899</v>
      </c>
      <c r="F3695" s="11" t="s">
        <v>19900</v>
      </c>
      <c r="G3695" s="11" t="s">
        <v>19816</v>
      </c>
      <c r="H3695" s="11" t="s">
        <v>19817</v>
      </c>
      <c r="I3695" s="11" t="str">
        <f>HYPERLINK("http://bocachesalvucci.com/","bocachesalvucci.com")</f>
        <v>bocachesalvucci.com</v>
      </c>
      <c r="J3695" s="12">
        <v>833.94600000000003</v>
      </c>
      <c r="K3695" s="12">
        <v>833.94600000000003</v>
      </c>
      <c r="L3695" s="13">
        <v>520.22500000000002</v>
      </c>
      <c r="M3695" s="12">
        <v>0.755</v>
      </c>
      <c r="N3695" s="12">
        <v>0.755</v>
      </c>
      <c r="O3695" s="12">
        <v>32.540999999999997</v>
      </c>
      <c r="P3695" s="12">
        <v>8</v>
      </c>
      <c r="Q3695" s="12">
        <v>8</v>
      </c>
      <c r="R3695" s="12">
        <v>4</v>
      </c>
    </row>
    <row r="3696" spans="1:18" ht="29.5" customHeight="1" x14ac:dyDescent="0.15">
      <c r="A3696" s="8" t="s">
        <v>19901</v>
      </c>
      <c r="B3696" s="9" t="s">
        <v>19902</v>
      </c>
      <c r="C3696" s="8" t="s">
        <v>19903</v>
      </c>
      <c r="D3696" s="8" t="s">
        <v>19903</v>
      </c>
      <c r="E3696" s="8" t="s">
        <v>19904</v>
      </c>
      <c r="F3696" s="8" t="s">
        <v>19905</v>
      </c>
      <c r="G3696" s="8" t="s">
        <v>19844</v>
      </c>
      <c r="H3696" s="8" t="s">
        <v>19845</v>
      </c>
      <c r="I3696" s="8" t="str">
        <f>HYPERLINK("http://www.calzificiosanbiagio.it/","www.calzificiosanbiagio.it")</f>
        <v>www.calzificiosanbiagio.it</v>
      </c>
      <c r="J3696" s="10">
        <v>519.12599999999998</v>
      </c>
      <c r="K3696" s="15" t="s">
        <v>19825</v>
      </c>
      <c r="L3696" s="10">
        <v>519.12599999999998</v>
      </c>
      <c r="M3696" s="10">
        <v>-13.542999999999999</v>
      </c>
      <c r="N3696" s="15" t="s">
        <v>19825</v>
      </c>
      <c r="O3696" s="10">
        <v>-13.542999999999999</v>
      </c>
      <c r="P3696" s="10">
        <v>7</v>
      </c>
      <c r="Q3696" s="15" t="s">
        <v>19825</v>
      </c>
      <c r="R3696" s="10">
        <v>7</v>
      </c>
    </row>
    <row r="3697" spans="1:18" ht="17" customHeight="1" x14ac:dyDescent="0.15">
      <c r="A3697" s="11" t="s">
        <v>19906</v>
      </c>
      <c r="B3697" s="1" t="s">
        <v>19907</v>
      </c>
      <c r="C3697" s="11" t="s">
        <v>19908</v>
      </c>
      <c r="D3697" s="11" t="s">
        <v>19908</v>
      </c>
      <c r="E3697" s="11" t="s">
        <v>19909</v>
      </c>
      <c r="F3697" s="11" t="s">
        <v>19837</v>
      </c>
      <c r="G3697" s="11" t="s">
        <v>19910</v>
      </c>
      <c r="H3697" s="11" t="s">
        <v>19890</v>
      </c>
      <c r="I3697" s="11" t="str">
        <f>HYPERLINK("http://www.bodiesfurs.it/","www.bodiesfurs.it")</f>
        <v>www.bodiesfurs.it</v>
      </c>
      <c r="J3697" s="12">
        <v>478.22</v>
      </c>
      <c r="K3697" s="12">
        <v>478.22</v>
      </c>
      <c r="L3697" s="13">
        <v>518.245</v>
      </c>
      <c r="M3697" s="12">
        <v>1.6379999999999999</v>
      </c>
      <c r="N3697" s="12">
        <v>1.6379999999999999</v>
      </c>
      <c r="O3697" s="12">
        <v>6.4950000000000001</v>
      </c>
      <c r="P3697" s="12">
        <v>4</v>
      </c>
      <c r="Q3697" s="12">
        <v>4</v>
      </c>
      <c r="R3697" s="12">
        <v>6</v>
      </c>
    </row>
    <row r="3698" spans="1:18" ht="17" customHeight="1" x14ac:dyDescent="0.15">
      <c r="A3698" s="8" t="s">
        <v>19911</v>
      </c>
      <c r="B3698" s="9" t="s">
        <v>19912</v>
      </c>
      <c r="C3698" s="8" t="s">
        <v>19913</v>
      </c>
      <c r="D3698" s="8" t="s">
        <v>19913</v>
      </c>
      <c r="E3698" s="8" t="s">
        <v>19914</v>
      </c>
      <c r="F3698" s="8" t="s">
        <v>19856</v>
      </c>
      <c r="G3698" s="8" t="s">
        <v>19868</v>
      </c>
      <c r="H3698" s="8" t="s">
        <v>19845</v>
      </c>
      <c r="I3698" s="8" t="str">
        <f>HYPERLINK("http://www.faconsartoriale.it/","www.faconsartoriale.it")</f>
        <v>www.faconsartoriale.it</v>
      </c>
      <c r="J3698" s="10">
        <v>650.47699999999998</v>
      </c>
      <c r="K3698" s="10">
        <v>650.47699999999998</v>
      </c>
      <c r="L3698" s="10">
        <v>515.84699999999998</v>
      </c>
      <c r="M3698" s="10">
        <v>-190.43199999999999</v>
      </c>
      <c r="N3698" s="10">
        <v>-190.43199999999999</v>
      </c>
      <c r="O3698" s="10">
        <v>-123.199</v>
      </c>
      <c r="P3698" s="15" t="s">
        <v>19825</v>
      </c>
      <c r="Q3698" s="15" t="s">
        <v>19825</v>
      </c>
      <c r="R3698" s="10">
        <v>26</v>
      </c>
    </row>
    <row r="3699" spans="1:18" ht="17" customHeight="1" x14ac:dyDescent="0.15">
      <c r="A3699" s="11" t="s">
        <v>19915</v>
      </c>
      <c r="B3699" s="1" t="s">
        <v>19916</v>
      </c>
      <c r="C3699" s="11" t="s">
        <v>19917</v>
      </c>
      <c r="D3699" s="11" t="s">
        <v>19917</v>
      </c>
      <c r="E3699" s="11" t="s">
        <v>19918</v>
      </c>
      <c r="F3699" s="11" t="s">
        <v>19879</v>
      </c>
      <c r="G3699" s="11" t="s">
        <v>19919</v>
      </c>
      <c r="H3699" s="11" t="s">
        <v>19839</v>
      </c>
      <c r="I3699" s="11" t="str">
        <f>HYPERLINK("http://www.shoproseapois.com/","www.shoproseapois.com")</f>
        <v>www.shoproseapois.com</v>
      </c>
      <c r="J3699" s="12">
        <v>417.04500000000002</v>
      </c>
      <c r="K3699" s="12">
        <v>417.04500000000002</v>
      </c>
      <c r="L3699" s="13">
        <v>515.846</v>
      </c>
      <c r="M3699" s="12">
        <v>-12.067</v>
      </c>
      <c r="N3699" s="12">
        <v>-12.067</v>
      </c>
      <c r="O3699" s="12">
        <v>2.41</v>
      </c>
      <c r="P3699" s="12">
        <v>4</v>
      </c>
      <c r="Q3699" s="12">
        <v>4</v>
      </c>
      <c r="R3699" s="12">
        <v>5</v>
      </c>
    </row>
    <row r="3700" spans="1:18" ht="17" customHeight="1" x14ac:dyDescent="0.15">
      <c r="A3700" s="8" t="s">
        <v>19920</v>
      </c>
      <c r="B3700" s="9" t="s">
        <v>19921</v>
      </c>
      <c r="C3700" s="8" t="s">
        <v>19922</v>
      </c>
      <c r="D3700" s="8" t="s">
        <v>19922</v>
      </c>
      <c r="E3700" s="8" t="s">
        <v>19923</v>
      </c>
      <c r="F3700" s="8" t="s">
        <v>19830</v>
      </c>
      <c r="G3700" s="8" t="s">
        <v>19910</v>
      </c>
      <c r="H3700" s="8" t="s">
        <v>19890</v>
      </c>
      <c r="I3700" s="8" t="str">
        <f>HYPERLINK("http://be-y-e.com/","be-y-e.com")</f>
        <v>be-y-e.com</v>
      </c>
      <c r="J3700" s="10">
        <v>511.488</v>
      </c>
      <c r="K3700" s="10">
        <v>511.488</v>
      </c>
      <c r="L3700" s="10">
        <v>514.21699999999998</v>
      </c>
      <c r="M3700" s="10">
        <v>2.226</v>
      </c>
      <c r="N3700" s="10">
        <v>2.226</v>
      </c>
      <c r="O3700" s="10">
        <v>0.57599999999999996</v>
      </c>
      <c r="P3700" s="10">
        <v>2</v>
      </c>
      <c r="Q3700" s="10">
        <v>2</v>
      </c>
      <c r="R3700" s="10">
        <v>1</v>
      </c>
    </row>
    <row r="3701" spans="1:18" ht="17" customHeight="1" x14ac:dyDescent="0.15">
      <c r="A3701" s="11" t="s">
        <v>19924</v>
      </c>
      <c r="B3701" s="1" t="s">
        <v>19925</v>
      </c>
      <c r="C3701" s="11" t="s">
        <v>19926</v>
      </c>
      <c r="D3701" s="11" t="s">
        <v>19926</v>
      </c>
      <c r="E3701" s="11" t="s">
        <v>19927</v>
      </c>
      <c r="F3701" s="11" t="s">
        <v>19856</v>
      </c>
      <c r="G3701" s="11" t="s">
        <v>19831</v>
      </c>
      <c r="H3701" s="11" t="s">
        <v>19832</v>
      </c>
      <c r="I3701" s="11" t="str">
        <f>HYPERLINK("http://sanfrancisco976.com/","sanfrancisco976.com")</f>
        <v>sanfrancisco976.com</v>
      </c>
      <c r="J3701" s="12">
        <v>514.10199999999998</v>
      </c>
      <c r="K3701" s="14" t="s">
        <v>19825</v>
      </c>
      <c r="L3701" s="13">
        <v>514.10199999999998</v>
      </c>
      <c r="M3701" s="12">
        <v>-48.651000000000003</v>
      </c>
      <c r="N3701" s="14" t="s">
        <v>19825</v>
      </c>
      <c r="O3701" s="12">
        <v>-48.651000000000003</v>
      </c>
      <c r="P3701" s="12">
        <v>4</v>
      </c>
      <c r="Q3701" s="14" t="s">
        <v>19825</v>
      </c>
      <c r="R3701" s="12">
        <v>4</v>
      </c>
    </row>
    <row r="3702" spans="1:18" ht="17" customHeight="1" x14ac:dyDescent="0.15">
      <c r="A3702" s="8" t="s">
        <v>19928</v>
      </c>
      <c r="B3702" s="9" t="s">
        <v>19929</v>
      </c>
      <c r="C3702" s="8" t="s">
        <v>19930</v>
      </c>
      <c r="D3702" s="8" t="s">
        <v>19930</v>
      </c>
      <c r="E3702" s="8" t="s">
        <v>19931</v>
      </c>
      <c r="F3702" s="8" t="s">
        <v>19932</v>
      </c>
      <c r="G3702" s="8" t="s">
        <v>19933</v>
      </c>
      <c r="H3702" s="8" t="s">
        <v>19890</v>
      </c>
      <c r="I3702" s="8" t="str">
        <f>HYPERLINK("http://www.donnalingeriepistoia.it/","www.donnalingeriepistoia.it")</f>
        <v>www.donnalingeriepistoia.it</v>
      </c>
      <c r="J3702" s="10">
        <v>434.60599999999999</v>
      </c>
      <c r="K3702" s="10">
        <v>434.60599999999999</v>
      </c>
      <c r="L3702" s="10">
        <v>513.77099999999996</v>
      </c>
      <c r="M3702" s="10">
        <v>-7.0869999999999997</v>
      </c>
      <c r="N3702" s="10">
        <v>-7.0869999999999997</v>
      </c>
      <c r="O3702" s="10">
        <v>8.9570000000000007</v>
      </c>
      <c r="P3702" s="10">
        <v>6</v>
      </c>
      <c r="Q3702" s="10">
        <v>6</v>
      </c>
      <c r="R3702" s="10">
        <v>7</v>
      </c>
    </row>
    <row r="3703" spans="1:18" ht="17" customHeight="1" x14ac:dyDescent="0.15">
      <c r="A3703" s="11" t="s">
        <v>19934</v>
      </c>
      <c r="B3703" s="1" t="s">
        <v>19935</v>
      </c>
      <c r="C3703" s="11" t="s">
        <v>19936</v>
      </c>
      <c r="D3703" s="11" t="s">
        <v>19936</v>
      </c>
      <c r="E3703" s="11" t="s">
        <v>19937</v>
      </c>
      <c r="F3703" s="11" t="s">
        <v>19879</v>
      </c>
      <c r="G3703" s="11" t="s">
        <v>19910</v>
      </c>
      <c r="H3703" s="11" t="s">
        <v>19890</v>
      </c>
      <c r="I3703" s="11" t="str">
        <f>HYPERLINK("http://www.mazzantihat.it/","www.mazzantihat.it")</f>
        <v>www.mazzantihat.it</v>
      </c>
      <c r="J3703" s="12">
        <v>494.37799999999999</v>
      </c>
      <c r="K3703" s="12">
        <v>494.37799999999999</v>
      </c>
      <c r="L3703" s="13">
        <v>513.54300000000001</v>
      </c>
      <c r="M3703" s="12">
        <v>2.286</v>
      </c>
      <c r="N3703" s="12">
        <v>2.286</v>
      </c>
      <c r="O3703" s="12">
        <v>7.7859999999999996</v>
      </c>
      <c r="P3703" s="12">
        <v>5</v>
      </c>
      <c r="Q3703" s="12">
        <v>5</v>
      </c>
      <c r="R3703" s="12">
        <v>4</v>
      </c>
    </row>
    <row r="3704" spans="1:18" ht="17" customHeight="1" x14ac:dyDescent="0.15">
      <c r="A3704" s="8" t="s">
        <v>19938</v>
      </c>
      <c r="B3704" s="9" t="s">
        <v>19939</v>
      </c>
      <c r="C3704" s="8" t="s">
        <v>19940</v>
      </c>
      <c r="D3704" s="8" t="s">
        <v>19940</v>
      </c>
      <c r="E3704" s="8" t="s">
        <v>19941</v>
      </c>
      <c r="F3704" s="8" t="s">
        <v>19942</v>
      </c>
      <c r="G3704" s="8" t="s">
        <v>19873</v>
      </c>
      <c r="H3704" s="8" t="s">
        <v>19874</v>
      </c>
      <c r="I3704" s="8" t="str">
        <f>HYPERLINK("http://www.colvet.it/","www.colvet.it")</f>
        <v>www.colvet.it</v>
      </c>
      <c r="J3704" s="10">
        <v>507.85199999999998</v>
      </c>
      <c r="K3704" s="10">
        <v>507.85199999999998</v>
      </c>
      <c r="L3704" s="10">
        <v>513.28300000000002</v>
      </c>
      <c r="M3704" s="10">
        <v>1.7949999999999999</v>
      </c>
      <c r="N3704" s="10">
        <v>1.7949999999999999</v>
      </c>
      <c r="O3704" s="10">
        <v>6.1020000000000003</v>
      </c>
      <c r="P3704" s="10">
        <v>3</v>
      </c>
      <c r="Q3704" s="10">
        <v>3</v>
      </c>
      <c r="R3704" s="10">
        <v>4</v>
      </c>
    </row>
    <row r="3705" spans="1:18" ht="17" customHeight="1" x14ac:dyDescent="0.15">
      <c r="A3705" s="11" t="s">
        <v>19943</v>
      </c>
      <c r="B3705" s="1" t="s">
        <v>19944</v>
      </c>
      <c r="C3705" s="11" t="s">
        <v>19945</v>
      </c>
      <c r="D3705" s="11" t="s">
        <v>19945</v>
      </c>
      <c r="E3705" s="11" t="s">
        <v>19946</v>
      </c>
      <c r="F3705" s="11" t="s">
        <v>19830</v>
      </c>
      <c r="G3705" s="11" t="s">
        <v>19947</v>
      </c>
      <c r="H3705" s="11" t="s">
        <v>19948</v>
      </c>
      <c r="I3705" s="11" t="str">
        <f>HYPERLINK("http://www.frenetikaitalia.it/","www.frenetikaitalia.it")</f>
        <v>www.frenetikaitalia.it</v>
      </c>
      <c r="J3705" s="12">
        <v>362.63799999999998</v>
      </c>
      <c r="K3705" s="12">
        <v>362.63799999999998</v>
      </c>
      <c r="L3705" s="13">
        <v>511.90699999999998</v>
      </c>
      <c r="M3705" s="12">
        <v>0.41499999999999998</v>
      </c>
      <c r="N3705" s="12">
        <v>0.41499999999999998</v>
      </c>
      <c r="O3705" s="12">
        <v>6.6509999999999998</v>
      </c>
      <c r="P3705" s="14" t="s">
        <v>19825</v>
      </c>
      <c r="Q3705" s="14" t="s">
        <v>19825</v>
      </c>
      <c r="R3705" s="12">
        <v>3</v>
      </c>
    </row>
    <row r="3706" spans="1:18" ht="29.5" customHeight="1" x14ac:dyDescent="0.15">
      <c r="A3706" s="8" t="s">
        <v>19949</v>
      </c>
      <c r="B3706" s="9" t="s">
        <v>19950</v>
      </c>
      <c r="C3706" s="8" t="s">
        <v>19951</v>
      </c>
      <c r="D3706" s="8" t="s">
        <v>19951</v>
      </c>
      <c r="E3706" s="8" t="s">
        <v>19952</v>
      </c>
      <c r="F3706" s="8" t="s">
        <v>19953</v>
      </c>
      <c r="G3706" s="8" t="s">
        <v>19816</v>
      </c>
      <c r="H3706" s="8" t="s">
        <v>19817</v>
      </c>
      <c r="I3706" s="8" t="str">
        <f>HYPERLINK("http://www.martucciroma.com/","www.martucciroma.com")</f>
        <v>www.martucciroma.com</v>
      </c>
      <c r="J3706" s="10">
        <v>416.85300000000001</v>
      </c>
      <c r="K3706" s="10">
        <v>416.85300000000001</v>
      </c>
      <c r="L3706" s="10">
        <v>509.971</v>
      </c>
      <c r="M3706" s="10">
        <v>50.944000000000003</v>
      </c>
      <c r="N3706" s="10">
        <v>50.944000000000003</v>
      </c>
      <c r="O3706" s="10">
        <v>51.048999999999999</v>
      </c>
      <c r="P3706" s="15" t="s">
        <v>19825</v>
      </c>
      <c r="Q3706" s="15" t="s">
        <v>19825</v>
      </c>
      <c r="R3706" s="10">
        <v>3</v>
      </c>
    </row>
    <row r="3707" spans="1:18" ht="17" customHeight="1" x14ac:dyDescent="0.15">
      <c r="A3707" s="11" t="s">
        <v>19954</v>
      </c>
      <c r="B3707" s="1" t="s">
        <v>19955</v>
      </c>
      <c r="C3707" s="11" t="s">
        <v>19956</v>
      </c>
      <c r="D3707" s="11" t="s">
        <v>19956</v>
      </c>
      <c r="E3707" s="11" t="s">
        <v>19957</v>
      </c>
      <c r="F3707" s="11" t="s">
        <v>19900</v>
      </c>
      <c r="G3707" s="11" t="s">
        <v>19873</v>
      </c>
      <c r="H3707" s="11" t="s">
        <v>19874</v>
      </c>
      <c r="I3707" s="11" t="str">
        <f>HYPERLINK("http://www.chrissitaly.com/","www.chrissitaly.com")</f>
        <v>www.chrissitaly.com</v>
      </c>
      <c r="J3707" s="12">
        <v>260.64299999999997</v>
      </c>
      <c r="K3707" s="12">
        <v>260.64299999999997</v>
      </c>
      <c r="L3707" s="13">
        <v>509.67899999999997</v>
      </c>
      <c r="M3707" s="12">
        <v>1.8260000000000001</v>
      </c>
      <c r="N3707" s="12">
        <v>1.8260000000000001</v>
      </c>
      <c r="O3707" s="12">
        <v>2.073</v>
      </c>
      <c r="P3707" s="12">
        <v>8</v>
      </c>
      <c r="Q3707" s="12">
        <v>8</v>
      </c>
      <c r="R3707" s="12">
        <v>8</v>
      </c>
    </row>
    <row r="3708" spans="1:18" ht="43" customHeight="1" x14ac:dyDescent="0.15">
      <c r="A3708" s="8" t="s">
        <v>19958</v>
      </c>
      <c r="B3708" s="9" t="s">
        <v>19959</v>
      </c>
      <c r="C3708" s="8" t="s">
        <v>19960</v>
      </c>
      <c r="D3708" s="8" t="s">
        <v>19960</v>
      </c>
      <c r="E3708" s="8" t="s">
        <v>19961</v>
      </c>
      <c r="F3708" s="8" t="s">
        <v>19900</v>
      </c>
      <c r="G3708" s="8" t="s">
        <v>19962</v>
      </c>
      <c r="H3708" s="8" t="s">
        <v>19963</v>
      </c>
      <c r="I3708" s="8" t="str">
        <f>HYPERLINK("http://www.miss-d.it/","www.miss-d.it")</f>
        <v>www.miss-d.it</v>
      </c>
      <c r="J3708" s="10">
        <v>483.06700000000001</v>
      </c>
      <c r="K3708" s="10">
        <v>483.06700000000001</v>
      </c>
      <c r="L3708" s="10">
        <v>508.95100000000002</v>
      </c>
      <c r="M3708" s="10">
        <v>5.3090000000000002</v>
      </c>
      <c r="N3708" s="10">
        <v>5.3090000000000002</v>
      </c>
      <c r="O3708" s="10">
        <v>14.202999999999999</v>
      </c>
      <c r="P3708" s="10">
        <v>8</v>
      </c>
      <c r="Q3708" s="10">
        <v>8</v>
      </c>
      <c r="R3708" s="10">
        <v>8</v>
      </c>
    </row>
    <row r="3709" spans="1:18" ht="17" customHeight="1" x14ac:dyDescent="0.15">
      <c r="A3709" s="11" t="s">
        <v>19964</v>
      </c>
      <c r="B3709" s="1" t="s">
        <v>19965</v>
      </c>
      <c r="C3709" s="11" t="s">
        <v>19966</v>
      </c>
      <c r="D3709" s="11" t="s">
        <v>19966</v>
      </c>
      <c r="E3709" s="11" t="s">
        <v>19967</v>
      </c>
      <c r="F3709" s="11" t="s">
        <v>19942</v>
      </c>
      <c r="G3709" s="11" t="s">
        <v>19968</v>
      </c>
      <c r="H3709" s="11" t="s">
        <v>19845</v>
      </c>
      <c r="I3709" s="11" t="str">
        <f>HYPERLINK("http://footex.it/","footex.it")</f>
        <v>footex.it</v>
      </c>
      <c r="J3709" s="12">
        <v>577.25300000000004</v>
      </c>
      <c r="K3709" s="12">
        <v>577.25300000000004</v>
      </c>
      <c r="L3709" s="13">
        <v>507.255</v>
      </c>
      <c r="M3709" s="12">
        <v>11.226000000000001</v>
      </c>
      <c r="N3709" s="12">
        <v>11.226000000000001</v>
      </c>
      <c r="O3709" s="12">
        <v>16.276</v>
      </c>
      <c r="P3709" s="12">
        <v>6</v>
      </c>
      <c r="Q3709" s="12">
        <v>6</v>
      </c>
      <c r="R3709" s="12">
        <v>6</v>
      </c>
    </row>
    <row r="3710" spans="1:18" ht="17" customHeight="1" x14ac:dyDescent="0.15">
      <c r="A3710" s="8" t="s">
        <v>19969</v>
      </c>
      <c r="B3710" s="9" t="s">
        <v>19970</v>
      </c>
      <c r="C3710" s="8" t="s">
        <v>19971</v>
      </c>
      <c r="D3710" s="8" t="s">
        <v>19971</v>
      </c>
      <c r="E3710" s="8" t="s">
        <v>19972</v>
      </c>
      <c r="F3710" s="8" t="s">
        <v>19830</v>
      </c>
      <c r="G3710" s="8" t="s">
        <v>19862</v>
      </c>
      <c r="H3710" s="8" t="s">
        <v>19863</v>
      </c>
      <c r="I3710" s="8" t="str">
        <f>HYPERLINK("http://www.ismara.it/","www.ismara.it")</f>
        <v>www.ismara.it</v>
      </c>
      <c r="J3710" s="10">
        <v>428.50700000000001</v>
      </c>
      <c r="K3710" s="10">
        <v>428.50700000000001</v>
      </c>
      <c r="L3710" s="10">
        <v>507.25799999999998</v>
      </c>
      <c r="M3710" s="10">
        <v>25.033999999999999</v>
      </c>
      <c r="N3710" s="10">
        <v>25.033999999999999</v>
      </c>
      <c r="O3710" s="10">
        <v>1.4970000000000001</v>
      </c>
      <c r="P3710" s="15" t="s">
        <v>19825</v>
      </c>
      <c r="Q3710" s="15" t="s">
        <v>19825</v>
      </c>
      <c r="R3710" s="10">
        <v>11</v>
      </c>
    </row>
    <row r="3711" spans="1:18" ht="17" customHeight="1" x14ac:dyDescent="0.15">
      <c r="A3711" s="11" t="s">
        <v>19973</v>
      </c>
      <c r="B3711" s="1" t="s">
        <v>19974</v>
      </c>
      <c r="C3711" s="11" t="s">
        <v>19975</v>
      </c>
      <c r="D3711" s="11" t="s">
        <v>19975</v>
      </c>
      <c r="E3711" s="11" t="s">
        <v>19976</v>
      </c>
      <c r="F3711" s="11" t="s">
        <v>19856</v>
      </c>
      <c r="G3711" s="11" t="s">
        <v>19873</v>
      </c>
      <c r="H3711" s="11" t="s">
        <v>19874</v>
      </c>
      <c r="I3711" s="11" t="str">
        <f>HYPERLINK("http://www.taglioperconfezioni.com/","www.taglioperconfezioni.com")</f>
        <v>www.taglioperconfezioni.com</v>
      </c>
      <c r="J3711" s="12">
        <v>708.18700000000001</v>
      </c>
      <c r="K3711" s="12">
        <v>708.18700000000001</v>
      </c>
      <c r="L3711" s="13">
        <v>506.95400000000001</v>
      </c>
      <c r="M3711" s="12">
        <v>160.75</v>
      </c>
      <c r="N3711" s="12">
        <v>160.75</v>
      </c>
      <c r="O3711" s="12">
        <v>86.495999999999995</v>
      </c>
      <c r="P3711" s="12">
        <v>10</v>
      </c>
      <c r="Q3711" s="12">
        <v>10</v>
      </c>
      <c r="R3711" s="12">
        <v>10</v>
      </c>
    </row>
    <row r="3712" spans="1:18" ht="17" customHeight="1" x14ac:dyDescent="0.15">
      <c r="A3712" s="8" t="s">
        <v>19977</v>
      </c>
      <c r="B3712" s="9" t="s">
        <v>19978</v>
      </c>
      <c r="C3712" s="8" t="s">
        <v>19979</v>
      </c>
      <c r="D3712" s="8" t="s">
        <v>19979</v>
      </c>
      <c r="E3712" s="8" t="s">
        <v>19980</v>
      </c>
      <c r="F3712" s="8" t="s">
        <v>19830</v>
      </c>
      <c r="G3712" s="8" t="s">
        <v>19981</v>
      </c>
      <c r="H3712" s="8" t="s">
        <v>19948</v>
      </c>
      <c r="I3712" s="8" t="str">
        <f>HYPERLINK("http://www.manifartex.it/","http://www.manifartex.it")</f>
        <v>http://www.manifartex.it</v>
      </c>
      <c r="J3712" s="10">
        <v>451.55099999999999</v>
      </c>
      <c r="K3712" s="10">
        <v>451.55099999999999</v>
      </c>
      <c r="L3712" s="10">
        <v>506.09800000000001</v>
      </c>
      <c r="M3712" s="10">
        <v>-23.170999999999999</v>
      </c>
      <c r="N3712" s="10">
        <v>-23.170999999999999</v>
      </c>
      <c r="O3712" s="10">
        <v>34.682000000000002</v>
      </c>
      <c r="P3712" s="15" t="s">
        <v>19825</v>
      </c>
      <c r="Q3712" s="15" t="s">
        <v>19825</v>
      </c>
      <c r="R3712" s="10">
        <v>14</v>
      </c>
    </row>
    <row r="3713" spans="1:18" ht="17" customHeight="1" x14ac:dyDescent="0.15">
      <c r="A3713" s="11" t="s">
        <v>19982</v>
      </c>
      <c r="B3713" s="1" t="s">
        <v>19983</v>
      </c>
      <c r="C3713" s="11" t="s">
        <v>19984</v>
      </c>
      <c r="D3713" s="11" t="s">
        <v>19984</v>
      </c>
      <c r="E3713" s="11" t="s">
        <v>19985</v>
      </c>
      <c r="F3713" s="11" t="s">
        <v>19986</v>
      </c>
      <c r="G3713" s="11" t="s">
        <v>19987</v>
      </c>
      <c r="H3713" s="11" t="s">
        <v>19988</v>
      </c>
      <c r="I3713" s="11" t="str">
        <f>HYPERLINK("http://paglianibrasseur.com/","paglianibrasseur.com")</f>
        <v>paglianibrasseur.com</v>
      </c>
      <c r="J3713" s="12">
        <v>339.57799999999997</v>
      </c>
      <c r="K3713" s="12">
        <v>339.57799999999997</v>
      </c>
      <c r="L3713" s="13">
        <v>505.88200000000001</v>
      </c>
      <c r="M3713" s="12">
        <v>-101.099</v>
      </c>
      <c r="N3713" s="12">
        <v>-101.099</v>
      </c>
      <c r="O3713" s="12">
        <v>58.771000000000001</v>
      </c>
      <c r="P3713" s="12">
        <v>13</v>
      </c>
      <c r="Q3713" s="12">
        <v>13</v>
      </c>
      <c r="R3713" s="12">
        <v>14</v>
      </c>
    </row>
    <row r="3714" spans="1:18" ht="43" customHeight="1" x14ac:dyDescent="0.15">
      <c r="A3714" s="8" t="s">
        <v>19989</v>
      </c>
      <c r="B3714" s="9" t="s">
        <v>19990</v>
      </c>
      <c r="C3714" s="8" t="s">
        <v>19991</v>
      </c>
      <c r="D3714" s="8" t="s">
        <v>19991</v>
      </c>
      <c r="E3714" s="8" t="s">
        <v>19992</v>
      </c>
      <c r="F3714" s="8" t="s">
        <v>19993</v>
      </c>
      <c r="G3714" s="8" t="s">
        <v>19994</v>
      </c>
      <c r="H3714" s="8" t="s">
        <v>19995</v>
      </c>
      <c r="I3714" s="8" t="str">
        <f>HYPERLINK("http://www.littlebear.it/","www.littlebear.it")</f>
        <v>www.littlebear.it</v>
      </c>
      <c r="J3714" s="10">
        <v>425.63600000000002</v>
      </c>
      <c r="K3714" s="10">
        <v>425.63600000000002</v>
      </c>
      <c r="L3714" s="10">
        <v>505.53399999999999</v>
      </c>
      <c r="M3714" s="10">
        <v>10.291</v>
      </c>
      <c r="N3714" s="10">
        <v>10.291</v>
      </c>
      <c r="O3714" s="10">
        <v>29.893000000000001</v>
      </c>
      <c r="P3714" s="15" t="s">
        <v>19996</v>
      </c>
      <c r="Q3714" s="15" t="s">
        <v>19996</v>
      </c>
      <c r="R3714" s="10">
        <v>2</v>
      </c>
    </row>
    <row r="3715" spans="1:18" ht="17" customHeight="1" x14ac:dyDescent="0.15">
      <c r="A3715" s="11" t="s">
        <v>19997</v>
      </c>
      <c r="B3715" s="1" t="s">
        <v>19998</v>
      </c>
      <c r="C3715" s="11" t="s">
        <v>19999</v>
      </c>
      <c r="D3715" s="11" t="s">
        <v>19999</v>
      </c>
      <c r="E3715" s="11" t="s">
        <v>20000</v>
      </c>
      <c r="F3715" s="11" t="s">
        <v>20001</v>
      </c>
      <c r="G3715" s="11" t="s">
        <v>20002</v>
      </c>
      <c r="H3715" s="11" t="s">
        <v>19995</v>
      </c>
      <c r="I3715" s="11" t="str">
        <f>HYPERLINK("http://www.imapier.it/","www.imapier.it")</f>
        <v>www.imapier.it</v>
      </c>
      <c r="J3715" s="12">
        <v>644.00199999999995</v>
      </c>
      <c r="K3715" s="12">
        <v>644.00199999999995</v>
      </c>
      <c r="L3715" s="13">
        <v>505.38400000000001</v>
      </c>
      <c r="M3715" s="12">
        <v>49.058999999999997</v>
      </c>
      <c r="N3715" s="12">
        <v>49.058999999999997</v>
      </c>
      <c r="O3715" s="12">
        <v>12.129</v>
      </c>
      <c r="P3715" s="14" t="s">
        <v>19996</v>
      </c>
      <c r="Q3715" s="14" t="s">
        <v>19996</v>
      </c>
      <c r="R3715" s="12">
        <v>9</v>
      </c>
    </row>
    <row r="3716" spans="1:18" ht="17" customHeight="1" x14ac:dyDescent="0.15">
      <c r="A3716" s="8" t="s">
        <v>20003</v>
      </c>
      <c r="B3716" s="9" t="s">
        <v>20004</v>
      </c>
      <c r="C3716" s="8" t="s">
        <v>20005</v>
      </c>
      <c r="D3716" s="8" t="s">
        <v>20005</v>
      </c>
      <c r="E3716" s="8" t="s">
        <v>20006</v>
      </c>
      <c r="F3716" s="8" t="s">
        <v>19986</v>
      </c>
      <c r="G3716" s="8" t="s">
        <v>20007</v>
      </c>
      <c r="H3716" s="8" t="s">
        <v>20008</v>
      </c>
      <c r="I3716" s="8" t="str">
        <f>HYPERLINK("http://www.ippoliti.it/","www.ippoliti.it")</f>
        <v>www.ippoliti.it</v>
      </c>
      <c r="J3716" s="10">
        <v>521.43499999999995</v>
      </c>
      <c r="K3716" s="10">
        <v>521.43499999999995</v>
      </c>
      <c r="L3716" s="10">
        <v>505.39800000000002</v>
      </c>
      <c r="M3716" s="10">
        <v>-57.36</v>
      </c>
      <c r="N3716" s="10">
        <v>-57.36</v>
      </c>
      <c r="O3716" s="10">
        <v>-10.974</v>
      </c>
      <c r="P3716" s="10">
        <v>8</v>
      </c>
      <c r="Q3716" s="10">
        <v>8</v>
      </c>
      <c r="R3716" s="10">
        <v>11</v>
      </c>
    </row>
    <row r="3717" spans="1:18" ht="17" customHeight="1" x14ac:dyDescent="0.15">
      <c r="A3717" s="11" t="s">
        <v>20009</v>
      </c>
      <c r="B3717" s="1" t="s">
        <v>20010</v>
      </c>
      <c r="C3717" s="11" t="s">
        <v>20011</v>
      </c>
      <c r="D3717" s="11" t="s">
        <v>20011</v>
      </c>
      <c r="E3717" s="11" t="s">
        <v>20012</v>
      </c>
      <c r="F3717" s="11" t="s">
        <v>19993</v>
      </c>
      <c r="G3717" s="11" t="s">
        <v>20013</v>
      </c>
      <c r="H3717" s="11" t="s">
        <v>20014</v>
      </c>
      <c r="I3717" s="11" t="str">
        <f>HYPERLINK("http://www.curvy.it/","www.curvy.it")</f>
        <v>www.curvy.it</v>
      </c>
      <c r="J3717" s="12">
        <v>595.52099999999996</v>
      </c>
      <c r="K3717" s="12">
        <v>595.52099999999996</v>
      </c>
      <c r="L3717" s="13">
        <v>503.58</v>
      </c>
      <c r="M3717" s="12">
        <v>12.363</v>
      </c>
      <c r="N3717" s="12">
        <v>12.363</v>
      </c>
      <c r="O3717" s="12">
        <v>-34.874000000000002</v>
      </c>
      <c r="P3717" s="12">
        <v>2</v>
      </c>
      <c r="Q3717" s="12">
        <v>2</v>
      </c>
      <c r="R3717" s="12">
        <v>2</v>
      </c>
    </row>
    <row r="3718" spans="1:18" ht="17" customHeight="1" x14ac:dyDescent="0.15">
      <c r="A3718" s="8" t="s">
        <v>20015</v>
      </c>
      <c r="B3718" s="9" t="s">
        <v>20016</v>
      </c>
      <c r="C3718" s="8" t="s">
        <v>20017</v>
      </c>
      <c r="D3718" s="8" t="s">
        <v>20017</v>
      </c>
      <c r="E3718" s="8" t="s">
        <v>20018</v>
      </c>
      <c r="F3718" s="8" t="s">
        <v>20019</v>
      </c>
      <c r="G3718" s="8" t="s">
        <v>20020</v>
      </c>
      <c r="H3718" s="8" t="s">
        <v>19988</v>
      </c>
      <c r="I3718" s="8" t="str">
        <f>HYPERLINK("http://www.facebook.com/profile.php?id=61565772031746","www.facebook.com/profile.php?id=61565772031746")</f>
        <v>www.facebook.com/profile.php?id=61565772031746</v>
      </c>
      <c r="J3718" s="10">
        <v>510.3</v>
      </c>
      <c r="K3718" s="10">
        <v>510.3</v>
      </c>
      <c r="L3718" s="10">
        <v>502.21100000000001</v>
      </c>
      <c r="M3718" s="10">
        <v>20.041</v>
      </c>
      <c r="N3718" s="10">
        <v>20.041</v>
      </c>
      <c r="O3718" s="10">
        <v>61.051000000000002</v>
      </c>
      <c r="P3718" s="10">
        <v>0</v>
      </c>
      <c r="Q3718" s="10">
        <v>0</v>
      </c>
      <c r="R3718" s="10">
        <v>0</v>
      </c>
    </row>
    <row r="3719" spans="1:18" ht="17" customHeight="1" x14ac:dyDescent="0.15">
      <c r="A3719" s="11" t="s">
        <v>20021</v>
      </c>
      <c r="B3719" s="1" t="s">
        <v>20022</v>
      </c>
      <c r="C3719" s="11" t="s">
        <v>20023</v>
      </c>
      <c r="D3719" s="11" t="s">
        <v>20023</v>
      </c>
      <c r="E3719" s="11" t="s">
        <v>20024</v>
      </c>
      <c r="F3719" s="11" t="s">
        <v>20025</v>
      </c>
      <c r="G3719" s="11" t="s">
        <v>20007</v>
      </c>
      <c r="H3719" s="11" t="s">
        <v>20008</v>
      </c>
      <c r="I3719" s="11" t="str">
        <f>HYPERLINK("http://www.top87.it/","www.top87.it")</f>
        <v>www.top87.it</v>
      </c>
      <c r="J3719" s="12">
        <v>546.74300000000005</v>
      </c>
      <c r="K3719" s="12">
        <v>546.74300000000005</v>
      </c>
      <c r="L3719" s="13">
        <v>501.18599999999998</v>
      </c>
      <c r="M3719" s="12">
        <v>71.367000000000004</v>
      </c>
      <c r="N3719" s="12">
        <v>71.367000000000004</v>
      </c>
      <c r="O3719" s="12">
        <v>57.594999999999999</v>
      </c>
      <c r="P3719" s="12">
        <v>2</v>
      </c>
      <c r="Q3719" s="12">
        <v>2</v>
      </c>
      <c r="R3719" s="12">
        <v>3</v>
      </c>
    </row>
    <row r="3720" spans="1:18" ht="17" customHeight="1" x14ac:dyDescent="0.15">
      <c r="A3720" s="8" t="s">
        <v>20026</v>
      </c>
      <c r="B3720" s="9" t="s">
        <v>20027</v>
      </c>
      <c r="C3720" s="8" t="s">
        <v>20028</v>
      </c>
      <c r="D3720" s="8" t="s">
        <v>20028</v>
      </c>
      <c r="E3720" s="8" t="s">
        <v>20029</v>
      </c>
      <c r="F3720" s="8" t="s">
        <v>20030</v>
      </c>
      <c r="G3720" s="8" t="s">
        <v>20031</v>
      </c>
      <c r="H3720" s="8" t="s">
        <v>20032</v>
      </c>
      <c r="I3720" s="8" t="str">
        <f>HYPERLINK("http://www.kiara-aviation.com/","www.kiara-aviation.com")</f>
        <v>www.kiara-aviation.com</v>
      </c>
      <c r="J3720" s="10">
        <v>708.75699999999995</v>
      </c>
      <c r="K3720" s="10">
        <v>708.75699999999995</v>
      </c>
      <c r="L3720" s="10">
        <v>499.988</v>
      </c>
      <c r="M3720" s="10">
        <v>98.33</v>
      </c>
      <c r="N3720" s="10">
        <v>98.33</v>
      </c>
      <c r="O3720" s="10">
        <v>6.423</v>
      </c>
      <c r="P3720" s="15" t="s">
        <v>19996</v>
      </c>
      <c r="Q3720" s="15" t="s">
        <v>19996</v>
      </c>
      <c r="R3720" s="10">
        <v>12</v>
      </c>
    </row>
    <row r="3721" spans="1:18" ht="17" customHeight="1" x14ac:dyDescent="0.15">
      <c r="A3721" s="11" t="s">
        <v>20033</v>
      </c>
      <c r="B3721" s="1" t="s">
        <v>20034</v>
      </c>
      <c r="C3721" s="11" t="s">
        <v>20035</v>
      </c>
      <c r="D3721" s="11" t="s">
        <v>20035</v>
      </c>
      <c r="E3721" s="11" t="s">
        <v>20036</v>
      </c>
      <c r="F3721" s="11" t="s">
        <v>19986</v>
      </c>
      <c r="G3721" s="11" t="s">
        <v>20037</v>
      </c>
      <c r="H3721" s="11" t="s">
        <v>20038</v>
      </c>
      <c r="I3721" s="11" t="str">
        <f>HYPERLINK("http://petronius1926.com/","petronius1926.com")</f>
        <v>petronius1926.com</v>
      </c>
      <c r="J3721" s="12">
        <v>583.37699999999995</v>
      </c>
      <c r="K3721" s="12">
        <v>583.37699999999995</v>
      </c>
      <c r="L3721" s="13">
        <v>498.92599999999999</v>
      </c>
      <c r="M3721" s="12">
        <v>7.5999999999999998E-2</v>
      </c>
      <c r="N3721" s="12">
        <v>7.5999999999999998E-2</v>
      </c>
      <c r="O3721" s="12">
        <v>2.3250000000000002</v>
      </c>
      <c r="P3721" s="12">
        <v>2</v>
      </c>
      <c r="Q3721" s="12">
        <v>2</v>
      </c>
      <c r="R3721" s="12">
        <v>3</v>
      </c>
    </row>
    <row r="3722" spans="1:18" ht="17" customHeight="1" x14ac:dyDescent="0.15">
      <c r="A3722" s="8" t="s">
        <v>20039</v>
      </c>
      <c r="B3722" s="9" t="s">
        <v>20040</v>
      </c>
      <c r="C3722" s="8" t="s">
        <v>20041</v>
      </c>
      <c r="D3722" s="8" t="s">
        <v>20041</v>
      </c>
      <c r="E3722" s="8" t="s">
        <v>20042</v>
      </c>
      <c r="F3722" s="8" t="s">
        <v>20025</v>
      </c>
      <c r="G3722" s="8" t="s">
        <v>20043</v>
      </c>
      <c r="H3722" s="8" t="s">
        <v>20014</v>
      </c>
      <c r="I3722" s="8" t="str">
        <f>HYPERLINK("http://www.cpmoka.it/","www.cpmoka.it")</f>
        <v>www.cpmoka.it</v>
      </c>
      <c r="J3722" s="10">
        <v>547.572</v>
      </c>
      <c r="K3722" s="10">
        <v>547.572</v>
      </c>
      <c r="L3722" s="10">
        <v>498.67700000000002</v>
      </c>
      <c r="M3722" s="10">
        <v>3.4279999999999999</v>
      </c>
      <c r="N3722" s="10">
        <v>3.4279999999999999</v>
      </c>
      <c r="O3722" s="10">
        <v>50.206000000000003</v>
      </c>
      <c r="P3722" s="10">
        <v>3</v>
      </c>
      <c r="Q3722" s="10">
        <v>3</v>
      </c>
      <c r="R3722" s="10">
        <v>3</v>
      </c>
    </row>
    <row r="3723" spans="1:18" ht="17" customHeight="1" x14ac:dyDescent="0.15">
      <c r="A3723" s="11" t="s">
        <v>20044</v>
      </c>
      <c r="B3723" s="1" t="s">
        <v>20045</v>
      </c>
      <c r="C3723" s="11" t="s">
        <v>20046</v>
      </c>
      <c r="D3723" s="11" t="s">
        <v>20046</v>
      </c>
      <c r="E3723" s="11" t="s">
        <v>20047</v>
      </c>
      <c r="F3723" s="11" t="s">
        <v>19993</v>
      </c>
      <c r="G3723" s="11" t="s">
        <v>20048</v>
      </c>
      <c r="H3723" s="11" t="s">
        <v>20032</v>
      </c>
      <c r="I3723" s="11" t="str">
        <f>HYPERLINK("http://www.tremonte.it/","www.tremonte.it")</f>
        <v>www.tremonte.it</v>
      </c>
      <c r="J3723" s="12">
        <v>376.17599999999999</v>
      </c>
      <c r="K3723" s="12">
        <v>376.17599999999999</v>
      </c>
      <c r="L3723" s="13">
        <v>498.279</v>
      </c>
      <c r="M3723" s="12">
        <v>24.751000000000001</v>
      </c>
      <c r="N3723" s="12">
        <v>24.751000000000001</v>
      </c>
      <c r="O3723" s="12">
        <v>14.337</v>
      </c>
      <c r="P3723" s="12">
        <v>39</v>
      </c>
      <c r="Q3723" s="12">
        <v>39</v>
      </c>
      <c r="R3723" s="12">
        <v>32</v>
      </c>
    </row>
    <row r="3724" spans="1:18" ht="17" customHeight="1" x14ac:dyDescent="0.15">
      <c r="A3724" s="8" t="s">
        <v>20049</v>
      </c>
      <c r="B3724" s="9" t="s">
        <v>20050</v>
      </c>
      <c r="C3724" s="8" t="s">
        <v>20051</v>
      </c>
      <c r="D3724" s="8" t="s">
        <v>20051</v>
      </c>
      <c r="E3724" s="8" t="s">
        <v>20052</v>
      </c>
      <c r="F3724" s="8" t="s">
        <v>20053</v>
      </c>
      <c r="G3724" s="8" t="s">
        <v>20054</v>
      </c>
      <c r="H3724" s="8" t="s">
        <v>20055</v>
      </c>
      <c r="I3724" s="8" t="str">
        <f>HYPERLINK("http://www.auroramoda.com/it/chi-siamo","www.auroramoda.com/it/chi-siamo")</f>
        <v>www.auroramoda.com/it/chi-siamo</v>
      </c>
      <c r="J3724" s="10">
        <v>544.04999999999995</v>
      </c>
      <c r="K3724" s="10">
        <v>544.04999999999995</v>
      </c>
      <c r="L3724" s="10">
        <v>497.73</v>
      </c>
      <c r="M3724" s="10">
        <v>12.494999999999999</v>
      </c>
      <c r="N3724" s="10">
        <v>12.494999999999999</v>
      </c>
      <c r="O3724" s="10">
        <v>-22.338999999999999</v>
      </c>
      <c r="P3724" s="10">
        <v>7</v>
      </c>
      <c r="Q3724" s="10">
        <v>7</v>
      </c>
      <c r="R3724" s="10">
        <v>7</v>
      </c>
    </row>
    <row r="3725" spans="1:18" ht="17" customHeight="1" x14ac:dyDescent="0.15">
      <c r="A3725" s="11" t="s">
        <v>20056</v>
      </c>
      <c r="B3725" s="1" t="s">
        <v>20057</v>
      </c>
      <c r="C3725" s="11" t="s">
        <v>20058</v>
      </c>
      <c r="D3725" s="11" t="s">
        <v>20058</v>
      </c>
      <c r="E3725" s="11" t="s">
        <v>20059</v>
      </c>
      <c r="F3725" s="11" t="s">
        <v>20060</v>
      </c>
      <c r="G3725" s="11" t="s">
        <v>20061</v>
      </c>
      <c r="H3725" s="11" t="s">
        <v>19988</v>
      </c>
      <c r="I3725" s="11" t="str">
        <f>HYPERLINK("http://www.cyclica.it/","www.cyclica.it")</f>
        <v>www.cyclica.it</v>
      </c>
      <c r="J3725" s="12">
        <v>615.78700000000003</v>
      </c>
      <c r="K3725" s="12">
        <v>615.78700000000003</v>
      </c>
      <c r="L3725" s="13">
        <v>497.31200000000001</v>
      </c>
      <c r="M3725" s="12">
        <v>109.33499999999999</v>
      </c>
      <c r="N3725" s="12">
        <v>109.33499999999999</v>
      </c>
      <c r="O3725" s="12">
        <v>88.093000000000004</v>
      </c>
      <c r="P3725" s="12">
        <v>0</v>
      </c>
      <c r="Q3725" s="12">
        <v>0</v>
      </c>
      <c r="R3725" s="12">
        <v>0</v>
      </c>
    </row>
    <row r="3726" spans="1:18" ht="17" customHeight="1" x14ac:dyDescent="0.15">
      <c r="A3726" s="8" t="s">
        <v>20062</v>
      </c>
      <c r="B3726" s="9" t="s">
        <v>20063</v>
      </c>
      <c r="C3726" s="8" t="s">
        <v>20064</v>
      </c>
      <c r="D3726" s="8" t="s">
        <v>20064</v>
      </c>
      <c r="E3726" s="8" t="s">
        <v>20065</v>
      </c>
      <c r="F3726" s="8" t="s">
        <v>20060</v>
      </c>
      <c r="G3726" s="8" t="s">
        <v>20031</v>
      </c>
      <c r="H3726" s="8" t="s">
        <v>20032</v>
      </c>
      <c r="I3726" s="8" t="str">
        <f>HYPERLINK("http://capinpelle24.com/","capinpelle24.com")</f>
        <v>capinpelle24.com</v>
      </c>
      <c r="J3726" s="10">
        <v>496.75</v>
      </c>
      <c r="K3726" s="15" t="s">
        <v>19996</v>
      </c>
      <c r="L3726" s="10">
        <v>496.75</v>
      </c>
      <c r="M3726" s="10">
        <v>-604.97799999999995</v>
      </c>
      <c r="N3726" s="15" t="s">
        <v>19996</v>
      </c>
      <c r="O3726" s="10">
        <v>-604.97799999999995</v>
      </c>
      <c r="P3726" s="10">
        <v>8</v>
      </c>
      <c r="Q3726" s="15" t="s">
        <v>19996</v>
      </c>
      <c r="R3726" s="10">
        <v>8</v>
      </c>
    </row>
    <row r="3727" spans="1:18" ht="17" customHeight="1" x14ac:dyDescent="0.15">
      <c r="A3727" s="11" t="s">
        <v>20066</v>
      </c>
      <c r="B3727" s="1" t="s">
        <v>20067</v>
      </c>
      <c r="C3727" s="11" t="s">
        <v>20068</v>
      </c>
      <c r="D3727" s="11" t="s">
        <v>20068</v>
      </c>
      <c r="E3727" s="11" t="s">
        <v>20069</v>
      </c>
      <c r="F3727" s="11" t="s">
        <v>20070</v>
      </c>
      <c r="G3727" s="11" t="s">
        <v>20071</v>
      </c>
      <c r="H3727" s="11" t="s">
        <v>20055</v>
      </c>
      <c r="I3727" s="11" t="str">
        <f>HYPERLINK("http://www.calzaturificioluca.it/","www.calzaturificioluca.it")</f>
        <v>www.calzaturificioluca.it</v>
      </c>
      <c r="J3727" s="12">
        <v>309.95999999999998</v>
      </c>
      <c r="K3727" s="12">
        <v>309.95999999999998</v>
      </c>
      <c r="L3727" s="13">
        <v>496.80500000000001</v>
      </c>
      <c r="M3727" s="12">
        <v>0.81</v>
      </c>
      <c r="N3727" s="12">
        <v>0.81</v>
      </c>
      <c r="O3727" s="12">
        <v>7.9260000000000002</v>
      </c>
      <c r="P3727" s="12">
        <v>5</v>
      </c>
      <c r="Q3727" s="12">
        <v>5</v>
      </c>
      <c r="R3727" s="12">
        <v>6</v>
      </c>
    </row>
    <row r="3728" spans="1:18" ht="17" customHeight="1" x14ac:dyDescent="0.15">
      <c r="A3728" s="8" t="s">
        <v>20072</v>
      </c>
      <c r="B3728" s="9" t="s">
        <v>20073</v>
      </c>
      <c r="C3728" s="8" t="s">
        <v>20074</v>
      </c>
      <c r="D3728" s="8" t="s">
        <v>20074</v>
      </c>
      <c r="E3728" s="8" t="s">
        <v>20075</v>
      </c>
      <c r="F3728" s="8" t="s">
        <v>20076</v>
      </c>
      <c r="G3728" s="8" t="s">
        <v>20061</v>
      </c>
      <c r="H3728" s="8" t="s">
        <v>19988</v>
      </c>
      <c r="I3728" s="8" t="str">
        <f>HYPERLINK("http://www.posturalpoint.com/","www.posturalpoint.com")</f>
        <v>www.posturalpoint.com</v>
      </c>
      <c r="J3728" s="10">
        <v>450.7</v>
      </c>
      <c r="K3728" s="10">
        <v>450.7</v>
      </c>
      <c r="L3728" s="10">
        <v>496.70699999999999</v>
      </c>
      <c r="M3728" s="10">
        <v>3.7839999999999998</v>
      </c>
      <c r="N3728" s="10">
        <v>3.7839999999999998</v>
      </c>
      <c r="O3728" s="10">
        <v>34.779000000000003</v>
      </c>
      <c r="P3728" s="15" t="s">
        <v>19996</v>
      </c>
      <c r="Q3728" s="15" t="s">
        <v>19996</v>
      </c>
      <c r="R3728" s="10">
        <v>5</v>
      </c>
    </row>
    <row r="3729" spans="1:18" ht="17" customHeight="1" x14ac:dyDescent="0.15">
      <c r="A3729" s="11" t="s">
        <v>20077</v>
      </c>
      <c r="B3729" s="1" t="s">
        <v>20078</v>
      </c>
      <c r="C3729" s="11" t="s">
        <v>20079</v>
      </c>
      <c r="D3729" s="11" t="s">
        <v>20079</v>
      </c>
      <c r="E3729" s="11" t="s">
        <v>20080</v>
      </c>
      <c r="F3729" s="11" t="s">
        <v>19986</v>
      </c>
      <c r="G3729" s="11" t="s">
        <v>20007</v>
      </c>
      <c r="H3729" s="11" t="s">
        <v>20008</v>
      </c>
      <c r="I3729" s="11" t="str">
        <f>HYPERLINK("http://www.littlestar4pets.com/","www.littlestar4pets.com")</f>
        <v>www.littlestar4pets.com</v>
      </c>
      <c r="J3729" s="12">
        <v>750.76800000000003</v>
      </c>
      <c r="K3729" s="12">
        <v>750.76800000000003</v>
      </c>
      <c r="L3729" s="13">
        <v>494.75799999999998</v>
      </c>
      <c r="M3729" s="12">
        <v>4.2709999999999999</v>
      </c>
      <c r="N3729" s="12">
        <v>4.2709999999999999</v>
      </c>
      <c r="O3729" s="12">
        <v>-26.228000000000002</v>
      </c>
      <c r="P3729" s="12">
        <v>7</v>
      </c>
      <c r="Q3729" s="12">
        <v>7</v>
      </c>
      <c r="R3729" s="12">
        <v>7</v>
      </c>
    </row>
    <row r="3730" spans="1:18" ht="29.5" customHeight="1" x14ac:dyDescent="0.15">
      <c r="A3730" s="8" t="s">
        <v>20081</v>
      </c>
      <c r="B3730" s="9" t="s">
        <v>20082</v>
      </c>
      <c r="C3730" s="8" t="s">
        <v>20083</v>
      </c>
      <c r="D3730" s="8" t="s">
        <v>20083</v>
      </c>
      <c r="E3730" s="8" t="s">
        <v>20084</v>
      </c>
      <c r="F3730" s="8" t="s">
        <v>20085</v>
      </c>
      <c r="G3730" s="8" t="s">
        <v>20086</v>
      </c>
      <c r="H3730" s="8" t="s">
        <v>20087</v>
      </c>
      <c r="I3730" s="8" t="str">
        <f>HYPERLINK("http://www.intimolajole.it/","www.intimolajole.it")</f>
        <v>www.intimolajole.it</v>
      </c>
      <c r="J3730" s="10">
        <v>512.61</v>
      </c>
      <c r="K3730" s="10">
        <v>512.61</v>
      </c>
      <c r="L3730" s="10">
        <v>494.75799999999998</v>
      </c>
      <c r="M3730" s="10">
        <v>5.8239999999999998</v>
      </c>
      <c r="N3730" s="10">
        <v>5.8239999999999998</v>
      </c>
      <c r="O3730" s="10">
        <v>-26.349</v>
      </c>
      <c r="P3730" s="15" t="s">
        <v>19996</v>
      </c>
      <c r="Q3730" s="15" t="s">
        <v>19996</v>
      </c>
      <c r="R3730" s="10">
        <v>13</v>
      </c>
    </row>
    <row r="3731" spans="1:18" ht="17" customHeight="1" x14ac:dyDescent="0.15">
      <c r="A3731" s="11" t="s">
        <v>20088</v>
      </c>
      <c r="B3731" s="1" t="s">
        <v>20089</v>
      </c>
      <c r="C3731" s="11" t="s">
        <v>20090</v>
      </c>
      <c r="D3731" s="11" t="s">
        <v>20090</v>
      </c>
      <c r="E3731" s="11" t="s">
        <v>20091</v>
      </c>
      <c r="F3731" s="11" t="s">
        <v>20060</v>
      </c>
      <c r="G3731" s="11" t="s">
        <v>20092</v>
      </c>
      <c r="H3731" s="11" t="s">
        <v>19988</v>
      </c>
      <c r="I3731" s="11" t="str">
        <f>HYPERLINK("http://www.galiottodesign.it/","www.galiottodesign.it")</f>
        <v>www.galiottodesign.it</v>
      </c>
      <c r="J3731" s="12">
        <v>538.34900000000005</v>
      </c>
      <c r="K3731" s="12">
        <v>538.34900000000005</v>
      </c>
      <c r="L3731" s="13">
        <v>494.673</v>
      </c>
      <c r="M3731" s="12">
        <v>1.6679999999999999</v>
      </c>
      <c r="N3731" s="12">
        <v>1.6679999999999999</v>
      </c>
      <c r="O3731" s="12">
        <v>-2.8740000000000001</v>
      </c>
      <c r="P3731" s="14" t="s">
        <v>19996</v>
      </c>
      <c r="Q3731" s="14" t="s">
        <v>19996</v>
      </c>
      <c r="R3731" s="12">
        <v>11</v>
      </c>
    </row>
    <row r="3732" spans="1:18" ht="17" customHeight="1" x14ac:dyDescent="0.15">
      <c r="A3732" s="8" t="s">
        <v>20093</v>
      </c>
      <c r="B3732" s="9" t="s">
        <v>20094</v>
      </c>
      <c r="C3732" s="8" t="s">
        <v>20095</v>
      </c>
      <c r="D3732" s="8" t="s">
        <v>20095</v>
      </c>
      <c r="E3732" s="8" t="s">
        <v>20096</v>
      </c>
      <c r="F3732" s="8" t="s">
        <v>20097</v>
      </c>
      <c r="G3732" s="8" t="s">
        <v>20054</v>
      </c>
      <c r="H3732" s="8" t="s">
        <v>20055</v>
      </c>
      <c r="I3732" s="8" t="str">
        <f>HYPERLINK("http://www.stephennewline.it/","www.stephennewline.it")</f>
        <v>www.stephennewline.it</v>
      </c>
      <c r="J3732" s="10">
        <v>782.62400000000002</v>
      </c>
      <c r="K3732" s="10">
        <v>782.62400000000002</v>
      </c>
      <c r="L3732" s="10">
        <v>494.048</v>
      </c>
      <c r="M3732" s="10">
        <v>19.015000000000001</v>
      </c>
      <c r="N3732" s="10">
        <v>19.015000000000001</v>
      </c>
      <c r="O3732" s="10">
        <v>18.395</v>
      </c>
      <c r="P3732" s="10">
        <v>4</v>
      </c>
      <c r="Q3732" s="10">
        <v>4</v>
      </c>
      <c r="R3732" s="10">
        <v>4</v>
      </c>
    </row>
    <row r="3733" spans="1:18" ht="17" customHeight="1" x14ac:dyDescent="0.15">
      <c r="A3733" s="11" t="s">
        <v>20098</v>
      </c>
      <c r="B3733" s="1" t="s">
        <v>20099</v>
      </c>
      <c r="C3733" s="11" t="s">
        <v>20100</v>
      </c>
      <c r="D3733" s="11" t="s">
        <v>20100</v>
      </c>
      <c r="E3733" s="11" t="s">
        <v>20101</v>
      </c>
      <c r="F3733" s="11" t="s">
        <v>19993</v>
      </c>
      <c r="G3733" s="11" t="s">
        <v>20102</v>
      </c>
      <c r="H3733" s="11" t="s">
        <v>20014</v>
      </c>
      <c r="I3733" s="11" t="str">
        <f>HYPERLINK("http://www.devidsrl.it/","www.devidsrl.it")</f>
        <v>www.devidsrl.it</v>
      </c>
      <c r="J3733" s="12">
        <v>483.20699999999999</v>
      </c>
      <c r="K3733" s="12">
        <v>483.20699999999999</v>
      </c>
      <c r="L3733" s="13">
        <v>493.93599999999998</v>
      </c>
      <c r="M3733" s="12">
        <v>70.694999999999993</v>
      </c>
      <c r="N3733" s="12">
        <v>70.694999999999993</v>
      </c>
      <c r="O3733" s="12">
        <v>19.062000000000001</v>
      </c>
      <c r="P3733" s="12">
        <v>6</v>
      </c>
      <c r="Q3733" s="12">
        <v>6</v>
      </c>
      <c r="R3733" s="12">
        <v>5</v>
      </c>
    </row>
    <row r="3734" spans="1:18" ht="17" customHeight="1" x14ac:dyDescent="0.15">
      <c r="A3734" s="8" t="s">
        <v>20103</v>
      </c>
      <c r="B3734" s="9" t="s">
        <v>20104</v>
      </c>
      <c r="C3734" s="8" t="s">
        <v>20105</v>
      </c>
      <c r="D3734" s="8" t="s">
        <v>20105</v>
      </c>
      <c r="E3734" s="8" t="s">
        <v>20106</v>
      </c>
      <c r="F3734" s="8" t="s">
        <v>20107</v>
      </c>
      <c r="G3734" s="8" t="s">
        <v>20061</v>
      </c>
      <c r="H3734" s="8" t="s">
        <v>19988</v>
      </c>
      <c r="I3734" s="8" t="str">
        <f>HYPERLINK("http://www.saracreazioni.eu/","www.saracreazioni.eu")</f>
        <v>www.saracreazioni.eu</v>
      </c>
      <c r="J3734" s="10">
        <v>473.596</v>
      </c>
      <c r="K3734" s="10">
        <v>473.596</v>
      </c>
      <c r="L3734" s="10">
        <v>493.697</v>
      </c>
      <c r="M3734" s="10">
        <v>-21.405000000000001</v>
      </c>
      <c r="N3734" s="10">
        <v>-21.405000000000001</v>
      </c>
      <c r="O3734" s="10">
        <v>32.345999999999997</v>
      </c>
      <c r="P3734" s="15" t="s">
        <v>19996</v>
      </c>
      <c r="Q3734" s="15" t="s">
        <v>19996</v>
      </c>
      <c r="R3734" s="10">
        <v>6</v>
      </c>
    </row>
    <row r="3735" spans="1:18" ht="17" customHeight="1" x14ac:dyDescent="0.15">
      <c r="A3735" s="11" t="s">
        <v>20108</v>
      </c>
      <c r="B3735" s="1" t="s">
        <v>20109</v>
      </c>
      <c r="C3735" s="11" t="s">
        <v>20110</v>
      </c>
      <c r="D3735" s="11" t="s">
        <v>20110</v>
      </c>
      <c r="E3735" s="11" t="s">
        <v>20111</v>
      </c>
      <c r="F3735" s="11" t="s">
        <v>20112</v>
      </c>
      <c r="G3735" s="11" t="s">
        <v>20113</v>
      </c>
      <c r="H3735" s="11" t="s">
        <v>20114</v>
      </c>
      <c r="I3735" s="11" t="str">
        <f>HYPERLINK("http://www.caponitacchificio.it/","www.caponitacchificio.it")</f>
        <v>www.caponitacchificio.it</v>
      </c>
      <c r="J3735" s="12">
        <v>442.423</v>
      </c>
      <c r="K3735" s="12">
        <v>442.423</v>
      </c>
      <c r="L3735" s="13">
        <v>493.37299999999999</v>
      </c>
      <c r="M3735" s="12">
        <v>1.33</v>
      </c>
      <c r="N3735" s="12">
        <v>1.33</v>
      </c>
      <c r="O3735" s="12">
        <v>9.6999999999999993</v>
      </c>
      <c r="P3735" s="12">
        <v>3</v>
      </c>
      <c r="Q3735" s="12">
        <v>3</v>
      </c>
      <c r="R3735" s="12">
        <v>5</v>
      </c>
    </row>
    <row r="3736" spans="1:18" ht="29.5" customHeight="1" x14ac:dyDescent="0.15">
      <c r="A3736" s="8" t="s">
        <v>20115</v>
      </c>
      <c r="B3736" s="9" t="s">
        <v>20116</v>
      </c>
      <c r="C3736" s="8" t="s">
        <v>20117</v>
      </c>
      <c r="D3736" s="8" t="s">
        <v>20117</v>
      </c>
      <c r="E3736" s="8" t="s">
        <v>20118</v>
      </c>
      <c r="F3736" s="8" t="s">
        <v>20076</v>
      </c>
      <c r="G3736" s="8" t="s">
        <v>20054</v>
      </c>
      <c r="H3736" s="8" t="s">
        <v>20055</v>
      </c>
      <c r="I3736" s="8" t="str">
        <f>HYPERLINK("http://www.suolificiocentroitalia.it/","www.suolificiocentroitalia.it")</f>
        <v>www.suolificiocentroitalia.it</v>
      </c>
      <c r="J3736" s="10">
        <v>541.75400000000002</v>
      </c>
      <c r="K3736" s="10">
        <v>541.75400000000002</v>
      </c>
      <c r="L3736" s="10">
        <v>493.07100000000003</v>
      </c>
      <c r="M3736" s="10">
        <v>29.163</v>
      </c>
      <c r="N3736" s="10">
        <v>29.163</v>
      </c>
      <c r="O3736" s="10">
        <v>31.641999999999999</v>
      </c>
      <c r="P3736" s="10">
        <v>4</v>
      </c>
      <c r="Q3736" s="10">
        <v>4</v>
      </c>
      <c r="R3736" s="10">
        <v>3</v>
      </c>
    </row>
    <row r="3737" spans="1:18" ht="55.75" customHeight="1" x14ac:dyDescent="0.15">
      <c r="A3737" s="11" t="s">
        <v>20119</v>
      </c>
      <c r="B3737" s="1" t="s">
        <v>20120</v>
      </c>
      <c r="C3737" s="11" t="s">
        <v>20121</v>
      </c>
      <c r="D3737" s="11" t="s">
        <v>20121</v>
      </c>
      <c r="E3737" s="11" t="s">
        <v>20122</v>
      </c>
      <c r="F3737" s="11" t="s">
        <v>20107</v>
      </c>
      <c r="G3737" s="11" t="s">
        <v>20043</v>
      </c>
      <c r="H3737" s="11" t="s">
        <v>20014</v>
      </c>
      <c r="I3737" s="11" t="str">
        <f>HYPERLINK("http://modacom.it/","modacom.it")</f>
        <v>modacom.it</v>
      </c>
      <c r="J3737" s="12">
        <v>569.52300000000002</v>
      </c>
      <c r="K3737" s="12">
        <v>569.52300000000002</v>
      </c>
      <c r="L3737" s="13">
        <v>492.88799999999998</v>
      </c>
      <c r="M3737" s="12">
        <v>0.64900000000000002</v>
      </c>
      <c r="N3737" s="12">
        <v>0.64900000000000002</v>
      </c>
      <c r="O3737" s="12">
        <v>6.2859999999999996</v>
      </c>
      <c r="P3737" s="12">
        <v>2</v>
      </c>
      <c r="Q3737" s="12">
        <v>2</v>
      </c>
      <c r="R3737" s="12">
        <v>0</v>
      </c>
    </row>
    <row r="3738" spans="1:18" ht="17" customHeight="1" x14ac:dyDescent="0.15">
      <c r="A3738" s="8" t="s">
        <v>20123</v>
      </c>
      <c r="B3738" s="9" t="s">
        <v>20124</v>
      </c>
      <c r="C3738" s="8" t="s">
        <v>20125</v>
      </c>
      <c r="D3738" s="8" t="s">
        <v>20125</v>
      </c>
      <c r="E3738" s="8" t="s">
        <v>20126</v>
      </c>
      <c r="F3738" s="8" t="s">
        <v>19986</v>
      </c>
      <c r="G3738" s="8" t="s">
        <v>20127</v>
      </c>
      <c r="H3738" s="8" t="s">
        <v>20114</v>
      </c>
      <c r="I3738" s="8" t="str">
        <f>HYPERLINK("http://www.jumpsrl.eu/","www.jumpsrl.eu")</f>
        <v>www.jumpsrl.eu</v>
      </c>
      <c r="J3738" s="10">
        <v>726.41899999999998</v>
      </c>
      <c r="K3738" s="10">
        <v>726.41899999999998</v>
      </c>
      <c r="L3738" s="10">
        <v>492.80099999999999</v>
      </c>
      <c r="M3738" s="10">
        <v>8.7629999999999999</v>
      </c>
      <c r="N3738" s="10">
        <v>8.7629999999999999</v>
      </c>
      <c r="O3738" s="10">
        <v>1.633</v>
      </c>
      <c r="P3738" s="10">
        <v>2</v>
      </c>
      <c r="Q3738" s="10">
        <v>2</v>
      </c>
      <c r="R3738" s="10">
        <v>2</v>
      </c>
    </row>
    <row r="3739" spans="1:18" ht="17" customHeight="1" x14ac:dyDescent="0.15">
      <c r="A3739" s="11" t="s">
        <v>20128</v>
      </c>
      <c r="B3739" s="1" t="s">
        <v>20129</v>
      </c>
      <c r="C3739" s="11" t="s">
        <v>20130</v>
      </c>
      <c r="D3739" s="11" t="s">
        <v>20130</v>
      </c>
      <c r="E3739" s="11" t="s">
        <v>20131</v>
      </c>
      <c r="F3739" s="11" t="s">
        <v>20132</v>
      </c>
      <c r="G3739" s="11" t="s">
        <v>20133</v>
      </c>
      <c r="H3739" s="11" t="s">
        <v>19988</v>
      </c>
      <c r="I3739" s="11" t="str">
        <f>HYPERLINK("http://www.ferrofashion.it/","www.ferrofashion.it")</f>
        <v>www.ferrofashion.it</v>
      </c>
      <c r="J3739" s="12">
        <v>440.483</v>
      </c>
      <c r="K3739" s="12">
        <v>440.483</v>
      </c>
      <c r="L3739" s="13">
        <v>492.68299999999999</v>
      </c>
      <c r="M3739" s="12">
        <v>51.058999999999997</v>
      </c>
      <c r="N3739" s="12">
        <v>51.058999999999997</v>
      </c>
      <c r="O3739" s="12">
        <v>17.648</v>
      </c>
      <c r="P3739" s="12">
        <v>2</v>
      </c>
      <c r="Q3739" s="12">
        <v>2</v>
      </c>
      <c r="R3739" s="12">
        <v>3</v>
      </c>
    </row>
    <row r="3740" spans="1:18" ht="29.5" customHeight="1" x14ac:dyDescent="0.15">
      <c r="A3740" s="8" t="s">
        <v>20134</v>
      </c>
      <c r="B3740" s="9" t="s">
        <v>20135</v>
      </c>
      <c r="C3740" s="8" t="s">
        <v>20136</v>
      </c>
      <c r="D3740" s="8" t="s">
        <v>20136</v>
      </c>
      <c r="E3740" s="8" t="s">
        <v>20137</v>
      </c>
      <c r="F3740" s="8" t="s">
        <v>20070</v>
      </c>
      <c r="G3740" s="8" t="s">
        <v>20138</v>
      </c>
      <c r="H3740" s="8" t="s">
        <v>20032</v>
      </c>
      <c r="I3740" s="8" t="str">
        <f>HYPERLINK("http://emanuelacaruso.com/","emanuelacaruso.com")</f>
        <v>emanuelacaruso.com</v>
      </c>
      <c r="J3740" s="10">
        <v>555.49099999999999</v>
      </c>
      <c r="K3740" s="10">
        <v>555.49099999999999</v>
      </c>
      <c r="L3740" s="10">
        <v>492.25299999999999</v>
      </c>
      <c r="M3740" s="10">
        <v>5.9160000000000004</v>
      </c>
      <c r="N3740" s="10">
        <v>5.9160000000000004</v>
      </c>
      <c r="O3740" s="10">
        <v>6.3579999999999997</v>
      </c>
      <c r="P3740" s="10">
        <v>5</v>
      </c>
      <c r="Q3740" s="10">
        <v>5</v>
      </c>
      <c r="R3740" s="10">
        <v>4</v>
      </c>
    </row>
    <row r="3741" spans="1:18" ht="17" customHeight="1" x14ac:dyDescent="0.15">
      <c r="A3741" s="11" t="s">
        <v>20139</v>
      </c>
      <c r="B3741" s="1" t="s">
        <v>20140</v>
      </c>
      <c r="C3741" s="11" t="s">
        <v>20141</v>
      </c>
      <c r="D3741" s="11" t="s">
        <v>20141</v>
      </c>
      <c r="E3741" s="11" t="s">
        <v>20142</v>
      </c>
      <c r="F3741" s="11" t="s">
        <v>20112</v>
      </c>
      <c r="G3741" s="11" t="s">
        <v>20143</v>
      </c>
      <c r="H3741" s="11" t="s">
        <v>20114</v>
      </c>
      <c r="I3741" s="11" t="str">
        <f>HYPERLINK("http://www.brunosfirenze.it/","www.brunosfirenze.it")</f>
        <v>www.brunosfirenze.it</v>
      </c>
      <c r="J3741" s="12">
        <v>807.053</v>
      </c>
      <c r="K3741" s="12">
        <v>807.053</v>
      </c>
      <c r="L3741" s="13">
        <v>490.721</v>
      </c>
      <c r="M3741" s="12">
        <v>-29.472000000000001</v>
      </c>
      <c r="N3741" s="12">
        <v>-29.472000000000001</v>
      </c>
      <c r="O3741" s="12">
        <v>-65.498999999999995</v>
      </c>
      <c r="P3741" s="14" t="s">
        <v>19996</v>
      </c>
      <c r="Q3741" s="14" t="s">
        <v>19996</v>
      </c>
      <c r="R3741" s="12">
        <v>6</v>
      </c>
    </row>
    <row r="3742" spans="1:18" ht="29.5" customHeight="1" x14ac:dyDescent="0.15">
      <c r="A3742" s="8" t="s">
        <v>20144</v>
      </c>
      <c r="B3742" s="9" t="s">
        <v>20145</v>
      </c>
      <c r="C3742" s="8" t="s">
        <v>20146</v>
      </c>
      <c r="D3742" s="8" t="s">
        <v>20146</v>
      </c>
      <c r="E3742" s="8" t="s">
        <v>20147</v>
      </c>
      <c r="F3742" s="8" t="s">
        <v>20053</v>
      </c>
      <c r="G3742" s="8" t="s">
        <v>20037</v>
      </c>
      <c r="H3742" s="8" t="s">
        <v>20038</v>
      </c>
      <c r="I3742" s="8" t="str">
        <f>HYPERLINK("http://www.sartoriamagistroni.it/","www.sartoriamagistroni.it")</f>
        <v>www.sartoriamagistroni.it</v>
      </c>
      <c r="J3742" s="10">
        <v>499.33499999999998</v>
      </c>
      <c r="K3742" s="10">
        <v>499.33499999999998</v>
      </c>
      <c r="L3742" s="10">
        <v>490.411</v>
      </c>
      <c r="M3742" s="10">
        <v>4.8959999999999999</v>
      </c>
      <c r="N3742" s="10">
        <v>4.8959999999999999</v>
      </c>
      <c r="O3742" s="10">
        <v>-4.3280000000000003</v>
      </c>
      <c r="P3742" s="10">
        <v>5</v>
      </c>
      <c r="Q3742" s="10">
        <v>5</v>
      </c>
      <c r="R3742" s="10">
        <v>6</v>
      </c>
    </row>
    <row r="3743" spans="1:18" ht="17" customHeight="1" x14ac:dyDescent="0.15">
      <c r="A3743" s="11" t="s">
        <v>20148</v>
      </c>
      <c r="B3743" s="1" t="s">
        <v>20149</v>
      </c>
      <c r="C3743" s="11" t="s">
        <v>20150</v>
      </c>
      <c r="D3743" s="11" t="s">
        <v>20150</v>
      </c>
      <c r="E3743" s="11" t="s">
        <v>20151</v>
      </c>
      <c r="F3743" s="11" t="s">
        <v>20076</v>
      </c>
      <c r="G3743" s="11" t="s">
        <v>20152</v>
      </c>
      <c r="H3743" s="11" t="s">
        <v>20114</v>
      </c>
      <c r="I3743" s="11" t="str">
        <f>HYPERLINK("http://www.calzaturificiosmeg.it/","www.calzaturificiosmeg.it")</f>
        <v>www.calzaturificiosmeg.it</v>
      </c>
      <c r="J3743" s="12">
        <v>489.39600000000002</v>
      </c>
      <c r="K3743" s="14" t="s">
        <v>19996</v>
      </c>
      <c r="L3743" s="13">
        <v>489.39600000000002</v>
      </c>
      <c r="M3743" s="12">
        <v>-80.957999999999998</v>
      </c>
      <c r="N3743" s="14" t="s">
        <v>19996</v>
      </c>
      <c r="O3743" s="12">
        <v>-80.957999999999998</v>
      </c>
      <c r="P3743" s="12">
        <v>9</v>
      </c>
      <c r="Q3743" s="14" t="s">
        <v>19996</v>
      </c>
      <c r="R3743" s="12">
        <v>9</v>
      </c>
    </row>
    <row r="3744" spans="1:18" ht="17" customHeight="1" x14ac:dyDescent="0.15">
      <c r="A3744" s="8" t="s">
        <v>20153</v>
      </c>
      <c r="B3744" s="9" t="s">
        <v>20154</v>
      </c>
      <c r="C3744" s="8" t="s">
        <v>20155</v>
      </c>
      <c r="D3744" s="8" t="s">
        <v>20155</v>
      </c>
      <c r="E3744" s="8" t="s">
        <v>20156</v>
      </c>
      <c r="F3744" s="8" t="s">
        <v>20112</v>
      </c>
      <c r="G3744" s="8" t="s">
        <v>19987</v>
      </c>
      <c r="H3744" s="8" t="s">
        <v>19988</v>
      </c>
      <c r="I3744" s="8" t="str">
        <f>HYPERLINK("http://www.calzaturetrebi.it/","www.calzaturetrebi.it")</f>
        <v>www.calzaturetrebi.it</v>
      </c>
      <c r="J3744" s="10">
        <v>445.15899999999999</v>
      </c>
      <c r="K3744" s="10">
        <v>445.15899999999999</v>
      </c>
      <c r="L3744" s="10">
        <v>489.10399999999998</v>
      </c>
      <c r="M3744" s="10">
        <v>58.561</v>
      </c>
      <c r="N3744" s="10">
        <v>58.561</v>
      </c>
      <c r="O3744" s="10">
        <v>3.8919999999999999</v>
      </c>
      <c r="P3744" s="10">
        <v>3</v>
      </c>
      <c r="Q3744" s="10">
        <v>3</v>
      </c>
      <c r="R3744" s="10">
        <v>3</v>
      </c>
    </row>
    <row r="3745" spans="1:18" ht="17" customHeight="1" x14ac:dyDescent="0.15">
      <c r="A3745" s="11" t="s">
        <v>20157</v>
      </c>
      <c r="B3745" s="1" t="s">
        <v>20158</v>
      </c>
      <c r="C3745" s="11" t="s">
        <v>20159</v>
      </c>
      <c r="D3745" s="11" t="s">
        <v>20159</v>
      </c>
      <c r="E3745" s="11" t="s">
        <v>20160</v>
      </c>
      <c r="F3745" s="11" t="s">
        <v>20161</v>
      </c>
      <c r="G3745" s="11" t="s">
        <v>20162</v>
      </c>
      <c r="H3745" s="11" t="s">
        <v>20163</v>
      </c>
      <c r="I3745" s="11" t="str">
        <f>HYPERLINK("http://www.camiceriasannino.com/","www.camiceriasannino.com")</f>
        <v>www.camiceriasannino.com</v>
      </c>
      <c r="J3745" s="12">
        <v>888.17600000000004</v>
      </c>
      <c r="K3745" s="12">
        <v>888.17600000000004</v>
      </c>
      <c r="L3745" s="13">
        <v>488.72699999999998</v>
      </c>
      <c r="M3745" s="12">
        <v>69.272000000000006</v>
      </c>
      <c r="N3745" s="12">
        <v>69.272000000000006</v>
      </c>
      <c r="O3745" s="12">
        <v>-51.91</v>
      </c>
      <c r="P3745" s="12">
        <v>14</v>
      </c>
      <c r="Q3745" s="12">
        <v>14</v>
      </c>
      <c r="R3745" s="12">
        <v>16</v>
      </c>
    </row>
    <row r="3746" spans="1:18" ht="17" customHeight="1" x14ac:dyDescent="0.15">
      <c r="A3746" s="8" t="s">
        <v>20164</v>
      </c>
      <c r="B3746" s="9" t="s">
        <v>20165</v>
      </c>
      <c r="C3746" s="8" t="s">
        <v>20166</v>
      </c>
      <c r="D3746" s="8" t="s">
        <v>20166</v>
      </c>
      <c r="E3746" s="8" t="s">
        <v>20167</v>
      </c>
      <c r="F3746" s="8" t="s">
        <v>20168</v>
      </c>
      <c r="G3746" s="8" t="s">
        <v>20169</v>
      </c>
      <c r="H3746" s="8" t="s">
        <v>20170</v>
      </c>
      <c r="I3746" s="8" t="str">
        <f>HYPERLINK("http://www.barbed.it/","www.barbed.it")</f>
        <v>www.barbed.it</v>
      </c>
      <c r="J3746" s="10">
        <v>488.00099999999998</v>
      </c>
      <c r="K3746" s="15" t="s">
        <v>20171</v>
      </c>
      <c r="L3746" s="10">
        <v>488.00099999999998</v>
      </c>
      <c r="M3746" s="10">
        <v>5.05</v>
      </c>
      <c r="N3746" s="15" t="s">
        <v>20171</v>
      </c>
      <c r="O3746" s="10">
        <v>5.05</v>
      </c>
      <c r="P3746" s="15" t="s">
        <v>20171</v>
      </c>
      <c r="Q3746" s="15" t="s">
        <v>20171</v>
      </c>
      <c r="R3746" s="15" t="s">
        <v>20171</v>
      </c>
    </row>
    <row r="3747" spans="1:18" ht="17" customHeight="1" x14ac:dyDescent="0.15">
      <c r="A3747" s="11" t="s">
        <v>20172</v>
      </c>
      <c r="B3747" s="1" t="s">
        <v>20173</v>
      </c>
      <c r="C3747" s="11" t="s">
        <v>20174</v>
      </c>
      <c r="D3747" s="11" t="s">
        <v>20174</v>
      </c>
      <c r="E3747" s="11" t="s">
        <v>20175</v>
      </c>
      <c r="F3747" s="11" t="s">
        <v>20176</v>
      </c>
      <c r="G3747" s="11" t="s">
        <v>20177</v>
      </c>
      <c r="H3747" s="11" t="s">
        <v>20170</v>
      </c>
      <c r="I3747" s="11" t="str">
        <f>HYPERLINK("http://www.arron.it/","www.arron.it")</f>
        <v>www.arron.it</v>
      </c>
      <c r="J3747" s="12">
        <v>613.35900000000004</v>
      </c>
      <c r="K3747" s="12">
        <v>613.35900000000004</v>
      </c>
      <c r="L3747" s="13">
        <v>487.59500000000003</v>
      </c>
      <c r="M3747" s="12">
        <v>3.1859999999999999</v>
      </c>
      <c r="N3747" s="12">
        <v>3.1859999999999999</v>
      </c>
      <c r="O3747" s="12">
        <v>2.2229999999999999</v>
      </c>
      <c r="P3747" s="12">
        <v>7</v>
      </c>
      <c r="Q3747" s="12">
        <v>7</v>
      </c>
      <c r="R3747" s="12">
        <v>6</v>
      </c>
    </row>
    <row r="3748" spans="1:18" ht="17" customHeight="1" x14ac:dyDescent="0.15">
      <c r="A3748" s="8" t="s">
        <v>20178</v>
      </c>
      <c r="B3748" s="9" t="s">
        <v>20179</v>
      </c>
      <c r="C3748" s="8" t="s">
        <v>20180</v>
      </c>
      <c r="D3748" s="8" t="s">
        <v>20180</v>
      </c>
      <c r="E3748" s="8" t="s">
        <v>20181</v>
      </c>
      <c r="F3748" s="8" t="s">
        <v>20168</v>
      </c>
      <c r="G3748" s="8" t="s">
        <v>20182</v>
      </c>
      <c r="H3748" s="8" t="s">
        <v>20183</v>
      </c>
      <c r="I3748" s="8" t="str">
        <f>HYPERLINK("http://www.lirecento.it/","www.lirecento.it")</f>
        <v>www.lirecento.it</v>
      </c>
      <c r="J3748" s="10">
        <v>504.50599999999997</v>
      </c>
      <c r="K3748" s="10">
        <v>504.50599999999997</v>
      </c>
      <c r="L3748" s="10">
        <v>487.23200000000003</v>
      </c>
      <c r="M3748" s="10">
        <v>-524.31100000000004</v>
      </c>
      <c r="N3748" s="10">
        <v>-524.31100000000004</v>
      </c>
      <c r="O3748" s="10">
        <v>-627.197</v>
      </c>
      <c r="P3748" s="10">
        <v>4</v>
      </c>
      <c r="Q3748" s="10">
        <v>4</v>
      </c>
      <c r="R3748" s="10">
        <v>3</v>
      </c>
    </row>
    <row r="3749" spans="1:18" ht="17" customHeight="1" x14ac:dyDescent="0.15">
      <c r="A3749" s="11" t="s">
        <v>20184</v>
      </c>
      <c r="B3749" s="1" t="s">
        <v>20185</v>
      </c>
      <c r="C3749" s="11" t="s">
        <v>20186</v>
      </c>
      <c r="D3749" s="11" t="s">
        <v>20186</v>
      </c>
      <c r="E3749" s="11" t="s">
        <v>20187</v>
      </c>
      <c r="F3749" s="11" t="s">
        <v>20188</v>
      </c>
      <c r="G3749" s="11" t="s">
        <v>20189</v>
      </c>
      <c r="H3749" s="11" t="s">
        <v>20190</v>
      </c>
      <c r="I3749" s="11" t="str">
        <f>HYPERLINK("http://www.studiolgamoda.it/","www.studiolgamoda.it")</f>
        <v>www.studiolgamoda.it</v>
      </c>
      <c r="J3749" s="12">
        <v>590.827</v>
      </c>
      <c r="K3749" s="12">
        <v>590.827</v>
      </c>
      <c r="L3749" s="13">
        <v>487.12299999999999</v>
      </c>
      <c r="M3749" s="12">
        <v>13.298999999999999</v>
      </c>
      <c r="N3749" s="12">
        <v>13.298999999999999</v>
      </c>
      <c r="O3749" s="12">
        <v>6.2640000000000002</v>
      </c>
      <c r="P3749" s="12">
        <v>1</v>
      </c>
      <c r="Q3749" s="12">
        <v>1</v>
      </c>
      <c r="R3749" s="12">
        <v>1</v>
      </c>
    </row>
    <row r="3750" spans="1:18" ht="17" customHeight="1" x14ac:dyDescent="0.15">
      <c r="A3750" s="8" t="s">
        <v>20191</v>
      </c>
      <c r="B3750" s="9" t="s">
        <v>20192</v>
      </c>
      <c r="C3750" s="8" t="s">
        <v>20193</v>
      </c>
      <c r="D3750" s="8" t="s">
        <v>20193</v>
      </c>
      <c r="E3750" s="8" t="s">
        <v>20194</v>
      </c>
      <c r="F3750" s="8" t="s">
        <v>20195</v>
      </c>
      <c r="G3750" s="8" t="s">
        <v>20169</v>
      </c>
      <c r="H3750" s="8" t="s">
        <v>20170</v>
      </c>
      <c r="I3750" s="8" t="str">
        <f>HYPERLINK("http://www.niconf.it/","www.niconf.it")</f>
        <v>www.niconf.it</v>
      </c>
      <c r="J3750" s="10">
        <v>535.30499999999995</v>
      </c>
      <c r="K3750" s="10">
        <v>535.30499999999995</v>
      </c>
      <c r="L3750" s="10">
        <v>486.97199999999998</v>
      </c>
      <c r="M3750" s="10">
        <v>17.22</v>
      </c>
      <c r="N3750" s="10">
        <v>17.22</v>
      </c>
      <c r="O3750" s="10">
        <v>0.27400000000000002</v>
      </c>
      <c r="P3750" s="10">
        <v>2</v>
      </c>
      <c r="Q3750" s="10">
        <v>2</v>
      </c>
      <c r="R3750" s="10">
        <v>2</v>
      </c>
    </row>
    <row r="3751" spans="1:18" ht="17" customHeight="1" x14ac:dyDescent="0.15">
      <c r="A3751" s="11" t="s">
        <v>20196</v>
      </c>
      <c r="B3751" s="1" t="s">
        <v>20197</v>
      </c>
      <c r="C3751" s="11" t="s">
        <v>20198</v>
      </c>
      <c r="D3751" s="11" t="s">
        <v>20198</v>
      </c>
      <c r="E3751" s="11" t="s">
        <v>20199</v>
      </c>
      <c r="F3751" s="11" t="s">
        <v>20200</v>
      </c>
      <c r="G3751" s="11" t="s">
        <v>20182</v>
      </c>
      <c r="H3751" s="11" t="s">
        <v>20183</v>
      </c>
      <c r="I3751" s="11" t="str">
        <f>HYPERLINK("http://www.frescopelli.it/","www.frescopelli.it")</f>
        <v>www.frescopelli.it</v>
      </c>
      <c r="J3751" s="12">
        <v>264.09899999999999</v>
      </c>
      <c r="K3751" s="12">
        <v>264.09899999999999</v>
      </c>
      <c r="L3751" s="13">
        <v>486.11700000000002</v>
      </c>
      <c r="M3751" s="12">
        <v>927.11800000000005</v>
      </c>
      <c r="N3751" s="12">
        <v>927.11800000000005</v>
      </c>
      <c r="O3751" s="12">
        <v>-25.884</v>
      </c>
      <c r="P3751" s="14" t="s">
        <v>20171</v>
      </c>
      <c r="Q3751" s="14" t="s">
        <v>20171</v>
      </c>
      <c r="R3751" s="12">
        <v>6</v>
      </c>
    </row>
    <row r="3752" spans="1:18" ht="17" customHeight="1" x14ac:dyDescent="0.15">
      <c r="A3752" s="8" t="s">
        <v>20201</v>
      </c>
      <c r="B3752" s="9" t="s">
        <v>20202</v>
      </c>
      <c r="C3752" s="8" t="s">
        <v>20203</v>
      </c>
      <c r="D3752" s="8" t="s">
        <v>20203</v>
      </c>
      <c r="E3752" s="8" t="s">
        <v>20204</v>
      </c>
      <c r="F3752" s="8" t="s">
        <v>20205</v>
      </c>
      <c r="G3752" s="8" t="s">
        <v>20169</v>
      </c>
      <c r="H3752" s="8" t="s">
        <v>20170</v>
      </c>
      <c r="I3752" s="8" t="str">
        <f>HYPERLINK("http://www.esgivien.com/","www.esgivien.com")</f>
        <v>www.esgivien.com</v>
      </c>
      <c r="J3752" s="10">
        <v>103.697</v>
      </c>
      <c r="K3752" s="10">
        <v>103.697</v>
      </c>
      <c r="L3752" s="10">
        <v>485.7</v>
      </c>
      <c r="M3752" s="10">
        <v>-15.779</v>
      </c>
      <c r="N3752" s="10">
        <v>-15.779</v>
      </c>
      <c r="O3752" s="10">
        <v>-2.8180000000000001</v>
      </c>
      <c r="P3752" s="10">
        <v>0</v>
      </c>
      <c r="Q3752" s="10">
        <v>0</v>
      </c>
      <c r="R3752" s="10">
        <v>0</v>
      </c>
    </row>
    <row r="3753" spans="1:18" ht="17" customHeight="1" x14ac:dyDescent="0.15">
      <c r="A3753" s="11" t="s">
        <v>20206</v>
      </c>
      <c r="B3753" s="1" t="s">
        <v>20207</v>
      </c>
      <c r="C3753" s="11" t="s">
        <v>20208</v>
      </c>
      <c r="D3753" s="11" t="s">
        <v>20208</v>
      </c>
      <c r="E3753" s="11" t="s">
        <v>20209</v>
      </c>
      <c r="F3753" s="11" t="s">
        <v>20161</v>
      </c>
      <c r="G3753" s="11" t="s">
        <v>20210</v>
      </c>
      <c r="H3753" s="11" t="s">
        <v>20211</v>
      </c>
      <c r="I3753" s="11" t="str">
        <f>HYPERLINK("http://jamas.it/","jamas.it")</f>
        <v>jamas.it</v>
      </c>
      <c r="J3753" s="12">
        <v>638.851</v>
      </c>
      <c r="K3753" s="12">
        <v>638.851</v>
      </c>
      <c r="L3753" s="13">
        <v>484.78500000000003</v>
      </c>
      <c r="M3753" s="12">
        <v>26.75</v>
      </c>
      <c r="N3753" s="12">
        <v>26.75</v>
      </c>
      <c r="O3753" s="12">
        <v>19.798999999999999</v>
      </c>
      <c r="P3753" s="14" t="s">
        <v>20171</v>
      </c>
      <c r="Q3753" s="14" t="s">
        <v>20171</v>
      </c>
      <c r="R3753" s="12">
        <v>5</v>
      </c>
    </row>
    <row r="3754" spans="1:18" ht="17" customHeight="1" x14ac:dyDescent="0.15">
      <c r="A3754" s="8" t="s">
        <v>20212</v>
      </c>
      <c r="B3754" s="9" t="s">
        <v>20213</v>
      </c>
      <c r="C3754" s="8" t="s">
        <v>20214</v>
      </c>
      <c r="D3754" s="8" t="s">
        <v>20214</v>
      </c>
      <c r="E3754" s="8" t="s">
        <v>20215</v>
      </c>
      <c r="F3754" s="8" t="s">
        <v>20205</v>
      </c>
      <c r="G3754" s="8" t="s">
        <v>20216</v>
      </c>
      <c r="H3754" s="8" t="s">
        <v>20183</v>
      </c>
      <c r="I3754" s="8" t="str">
        <f>HYPERLINK("http://www.petalishop.it/","www.petalishop.it")</f>
        <v>www.petalishop.it</v>
      </c>
      <c r="J3754" s="10">
        <v>306.76400000000001</v>
      </c>
      <c r="K3754" s="10">
        <v>306.76400000000001</v>
      </c>
      <c r="L3754" s="10">
        <v>484.45499999999998</v>
      </c>
      <c r="M3754" s="10">
        <v>-110.494</v>
      </c>
      <c r="N3754" s="10">
        <v>-110.494</v>
      </c>
      <c r="O3754" s="10">
        <v>-3.9039999999999999</v>
      </c>
      <c r="P3754" s="10">
        <v>7</v>
      </c>
      <c r="Q3754" s="10">
        <v>7</v>
      </c>
      <c r="R3754" s="10">
        <v>6</v>
      </c>
    </row>
    <row r="3755" spans="1:18" ht="17" customHeight="1" x14ac:dyDescent="0.15">
      <c r="A3755" s="11" t="s">
        <v>20217</v>
      </c>
      <c r="B3755" s="1" t="s">
        <v>20218</v>
      </c>
      <c r="C3755" s="11" t="s">
        <v>20219</v>
      </c>
      <c r="D3755" s="11" t="s">
        <v>20219</v>
      </c>
      <c r="E3755" s="11" t="s">
        <v>20220</v>
      </c>
      <c r="F3755" s="11" t="s">
        <v>20168</v>
      </c>
      <c r="G3755" s="11" t="s">
        <v>20221</v>
      </c>
      <c r="H3755" s="11" t="s">
        <v>20222</v>
      </c>
      <c r="I3755" s="11" t="str">
        <f>HYPERLINK("http://walmode.com/","walmode.com")</f>
        <v>walmode.com</v>
      </c>
      <c r="J3755" s="12">
        <v>533.91300000000001</v>
      </c>
      <c r="K3755" s="12">
        <v>533.91300000000001</v>
      </c>
      <c r="L3755" s="13">
        <v>484.12299999999999</v>
      </c>
      <c r="M3755" s="12">
        <v>19.91</v>
      </c>
      <c r="N3755" s="12">
        <v>19.91</v>
      </c>
      <c r="O3755" s="12">
        <v>19.215</v>
      </c>
      <c r="P3755" s="12">
        <v>4</v>
      </c>
      <c r="Q3755" s="12">
        <v>4</v>
      </c>
      <c r="R3755" s="12">
        <v>5</v>
      </c>
    </row>
    <row r="3756" spans="1:18" ht="43" customHeight="1" x14ac:dyDescent="0.15">
      <c r="A3756" s="8" t="s">
        <v>20223</v>
      </c>
      <c r="B3756" s="9" t="s">
        <v>20224</v>
      </c>
      <c r="C3756" s="8" t="s">
        <v>20225</v>
      </c>
      <c r="D3756" s="8" t="s">
        <v>20225</v>
      </c>
      <c r="E3756" s="8" t="s">
        <v>20226</v>
      </c>
      <c r="F3756" s="8" t="s">
        <v>20227</v>
      </c>
      <c r="G3756" s="8" t="s">
        <v>20228</v>
      </c>
      <c r="H3756" s="8" t="s">
        <v>20163</v>
      </c>
      <c r="I3756" s="8" t="str">
        <f>HYPERLINK("http://www.crisalidemoda.it/","www.crisalidemoda.it")</f>
        <v>www.crisalidemoda.it</v>
      </c>
      <c r="J3756" s="10">
        <v>451.161</v>
      </c>
      <c r="K3756" s="10">
        <v>451.161</v>
      </c>
      <c r="L3756" s="10">
        <v>484.041</v>
      </c>
      <c r="M3756" s="10">
        <v>11.583</v>
      </c>
      <c r="N3756" s="10">
        <v>11.583</v>
      </c>
      <c r="O3756" s="10">
        <v>12.351000000000001</v>
      </c>
      <c r="P3756" s="15" t="s">
        <v>20171</v>
      </c>
      <c r="Q3756" s="15" t="s">
        <v>20171</v>
      </c>
      <c r="R3756" s="10">
        <v>15</v>
      </c>
    </row>
    <row r="3757" spans="1:18" ht="17" customHeight="1" x14ac:dyDescent="0.15">
      <c r="A3757" s="11" t="s">
        <v>20229</v>
      </c>
      <c r="B3757" s="1" t="s">
        <v>20230</v>
      </c>
      <c r="C3757" s="11" t="s">
        <v>20231</v>
      </c>
      <c r="D3757" s="11" t="s">
        <v>20231</v>
      </c>
      <c r="E3757" s="11" t="s">
        <v>20232</v>
      </c>
      <c r="F3757" s="11" t="s">
        <v>20233</v>
      </c>
      <c r="G3757" s="11" t="s">
        <v>20169</v>
      </c>
      <c r="H3757" s="11" t="s">
        <v>20170</v>
      </c>
      <c r="I3757" s="11" t="str">
        <f>HYPERLINK("http://www.molo11.com/","www.molo11.com")</f>
        <v>www.molo11.com</v>
      </c>
      <c r="J3757" s="12">
        <v>374.87400000000002</v>
      </c>
      <c r="K3757" s="12">
        <v>374.87400000000002</v>
      </c>
      <c r="L3757" s="13">
        <v>483.899</v>
      </c>
      <c r="M3757" s="12">
        <v>-72.867999999999995</v>
      </c>
      <c r="N3757" s="12">
        <v>-72.867999999999995</v>
      </c>
      <c r="O3757" s="12">
        <v>-159.91</v>
      </c>
      <c r="P3757" s="14" t="s">
        <v>20171</v>
      </c>
      <c r="Q3757" s="14" t="s">
        <v>20171</v>
      </c>
      <c r="R3757" s="12">
        <v>2</v>
      </c>
    </row>
    <row r="3758" spans="1:18" ht="17" customHeight="1" x14ac:dyDescent="0.15">
      <c r="A3758" s="8" t="s">
        <v>20234</v>
      </c>
      <c r="B3758" s="9" t="s">
        <v>20235</v>
      </c>
      <c r="C3758" s="8" t="s">
        <v>20236</v>
      </c>
      <c r="D3758" s="8" t="s">
        <v>20236</v>
      </c>
      <c r="E3758" s="8" t="s">
        <v>20237</v>
      </c>
      <c r="F3758" s="8" t="s">
        <v>20205</v>
      </c>
      <c r="G3758" s="8" t="s">
        <v>20238</v>
      </c>
      <c r="H3758" s="8" t="s">
        <v>20239</v>
      </c>
      <c r="I3758" s="8" t="str">
        <f>HYPERLINK("http://www.childsrl.it/","www.childsrl.it")</f>
        <v>www.childsrl.it</v>
      </c>
      <c r="J3758" s="10">
        <v>540.70399999999995</v>
      </c>
      <c r="K3758" s="10">
        <v>540.70399999999995</v>
      </c>
      <c r="L3758" s="10">
        <v>482.053</v>
      </c>
      <c r="M3758" s="10">
        <v>0.14199999999999999</v>
      </c>
      <c r="N3758" s="10">
        <v>0.14199999999999999</v>
      </c>
      <c r="O3758" s="10">
        <v>1.5740000000000001</v>
      </c>
      <c r="P3758" s="10">
        <v>4</v>
      </c>
      <c r="Q3758" s="10">
        <v>4</v>
      </c>
      <c r="R3758" s="10">
        <v>5</v>
      </c>
    </row>
    <row r="3759" spans="1:18" ht="17" customHeight="1" x14ac:dyDescent="0.15">
      <c r="A3759" s="11" t="s">
        <v>20240</v>
      </c>
      <c r="B3759" s="1" t="s">
        <v>20241</v>
      </c>
      <c r="C3759" s="11" t="s">
        <v>20242</v>
      </c>
      <c r="D3759" s="11" t="s">
        <v>20242</v>
      </c>
      <c r="E3759" s="11" t="s">
        <v>20243</v>
      </c>
      <c r="F3759" s="11" t="s">
        <v>20168</v>
      </c>
      <c r="G3759" s="11" t="s">
        <v>20244</v>
      </c>
      <c r="H3759" s="11" t="s">
        <v>20245</v>
      </c>
      <c r="I3759" s="11" t="str">
        <f>HYPERLINK("http://www.arconsultingmoda.it/","www.arconsultingmoda.it")</f>
        <v>www.arconsultingmoda.it</v>
      </c>
      <c r="J3759" s="12">
        <v>801.81399999999996</v>
      </c>
      <c r="K3759" s="12">
        <v>801.81399999999996</v>
      </c>
      <c r="L3759" s="13">
        <v>481.84199999999998</v>
      </c>
      <c r="M3759" s="12">
        <v>8.2439999999999998</v>
      </c>
      <c r="N3759" s="12">
        <v>8.2439999999999998</v>
      </c>
      <c r="O3759" s="12">
        <v>1.746</v>
      </c>
      <c r="P3759" s="12">
        <v>2</v>
      </c>
      <c r="Q3759" s="12">
        <v>2</v>
      </c>
      <c r="R3759" s="12">
        <v>2</v>
      </c>
    </row>
    <row r="3760" spans="1:18" ht="17" customHeight="1" x14ac:dyDescent="0.15">
      <c r="A3760" s="8" t="s">
        <v>20246</v>
      </c>
      <c r="B3760" s="9" t="s">
        <v>20247</v>
      </c>
      <c r="C3760" s="8" t="s">
        <v>20248</v>
      </c>
      <c r="D3760" s="8" t="s">
        <v>20248</v>
      </c>
      <c r="E3760" s="8" t="s">
        <v>20249</v>
      </c>
      <c r="F3760" s="8" t="s">
        <v>20168</v>
      </c>
      <c r="G3760" s="8" t="s">
        <v>20216</v>
      </c>
      <c r="H3760" s="8" t="s">
        <v>20183</v>
      </c>
      <c r="I3760" s="8" t="str">
        <f>HYPERLINK("http://www.stefanazzi.it/","www.stefanazzi.it")</f>
        <v>www.stefanazzi.it</v>
      </c>
      <c r="J3760" s="10">
        <v>591.17999999999995</v>
      </c>
      <c r="K3760" s="10">
        <v>591.17999999999995</v>
      </c>
      <c r="L3760" s="10">
        <v>480.93700000000001</v>
      </c>
      <c r="M3760" s="10">
        <v>51.847999999999999</v>
      </c>
      <c r="N3760" s="10">
        <v>51.847999999999999</v>
      </c>
      <c r="O3760" s="10">
        <v>19.527999999999999</v>
      </c>
      <c r="P3760" s="10">
        <v>3</v>
      </c>
      <c r="Q3760" s="10">
        <v>3</v>
      </c>
      <c r="R3760" s="10">
        <v>4</v>
      </c>
    </row>
    <row r="3761" spans="1:18" ht="17" customHeight="1" x14ac:dyDescent="0.15">
      <c r="A3761" s="11" t="s">
        <v>20250</v>
      </c>
      <c r="B3761" s="1" t="s">
        <v>20251</v>
      </c>
      <c r="C3761" s="11" t="s">
        <v>20252</v>
      </c>
      <c r="D3761" s="11" t="s">
        <v>20252</v>
      </c>
      <c r="E3761" s="11" t="s">
        <v>20253</v>
      </c>
      <c r="F3761" s="11" t="s">
        <v>20254</v>
      </c>
      <c r="G3761" s="11" t="s">
        <v>20255</v>
      </c>
      <c r="H3761" s="11" t="s">
        <v>20256</v>
      </c>
      <c r="I3761" s="11" t="str">
        <f>HYPERLINK("http://www.giosport.it/","www.giosport.it")</f>
        <v>www.giosport.it</v>
      </c>
      <c r="J3761" s="12">
        <v>480.452</v>
      </c>
      <c r="K3761" s="14" t="s">
        <v>20171</v>
      </c>
      <c r="L3761" s="13">
        <v>480.452</v>
      </c>
      <c r="M3761" s="12">
        <v>4.4960000000000004</v>
      </c>
      <c r="N3761" s="14" t="s">
        <v>20171</v>
      </c>
      <c r="O3761" s="12">
        <v>4.4960000000000004</v>
      </c>
      <c r="P3761" s="14" t="s">
        <v>20171</v>
      </c>
      <c r="Q3761" s="14" t="s">
        <v>20171</v>
      </c>
      <c r="R3761" s="14" t="s">
        <v>20171</v>
      </c>
    </row>
    <row r="3762" spans="1:18" ht="17" customHeight="1" x14ac:dyDescent="0.15">
      <c r="A3762" s="8" t="s">
        <v>20257</v>
      </c>
      <c r="B3762" s="9" t="s">
        <v>20258</v>
      </c>
      <c r="C3762" s="8" t="s">
        <v>20259</v>
      </c>
      <c r="D3762" s="8" t="s">
        <v>20259</v>
      </c>
      <c r="E3762" s="8" t="s">
        <v>20260</v>
      </c>
      <c r="F3762" s="8" t="s">
        <v>20261</v>
      </c>
      <c r="G3762" s="8" t="s">
        <v>20262</v>
      </c>
      <c r="H3762" s="8" t="s">
        <v>20170</v>
      </c>
      <c r="I3762" s="8" t="str">
        <f>HYPERLINK("http://www.mariodoni.it/","www.mariodoni.it")</f>
        <v>www.mariodoni.it</v>
      </c>
      <c r="J3762" s="10">
        <v>573.37</v>
      </c>
      <c r="K3762" s="10">
        <v>573.37</v>
      </c>
      <c r="L3762" s="10">
        <v>480.20299999999997</v>
      </c>
      <c r="M3762" s="10">
        <v>5.0519999999999996</v>
      </c>
      <c r="N3762" s="10">
        <v>5.0519999999999996</v>
      </c>
      <c r="O3762" s="10">
        <v>0.76900000000000002</v>
      </c>
      <c r="P3762" s="10">
        <v>5</v>
      </c>
      <c r="Q3762" s="10">
        <v>5</v>
      </c>
      <c r="R3762" s="10">
        <v>5</v>
      </c>
    </row>
    <row r="3763" spans="1:18" ht="17" customHeight="1" x14ac:dyDescent="0.15">
      <c r="A3763" s="11" t="s">
        <v>20263</v>
      </c>
      <c r="B3763" s="1" t="s">
        <v>20264</v>
      </c>
      <c r="C3763" s="11" t="s">
        <v>20265</v>
      </c>
      <c r="D3763" s="11" t="s">
        <v>20265</v>
      </c>
      <c r="E3763" s="11" t="s">
        <v>20266</v>
      </c>
      <c r="F3763" s="11" t="s">
        <v>20254</v>
      </c>
      <c r="G3763" s="11" t="s">
        <v>20267</v>
      </c>
      <c r="H3763" s="11" t="s">
        <v>20268</v>
      </c>
      <c r="I3763" s="11" t="str">
        <f>HYPERLINK("http://www.maxsport.it/","www.maxsport.it")</f>
        <v>www.maxsport.it</v>
      </c>
      <c r="J3763" s="12">
        <v>485.78899999999999</v>
      </c>
      <c r="K3763" s="12">
        <v>485.78899999999999</v>
      </c>
      <c r="L3763" s="13">
        <v>480.053</v>
      </c>
      <c r="M3763" s="12">
        <v>51.162999999999997</v>
      </c>
      <c r="N3763" s="12">
        <v>51.162999999999997</v>
      </c>
      <c r="O3763" s="12">
        <v>26.097000000000001</v>
      </c>
      <c r="P3763" s="14" t="s">
        <v>20171</v>
      </c>
      <c r="Q3763" s="14" t="s">
        <v>20171</v>
      </c>
      <c r="R3763" s="12">
        <v>5</v>
      </c>
    </row>
    <row r="3764" spans="1:18" ht="29.5" customHeight="1" x14ac:dyDescent="0.15">
      <c r="A3764" s="8" t="s">
        <v>20269</v>
      </c>
      <c r="B3764" s="9" t="s">
        <v>20270</v>
      </c>
      <c r="C3764" s="8" t="s">
        <v>20271</v>
      </c>
      <c r="D3764" s="8" t="s">
        <v>20271</v>
      </c>
      <c r="E3764" s="8" t="s">
        <v>20272</v>
      </c>
      <c r="F3764" s="8" t="s">
        <v>20227</v>
      </c>
      <c r="G3764" s="8" t="s">
        <v>20273</v>
      </c>
      <c r="H3764" s="8" t="s">
        <v>20211</v>
      </c>
      <c r="I3764" s="8" t="str">
        <f>HYPERLINK("http://www.madeincarcere.it/","www.madeincarcere.it")</f>
        <v>www.madeincarcere.it</v>
      </c>
      <c r="J3764" s="10">
        <v>551.66700000000003</v>
      </c>
      <c r="K3764" s="10">
        <v>551.66700000000003</v>
      </c>
      <c r="L3764" s="10">
        <v>479.935</v>
      </c>
      <c r="M3764" s="10">
        <v>27.559000000000001</v>
      </c>
      <c r="N3764" s="10">
        <v>27.559000000000001</v>
      </c>
      <c r="O3764" s="10">
        <v>29.474</v>
      </c>
      <c r="P3764" s="15" t="s">
        <v>20171</v>
      </c>
      <c r="Q3764" s="15" t="s">
        <v>20171</v>
      </c>
      <c r="R3764" s="10">
        <v>21</v>
      </c>
    </row>
    <row r="3765" spans="1:18" ht="17" customHeight="1" x14ac:dyDescent="0.15">
      <c r="A3765" s="11" t="s">
        <v>20274</v>
      </c>
      <c r="B3765" s="1" t="s">
        <v>20275</v>
      </c>
      <c r="C3765" s="11" t="s">
        <v>20276</v>
      </c>
      <c r="D3765" s="11" t="s">
        <v>20276</v>
      </c>
      <c r="E3765" s="11" t="s">
        <v>20277</v>
      </c>
      <c r="F3765" s="11" t="s">
        <v>20254</v>
      </c>
      <c r="G3765" s="11" t="s">
        <v>20278</v>
      </c>
      <c r="H3765" s="11" t="s">
        <v>20190</v>
      </c>
      <c r="I3765" s="11" t="str">
        <f>HYPERLINK("http://www.newlabsrl.it/","www.newlabsrl.it")</f>
        <v>www.newlabsrl.it</v>
      </c>
      <c r="J3765" s="12">
        <v>474.661</v>
      </c>
      <c r="K3765" s="12">
        <v>474.661</v>
      </c>
      <c r="L3765" s="13">
        <v>479.80399999999997</v>
      </c>
      <c r="M3765" s="12">
        <v>13.603</v>
      </c>
      <c r="N3765" s="12">
        <v>13.603</v>
      </c>
      <c r="O3765" s="12">
        <v>29.585000000000001</v>
      </c>
      <c r="P3765" s="14" t="s">
        <v>20171</v>
      </c>
      <c r="Q3765" s="14" t="s">
        <v>20171</v>
      </c>
      <c r="R3765" s="12">
        <v>10</v>
      </c>
    </row>
    <row r="3766" spans="1:18" ht="43" customHeight="1" x14ac:dyDescent="0.15">
      <c r="A3766" s="8" t="s">
        <v>20279</v>
      </c>
      <c r="B3766" s="9" t="s">
        <v>20280</v>
      </c>
      <c r="C3766" s="8" t="s">
        <v>20281</v>
      </c>
      <c r="D3766" s="8" t="s">
        <v>20281</v>
      </c>
      <c r="E3766" s="8" t="s">
        <v>20282</v>
      </c>
      <c r="F3766" s="8" t="s">
        <v>20168</v>
      </c>
      <c r="G3766" s="8" t="s">
        <v>20273</v>
      </c>
      <c r="H3766" s="8" t="s">
        <v>20211</v>
      </c>
      <c r="I3766" s="8" t="str">
        <f>HYPERLINK("http://mariateresapellegrino.com/","mariateresapellegrino.com")</f>
        <v>mariateresapellegrino.com</v>
      </c>
      <c r="J3766" s="10">
        <v>271.66000000000003</v>
      </c>
      <c r="K3766" s="10">
        <v>271.66000000000003</v>
      </c>
      <c r="L3766" s="10">
        <v>479.738</v>
      </c>
      <c r="M3766" s="10">
        <v>-29.326000000000001</v>
      </c>
      <c r="N3766" s="10">
        <v>-29.326000000000001</v>
      </c>
      <c r="O3766" s="10">
        <v>84.56</v>
      </c>
      <c r="P3766" s="10">
        <v>8</v>
      </c>
      <c r="Q3766" s="10">
        <v>8</v>
      </c>
      <c r="R3766" s="10">
        <v>9</v>
      </c>
    </row>
    <row r="3767" spans="1:18" ht="17" customHeight="1" x14ac:dyDescent="0.15">
      <c r="A3767" s="11" t="s">
        <v>20283</v>
      </c>
      <c r="B3767" s="1" t="s">
        <v>20284</v>
      </c>
      <c r="C3767" s="11" t="s">
        <v>20285</v>
      </c>
      <c r="D3767" s="11" t="s">
        <v>20285</v>
      </c>
      <c r="E3767" s="11" t="s">
        <v>20286</v>
      </c>
      <c r="F3767" s="11" t="s">
        <v>20176</v>
      </c>
      <c r="G3767" s="11" t="s">
        <v>20221</v>
      </c>
      <c r="H3767" s="11" t="s">
        <v>20222</v>
      </c>
      <c r="I3767" s="11" t="str">
        <f>HYPERLINK("http://www.labelmark.it/","www.labelmark.it")</f>
        <v>www.labelmark.it</v>
      </c>
      <c r="J3767" s="12">
        <v>394.89800000000002</v>
      </c>
      <c r="K3767" s="12">
        <v>394.89800000000002</v>
      </c>
      <c r="L3767" s="13">
        <v>478.863</v>
      </c>
      <c r="M3767" s="12">
        <v>0.42499999999999999</v>
      </c>
      <c r="N3767" s="12">
        <v>0.42499999999999999</v>
      </c>
      <c r="O3767" s="12">
        <v>-34.850999999999999</v>
      </c>
      <c r="P3767" s="14" t="s">
        <v>20171</v>
      </c>
      <c r="Q3767" s="14" t="s">
        <v>20171</v>
      </c>
      <c r="R3767" s="12">
        <v>7</v>
      </c>
    </row>
    <row r="3768" spans="1:18" ht="17" customHeight="1" x14ac:dyDescent="0.15">
      <c r="A3768" s="8" t="s">
        <v>20287</v>
      </c>
      <c r="B3768" s="9" t="s">
        <v>20288</v>
      </c>
      <c r="C3768" s="8" t="s">
        <v>20289</v>
      </c>
      <c r="D3768" s="8" t="s">
        <v>20289</v>
      </c>
      <c r="E3768" s="8" t="s">
        <v>20290</v>
      </c>
      <c r="F3768" s="8" t="s">
        <v>20291</v>
      </c>
      <c r="G3768" s="8" t="s">
        <v>20169</v>
      </c>
      <c r="H3768" s="8" t="s">
        <v>20170</v>
      </c>
      <c r="I3768" s="8" t="str">
        <f>HYPERLINK("http://www.domenicofurs.com/","www.domenicofurs.com")</f>
        <v>www.domenicofurs.com</v>
      </c>
      <c r="J3768" s="10">
        <v>215.19399999999999</v>
      </c>
      <c r="K3768" s="10">
        <v>215.19399999999999</v>
      </c>
      <c r="L3768" s="10">
        <v>478.14699999999999</v>
      </c>
      <c r="M3768" s="10">
        <v>30.056999999999999</v>
      </c>
      <c r="N3768" s="10">
        <v>30.056999999999999</v>
      </c>
      <c r="O3768" s="10">
        <v>37.662999999999997</v>
      </c>
      <c r="P3768" s="10">
        <v>5</v>
      </c>
      <c r="Q3768" s="10">
        <v>5</v>
      </c>
      <c r="R3768" s="10">
        <v>4</v>
      </c>
    </row>
    <row r="3769" spans="1:18" ht="17" customHeight="1" x14ac:dyDescent="0.15">
      <c r="A3769" s="11" t="s">
        <v>20292</v>
      </c>
      <c r="B3769" s="1" t="s">
        <v>20293</v>
      </c>
      <c r="C3769" s="11" t="s">
        <v>20294</v>
      </c>
      <c r="D3769" s="11" t="s">
        <v>20294</v>
      </c>
      <c r="E3769" s="11" t="s">
        <v>20295</v>
      </c>
      <c r="F3769" s="11" t="s">
        <v>20227</v>
      </c>
      <c r="G3769" s="11" t="s">
        <v>20228</v>
      </c>
      <c r="H3769" s="11" t="s">
        <v>20163</v>
      </c>
      <c r="I3769" s="11" t="str">
        <f>HYPERLINK("http://digitalmoda.com/","digitalmoda.com")</f>
        <v>digitalmoda.com</v>
      </c>
      <c r="J3769" s="12">
        <v>566.27700000000004</v>
      </c>
      <c r="K3769" s="12">
        <v>566.27700000000004</v>
      </c>
      <c r="L3769" s="13">
        <v>477.608</v>
      </c>
      <c r="M3769" s="12">
        <v>50.350999999999999</v>
      </c>
      <c r="N3769" s="12">
        <v>50.350999999999999</v>
      </c>
      <c r="O3769" s="12">
        <v>6.2</v>
      </c>
      <c r="P3769" s="12">
        <v>2</v>
      </c>
      <c r="Q3769" s="12">
        <v>2</v>
      </c>
      <c r="R3769" s="12">
        <v>1</v>
      </c>
    </row>
    <row r="3770" spans="1:18" ht="17" customHeight="1" x14ac:dyDescent="0.15">
      <c r="A3770" s="8" t="s">
        <v>20296</v>
      </c>
      <c r="B3770" s="9" t="s">
        <v>20297</v>
      </c>
      <c r="C3770" s="8" t="s">
        <v>20298</v>
      </c>
      <c r="D3770" s="8" t="s">
        <v>20298</v>
      </c>
      <c r="E3770" s="8" t="s">
        <v>20299</v>
      </c>
      <c r="F3770" s="8" t="s">
        <v>20200</v>
      </c>
      <c r="G3770" s="8" t="s">
        <v>20262</v>
      </c>
      <c r="H3770" s="8" t="s">
        <v>20170</v>
      </c>
      <c r="I3770" s="8" t="str">
        <f>HYPERLINK("http://www.newentryconceria.it/","www.newentryconceria.it")</f>
        <v>www.newentryconceria.it</v>
      </c>
      <c r="J3770" s="10">
        <v>489.82299999999998</v>
      </c>
      <c r="K3770" s="10">
        <v>489.82299999999998</v>
      </c>
      <c r="L3770" s="10">
        <v>477.47199999999998</v>
      </c>
      <c r="M3770" s="10">
        <v>-72.355999999999995</v>
      </c>
      <c r="N3770" s="10">
        <v>-72.355999999999995</v>
      </c>
      <c r="O3770" s="10">
        <v>-64.956000000000003</v>
      </c>
      <c r="P3770" s="10">
        <v>4</v>
      </c>
      <c r="Q3770" s="10">
        <v>4</v>
      </c>
      <c r="R3770" s="10">
        <v>6</v>
      </c>
    </row>
    <row r="3771" spans="1:18" ht="17" customHeight="1" x14ac:dyDescent="0.15">
      <c r="A3771" s="11" t="s">
        <v>20300</v>
      </c>
      <c r="B3771" s="1" t="s">
        <v>20301</v>
      </c>
      <c r="C3771" s="11" t="s">
        <v>20302</v>
      </c>
      <c r="D3771" s="11" t="s">
        <v>20302</v>
      </c>
      <c r="E3771" s="11" t="s">
        <v>20303</v>
      </c>
      <c r="F3771" s="11" t="s">
        <v>20304</v>
      </c>
      <c r="G3771" s="11" t="s">
        <v>20221</v>
      </c>
      <c r="H3771" s="11" t="s">
        <v>20222</v>
      </c>
      <c r="I3771" s="11" t="str">
        <f>HYPERLINK("http://www.tremilasrl.com/","www.tremilasrl.com")</f>
        <v>www.tremilasrl.com</v>
      </c>
      <c r="J3771" s="12">
        <v>483.19799999999998</v>
      </c>
      <c r="K3771" s="12">
        <v>483.19799999999998</v>
      </c>
      <c r="L3771" s="13">
        <v>476.63900000000001</v>
      </c>
      <c r="M3771" s="12">
        <v>36.180999999999997</v>
      </c>
      <c r="N3771" s="12">
        <v>36.180999999999997</v>
      </c>
      <c r="O3771" s="12">
        <v>60.545999999999999</v>
      </c>
      <c r="P3771" s="12">
        <v>9</v>
      </c>
      <c r="Q3771" s="12">
        <v>9</v>
      </c>
      <c r="R3771" s="12">
        <v>8</v>
      </c>
    </row>
    <row r="3772" spans="1:18" ht="29.5" customHeight="1" x14ac:dyDescent="0.15">
      <c r="A3772" s="8" t="s">
        <v>20305</v>
      </c>
      <c r="B3772" s="9" t="s">
        <v>20306</v>
      </c>
      <c r="C3772" s="8" t="s">
        <v>20307</v>
      </c>
      <c r="D3772" s="8" t="s">
        <v>20307</v>
      </c>
      <c r="E3772" s="8" t="s">
        <v>20308</v>
      </c>
      <c r="F3772" s="8" t="s">
        <v>20254</v>
      </c>
      <c r="G3772" s="8" t="s">
        <v>20309</v>
      </c>
      <c r="H3772" s="8" t="s">
        <v>20239</v>
      </c>
      <c r="I3772" s="8" t="str">
        <f>HYPERLINK("http://vis-bowling.com/","vis-bowling.com")</f>
        <v>vis-bowling.com</v>
      </c>
      <c r="J3772" s="10">
        <v>617.21900000000005</v>
      </c>
      <c r="K3772" s="10">
        <v>617.21900000000005</v>
      </c>
      <c r="L3772" s="10">
        <v>475.79300000000001</v>
      </c>
      <c r="M3772" s="10">
        <v>14.699</v>
      </c>
      <c r="N3772" s="10">
        <v>14.699</v>
      </c>
      <c r="O3772" s="10">
        <v>8.2070000000000007</v>
      </c>
      <c r="P3772" s="10">
        <v>5</v>
      </c>
      <c r="Q3772" s="10">
        <v>5</v>
      </c>
      <c r="R3772" s="10">
        <v>6</v>
      </c>
    </row>
    <row r="3773" spans="1:18" ht="17" customHeight="1" x14ac:dyDescent="0.15">
      <c r="A3773" s="11" t="s">
        <v>20310</v>
      </c>
      <c r="B3773" s="1" t="s">
        <v>20311</v>
      </c>
      <c r="C3773" s="11" t="s">
        <v>20312</v>
      </c>
      <c r="D3773" s="11" t="s">
        <v>20312</v>
      </c>
      <c r="E3773" s="11" t="s">
        <v>20313</v>
      </c>
      <c r="F3773" s="11" t="s">
        <v>20233</v>
      </c>
      <c r="G3773" s="11" t="s">
        <v>20314</v>
      </c>
      <c r="H3773" s="11" t="s">
        <v>20245</v>
      </c>
      <c r="I3773" s="11" t="str">
        <f>HYPERLINK("http://www.icomassrl.com/","www.icomassrl.com")</f>
        <v>www.icomassrl.com</v>
      </c>
      <c r="J3773" s="12">
        <v>464.89699999999999</v>
      </c>
      <c r="K3773" s="12">
        <v>464.89699999999999</v>
      </c>
      <c r="L3773" s="13">
        <v>475.62</v>
      </c>
      <c r="M3773" s="12">
        <v>2.1259999999999999</v>
      </c>
      <c r="N3773" s="12">
        <v>2.1259999999999999</v>
      </c>
      <c r="O3773" s="12">
        <v>6.2480000000000002</v>
      </c>
      <c r="P3773" s="14" t="s">
        <v>20171</v>
      </c>
      <c r="Q3773" s="14" t="s">
        <v>20171</v>
      </c>
      <c r="R3773" s="12">
        <v>7</v>
      </c>
    </row>
    <row r="3774" spans="1:18" ht="17" customHeight="1" x14ac:dyDescent="0.15">
      <c r="A3774" s="8" t="s">
        <v>20315</v>
      </c>
      <c r="B3774" s="9" t="s">
        <v>20316</v>
      </c>
      <c r="C3774" s="8" t="s">
        <v>20317</v>
      </c>
      <c r="D3774" s="8" t="s">
        <v>20317</v>
      </c>
      <c r="E3774" s="8" t="s">
        <v>20318</v>
      </c>
      <c r="F3774" s="8" t="s">
        <v>20261</v>
      </c>
      <c r="G3774" s="8" t="s">
        <v>20262</v>
      </c>
      <c r="H3774" s="8" t="s">
        <v>20170</v>
      </c>
      <c r="I3774" s="8" t="str">
        <f>HYPERLINK("http://www.suolificioprisma.it/","www.suolificioprisma.it")</f>
        <v>www.suolificioprisma.it</v>
      </c>
      <c r="J3774" s="10">
        <v>403.89699999999999</v>
      </c>
      <c r="K3774" s="10">
        <v>403.89699999999999</v>
      </c>
      <c r="L3774" s="10">
        <v>473.20699999999999</v>
      </c>
      <c r="M3774" s="10">
        <v>-4.0620000000000003</v>
      </c>
      <c r="N3774" s="10">
        <v>-4.0620000000000003</v>
      </c>
      <c r="O3774" s="10">
        <v>5.03</v>
      </c>
      <c r="P3774" s="10">
        <v>5</v>
      </c>
      <c r="Q3774" s="10">
        <v>5</v>
      </c>
      <c r="R3774" s="10">
        <v>6</v>
      </c>
    </row>
    <row r="3775" spans="1:18" ht="17" customHeight="1" x14ac:dyDescent="0.15">
      <c r="A3775" s="11" t="s">
        <v>20319</v>
      </c>
      <c r="B3775" s="1" t="s">
        <v>20320</v>
      </c>
      <c r="C3775" s="11" t="s">
        <v>20321</v>
      </c>
      <c r="D3775" s="11" t="s">
        <v>20321</v>
      </c>
      <c r="E3775" s="11" t="s">
        <v>20322</v>
      </c>
      <c r="F3775" s="11" t="s">
        <v>20227</v>
      </c>
      <c r="G3775" s="11" t="s">
        <v>20323</v>
      </c>
      <c r="H3775" s="11" t="s">
        <v>20183</v>
      </c>
      <c r="I3775" s="11" t="str">
        <f>HYPERLINK("http://www.madaprint.com/","www.madaprint.com")</f>
        <v>www.madaprint.com</v>
      </c>
      <c r="J3775" s="12">
        <v>512.10699999999997</v>
      </c>
      <c r="K3775" s="12">
        <v>512.10699999999997</v>
      </c>
      <c r="L3775" s="13">
        <v>473.06700000000001</v>
      </c>
      <c r="M3775" s="12">
        <v>52.249000000000002</v>
      </c>
      <c r="N3775" s="12">
        <v>52.249000000000002</v>
      </c>
      <c r="O3775" s="12">
        <v>26.120999999999999</v>
      </c>
      <c r="P3775" s="14" t="s">
        <v>20171</v>
      </c>
      <c r="Q3775" s="14" t="s">
        <v>20171</v>
      </c>
      <c r="R3775" s="12">
        <v>5</v>
      </c>
    </row>
    <row r="3776" spans="1:18" ht="17" customHeight="1" x14ac:dyDescent="0.15">
      <c r="A3776" s="8" t="s">
        <v>20324</v>
      </c>
      <c r="B3776" s="9" t="s">
        <v>20325</v>
      </c>
      <c r="C3776" s="8" t="s">
        <v>20326</v>
      </c>
      <c r="D3776" s="8" t="s">
        <v>20326</v>
      </c>
      <c r="E3776" s="8" t="s">
        <v>20327</v>
      </c>
      <c r="F3776" s="8" t="s">
        <v>20200</v>
      </c>
      <c r="G3776" s="8" t="s">
        <v>20221</v>
      </c>
      <c r="H3776" s="8" t="s">
        <v>20222</v>
      </c>
      <c r="I3776" s="8" t="str">
        <f>HYPERLINK("http://www.marpell.it/","www.marpell.it")</f>
        <v>www.marpell.it</v>
      </c>
      <c r="J3776" s="10">
        <v>465.21100000000001</v>
      </c>
      <c r="K3776" s="10">
        <v>465.21100000000001</v>
      </c>
      <c r="L3776" s="10">
        <v>472.96600000000001</v>
      </c>
      <c r="M3776" s="10">
        <v>16.888000000000002</v>
      </c>
      <c r="N3776" s="10">
        <v>16.888000000000002</v>
      </c>
      <c r="O3776" s="10">
        <v>27.765000000000001</v>
      </c>
      <c r="P3776" s="10">
        <v>7</v>
      </c>
      <c r="Q3776" s="10">
        <v>7</v>
      </c>
      <c r="R3776" s="10">
        <v>6</v>
      </c>
    </row>
    <row r="3777" spans="1:18" ht="17" customHeight="1" x14ac:dyDescent="0.15">
      <c r="A3777" s="11" t="s">
        <v>20328</v>
      </c>
      <c r="B3777" s="1" t="s">
        <v>20329</v>
      </c>
      <c r="C3777" s="11" t="s">
        <v>20330</v>
      </c>
      <c r="D3777" s="11" t="s">
        <v>20330</v>
      </c>
      <c r="E3777" s="11" t="s">
        <v>20331</v>
      </c>
      <c r="F3777" s="11" t="s">
        <v>20332</v>
      </c>
      <c r="G3777" s="11" t="s">
        <v>20333</v>
      </c>
      <c r="H3777" s="11" t="s">
        <v>20334</v>
      </c>
      <c r="I3777" s="11" t="str">
        <f>HYPERLINK("http://www.cate.it/","www.cate.it")</f>
        <v>www.cate.it</v>
      </c>
      <c r="J3777" s="12">
        <v>530.82500000000005</v>
      </c>
      <c r="K3777" s="12">
        <v>530.82500000000005</v>
      </c>
      <c r="L3777" s="13">
        <v>471.89499999999998</v>
      </c>
      <c r="M3777" s="12">
        <v>-88.033000000000001</v>
      </c>
      <c r="N3777" s="12">
        <v>-88.033000000000001</v>
      </c>
      <c r="O3777" s="12">
        <v>-93.27</v>
      </c>
      <c r="P3777" s="12">
        <v>15</v>
      </c>
      <c r="Q3777" s="12">
        <v>15</v>
      </c>
      <c r="R3777" s="12">
        <v>17</v>
      </c>
    </row>
    <row r="3778" spans="1:18" ht="29.5" customHeight="1" x14ac:dyDescent="0.15">
      <c r="A3778" s="8" t="s">
        <v>20335</v>
      </c>
      <c r="B3778" s="9" t="s">
        <v>20336</v>
      </c>
      <c r="C3778" s="8" t="s">
        <v>20337</v>
      </c>
      <c r="D3778" s="8" t="s">
        <v>20337</v>
      </c>
      <c r="E3778" s="8" t="s">
        <v>20338</v>
      </c>
      <c r="F3778" s="8" t="s">
        <v>20339</v>
      </c>
      <c r="G3778" s="8" t="s">
        <v>20340</v>
      </c>
      <c r="H3778" s="8" t="s">
        <v>20334</v>
      </c>
      <c r="I3778" s="8" t="str">
        <f>HYPERLINK("http://mitah.it/","mitah.it")</f>
        <v>mitah.it</v>
      </c>
      <c r="J3778" s="10">
        <v>528.81200000000001</v>
      </c>
      <c r="K3778" s="10">
        <v>528.81200000000001</v>
      </c>
      <c r="L3778" s="10">
        <v>470.291</v>
      </c>
      <c r="M3778" s="10">
        <v>-3.6560000000000001</v>
      </c>
      <c r="N3778" s="10">
        <v>-3.6560000000000001</v>
      </c>
      <c r="O3778" s="10">
        <v>17.75</v>
      </c>
      <c r="P3778" s="15" t="s">
        <v>20341</v>
      </c>
      <c r="Q3778" s="15" t="s">
        <v>20341</v>
      </c>
      <c r="R3778" s="10">
        <v>5</v>
      </c>
    </row>
    <row r="3779" spans="1:18" ht="17" customHeight="1" x14ac:dyDescent="0.15">
      <c r="A3779" s="11" t="s">
        <v>20342</v>
      </c>
      <c r="B3779" s="1" t="s">
        <v>20343</v>
      </c>
      <c r="C3779" s="11" t="s">
        <v>20344</v>
      </c>
      <c r="D3779" s="11" t="s">
        <v>20344</v>
      </c>
      <c r="E3779" s="11" t="s">
        <v>20345</v>
      </c>
      <c r="F3779" s="11" t="s">
        <v>20346</v>
      </c>
      <c r="G3779" s="11" t="s">
        <v>20347</v>
      </c>
      <c r="H3779" s="11" t="s">
        <v>20348</v>
      </c>
      <c r="I3779" s="11" t="str">
        <f>HYPERLINK("http://www.crintex-teramo.it/","www.crintex-teramo.it")</f>
        <v>www.crintex-teramo.it</v>
      </c>
      <c r="J3779" s="12">
        <v>467.71300000000002</v>
      </c>
      <c r="K3779" s="14" t="s">
        <v>20341</v>
      </c>
      <c r="L3779" s="13">
        <v>467.71300000000002</v>
      </c>
      <c r="M3779" s="12">
        <v>0.214</v>
      </c>
      <c r="N3779" s="14" t="s">
        <v>20341</v>
      </c>
      <c r="O3779" s="12">
        <v>0.214</v>
      </c>
      <c r="P3779" s="12">
        <v>5</v>
      </c>
      <c r="Q3779" s="14" t="s">
        <v>20341</v>
      </c>
      <c r="R3779" s="12">
        <v>5</v>
      </c>
    </row>
    <row r="3780" spans="1:18" ht="17" customHeight="1" x14ac:dyDescent="0.15">
      <c r="A3780" s="8" t="s">
        <v>20349</v>
      </c>
      <c r="B3780" s="9" t="s">
        <v>20350</v>
      </c>
      <c r="C3780" s="8" t="s">
        <v>20351</v>
      </c>
      <c r="D3780" s="8" t="s">
        <v>20351</v>
      </c>
      <c r="E3780" s="8" t="s">
        <v>20352</v>
      </c>
      <c r="F3780" s="8" t="s">
        <v>20339</v>
      </c>
      <c r="G3780" s="8" t="s">
        <v>20353</v>
      </c>
      <c r="H3780" s="8" t="s">
        <v>20354</v>
      </c>
      <c r="I3780" s="8" t="str">
        <f>HYPERLINK("http://www.cerberoshoes.it/","www.cerberoshoes.it")</f>
        <v>www.cerberoshoes.it</v>
      </c>
      <c r="J3780" s="10">
        <v>395.27</v>
      </c>
      <c r="K3780" s="10">
        <v>395.27</v>
      </c>
      <c r="L3780" s="10">
        <v>466.86</v>
      </c>
      <c r="M3780" s="10">
        <v>8.7520000000000007</v>
      </c>
      <c r="N3780" s="10">
        <v>8.7520000000000007</v>
      </c>
      <c r="O3780" s="10">
        <v>33.984000000000002</v>
      </c>
      <c r="P3780" s="15" t="s">
        <v>20341</v>
      </c>
      <c r="Q3780" s="15" t="s">
        <v>20341</v>
      </c>
      <c r="R3780" s="15" t="s">
        <v>20341</v>
      </c>
    </row>
    <row r="3781" spans="1:18" ht="17" customHeight="1" x14ac:dyDescent="0.15">
      <c r="A3781" s="11" t="s">
        <v>20355</v>
      </c>
      <c r="B3781" s="1" t="s">
        <v>20356</v>
      </c>
      <c r="C3781" s="11" t="s">
        <v>20357</v>
      </c>
      <c r="D3781" s="11" t="s">
        <v>20357</v>
      </c>
      <c r="E3781" s="11" t="s">
        <v>20358</v>
      </c>
      <c r="F3781" s="11" t="s">
        <v>20359</v>
      </c>
      <c r="G3781" s="11" t="s">
        <v>20360</v>
      </c>
      <c r="H3781" s="11" t="s">
        <v>20361</v>
      </c>
      <c r="I3781" s="11" t="str">
        <f>HYPERLINK("http://www.maglieriamatis.com/","www.maglieriamatis.com")</f>
        <v>www.maglieriamatis.com</v>
      </c>
      <c r="J3781" s="12">
        <v>523.47</v>
      </c>
      <c r="K3781" s="12">
        <v>523.47</v>
      </c>
      <c r="L3781" s="13">
        <v>465.79700000000003</v>
      </c>
      <c r="M3781" s="12">
        <v>18.713000000000001</v>
      </c>
      <c r="N3781" s="12">
        <v>18.713000000000001</v>
      </c>
      <c r="O3781" s="12">
        <v>21.631</v>
      </c>
      <c r="P3781" s="14" t="s">
        <v>20341</v>
      </c>
      <c r="Q3781" s="14" t="s">
        <v>20341</v>
      </c>
      <c r="R3781" s="12">
        <v>6</v>
      </c>
    </row>
    <row r="3782" spans="1:18" ht="17" customHeight="1" x14ac:dyDescent="0.15">
      <c r="A3782" s="8" t="s">
        <v>20362</v>
      </c>
      <c r="B3782" s="9" t="s">
        <v>20363</v>
      </c>
      <c r="C3782" s="8" t="s">
        <v>20364</v>
      </c>
      <c r="D3782" s="8" t="s">
        <v>20364</v>
      </c>
      <c r="E3782" s="8" t="s">
        <v>20365</v>
      </c>
      <c r="F3782" s="8" t="s">
        <v>20366</v>
      </c>
      <c r="G3782" s="8" t="s">
        <v>20367</v>
      </c>
      <c r="H3782" s="8" t="s">
        <v>20368</v>
      </c>
      <c r="I3782" s="8" t="str">
        <f>HYPERLINK("http://www.cashmereville.com/","www.cashmereville.com")</f>
        <v>www.cashmereville.com</v>
      </c>
      <c r="J3782" s="10">
        <v>390.35500000000002</v>
      </c>
      <c r="K3782" s="10">
        <v>390.35500000000002</v>
      </c>
      <c r="L3782" s="10">
        <v>465.50400000000002</v>
      </c>
      <c r="M3782" s="10">
        <v>3.274</v>
      </c>
      <c r="N3782" s="10">
        <v>3.274</v>
      </c>
      <c r="O3782" s="10">
        <v>2.62</v>
      </c>
      <c r="P3782" s="15" t="s">
        <v>20341</v>
      </c>
      <c r="Q3782" s="15" t="s">
        <v>20341</v>
      </c>
      <c r="R3782" s="10">
        <v>1</v>
      </c>
    </row>
    <row r="3783" spans="1:18" ht="17" customHeight="1" x14ac:dyDescent="0.15">
      <c r="A3783" s="11" t="s">
        <v>20369</v>
      </c>
      <c r="B3783" s="1" t="s">
        <v>20370</v>
      </c>
      <c r="C3783" s="11" t="s">
        <v>20371</v>
      </c>
      <c r="D3783" s="11" t="s">
        <v>20371</v>
      </c>
      <c r="E3783" s="11" t="s">
        <v>20372</v>
      </c>
      <c r="F3783" s="11" t="s">
        <v>20373</v>
      </c>
      <c r="G3783" s="11" t="s">
        <v>20353</v>
      </c>
      <c r="H3783" s="11" t="s">
        <v>20354</v>
      </c>
      <c r="I3783" s="11" t="str">
        <f>HYPERLINK("http://marioportolano.it/","marioportolano.it")</f>
        <v>marioportolano.it</v>
      </c>
      <c r="J3783" s="12">
        <v>481.38099999999997</v>
      </c>
      <c r="K3783" s="12">
        <v>481.38099999999997</v>
      </c>
      <c r="L3783" s="13">
        <v>464.70600000000002</v>
      </c>
      <c r="M3783" s="12">
        <v>4.3209999999999997</v>
      </c>
      <c r="N3783" s="12">
        <v>4.3209999999999997</v>
      </c>
      <c r="O3783" s="12">
        <v>8.0760000000000005</v>
      </c>
      <c r="P3783" s="14" t="s">
        <v>20341</v>
      </c>
      <c r="Q3783" s="14" t="s">
        <v>20341</v>
      </c>
      <c r="R3783" s="12">
        <v>8</v>
      </c>
    </row>
    <row r="3784" spans="1:18" ht="17" customHeight="1" x14ac:dyDescent="0.15">
      <c r="A3784" s="8" t="s">
        <v>20374</v>
      </c>
      <c r="B3784" s="9" t="s">
        <v>20375</v>
      </c>
      <c r="C3784" s="8" t="s">
        <v>20376</v>
      </c>
      <c r="D3784" s="8" t="s">
        <v>20376</v>
      </c>
      <c r="E3784" s="8" t="s">
        <v>20377</v>
      </c>
      <c r="F3784" s="8" t="s">
        <v>20346</v>
      </c>
      <c r="G3784" s="8" t="s">
        <v>20378</v>
      </c>
      <c r="H3784" s="8" t="s">
        <v>20379</v>
      </c>
      <c r="I3784" s="8" t="str">
        <f>HYPERLINK("http://www.stefanocorsini.it/","www.stefanocorsini.it")</f>
        <v>www.stefanocorsini.it</v>
      </c>
      <c r="J3784" s="10">
        <v>510.36500000000001</v>
      </c>
      <c r="K3784" s="10">
        <v>510.36500000000001</v>
      </c>
      <c r="L3784" s="10">
        <v>463.03199999999998</v>
      </c>
      <c r="M3784" s="10">
        <v>0.48599999999999999</v>
      </c>
      <c r="N3784" s="10">
        <v>0.48599999999999999</v>
      </c>
      <c r="O3784" s="10">
        <v>-39.375</v>
      </c>
      <c r="P3784" s="15" t="s">
        <v>20341</v>
      </c>
      <c r="Q3784" s="15" t="s">
        <v>20341</v>
      </c>
      <c r="R3784" s="10">
        <v>13</v>
      </c>
    </row>
    <row r="3785" spans="1:18" ht="17" customHeight="1" x14ac:dyDescent="0.15">
      <c r="A3785" s="11" t="s">
        <v>20380</v>
      </c>
      <c r="B3785" s="1" t="s">
        <v>20381</v>
      </c>
      <c r="C3785" s="11" t="s">
        <v>20382</v>
      </c>
      <c r="D3785" s="11" t="s">
        <v>20382</v>
      </c>
      <c r="E3785" s="11" t="s">
        <v>20383</v>
      </c>
      <c r="F3785" s="11" t="s">
        <v>20346</v>
      </c>
      <c r="G3785" s="11" t="s">
        <v>20384</v>
      </c>
      <c r="H3785" s="11" t="s">
        <v>20385</v>
      </c>
      <c r="I3785" s="11" t="str">
        <f>HYPERLINK("http://www.studiobars.it/","www.studiobars.it")</f>
        <v>www.studiobars.it</v>
      </c>
      <c r="J3785" s="12">
        <v>531.19299999999998</v>
      </c>
      <c r="K3785" s="12">
        <v>531.19299999999998</v>
      </c>
      <c r="L3785" s="13">
        <v>461.952</v>
      </c>
      <c r="M3785" s="12">
        <v>5.2279999999999998</v>
      </c>
      <c r="N3785" s="12">
        <v>5.2279999999999998</v>
      </c>
      <c r="O3785" s="12">
        <v>-2.98</v>
      </c>
      <c r="P3785" s="14" t="s">
        <v>20341</v>
      </c>
      <c r="Q3785" s="14" t="s">
        <v>20341</v>
      </c>
      <c r="R3785" s="12">
        <v>3</v>
      </c>
    </row>
    <row r="3786" spans="1:18" ht="17" customHeight="1" x14ac:dyDescent="0.15">
      <c r="A3786" s="8" t="s">
        <v>20386</v>
      </c>
      <c r="B3786" s="9" t="s">
        <v>20387</v>
      </c>
      <c r="C3786" s="8" t="s">
        <v>20388</v>
      </c>
      <c r="D3786" s="8" t="s">
        <v>20388</v>
      </c>
      <c r="E3786" s="8" t="s">
        <v>20389</v>
      </c>
      <c r="F3786" s="8" t="s">
        <v>20390</v>
      </c>
      <c r="G3786" s="8" t="s">
        <v>20391</v>
      </c>
      <c r="H3786" s="8" t="s">
        <v>20392</v>
      </c>
      <c r="I3786" s="8" t="str">
        <f>HYPERLINK("http://www.sartoriaangela.com/","www.sartoriaangela.com")</f>
        <v>www.sartoriaangela.com</v>
      </c>
      <c r="J3786" s="10">
        <v>479.55500000000001</v>
      </c>
      <c r="K3786" s="10">
        <v>479.55500000000001</v>
      </c>
      <c r="L3786" s="10">
        <v>461.95100000000002</v>
      </c>
      <c r="M3786" s="10">
        <v>0.57599999999999996</v>
      </c>
      <c r="N3786" s="10">
        <v>0.57599999999999996</v>
      </c>
      <c r="O3786" s="10">
        <v>-116.93300000000001</v>
      </c>
      <c r="P3786" s="15" t="s">
        <v>20341</v>
      </c>
      <c r="Q3786" s="15" t="s">
        <v>20341</v>
      </c>
      <c r="R3786" s="10">
        <v>21</v>
      </c>
    </row>
    <row r="3787" spans="1:18" ht="17" customHeight="1" x14ac:dyDescent="0.15">
      <c r="A3787" s="11" t="s">
        <v>20393</v>
      </c>
      <c r="B3787" s="1" t="s">
        <v>20394</v>
      </c>
      <c r="C3787" s="11" t="s">
        <v>20395</v>
      </c>
      <c r="D3787" s="11" t="s">
        <v>20395</v>
      </c>
      <c r="E3787" s="11" t="s">
        <v>20396</v>
      </c>
      <c r="F3787" s="11" t="s">
        <v>20339</v>
      </c>
      <c r="G3787" s="11" t="s">
        <v>20340</v>
      </c>
      <c r="H3787" s="11" t="s">
        <v>20334</v>
      </c>
      <c r="I3787" s="11" t="str">
        <f>HYPERLINK("http://www.maryatkins.it/","www.maryatkins.it")</f>
        <v>www.maryatkins.it</v>
      </c>
      <c r="J3787" s="12">
        <v>602.65200000000004</v>
      </c>
      <c r="K3787" s="12">
        <v>602.65200000000004</v>
      </c>
      <c r="L3787" s="13">
        <v>459.09100000000001</v>
      </c>
      <c r="M3787" s="12">
        <v>78.563000000000002</v>
      </c>
      <c r="N3787" s="12">
        <v>78.563000000000002</v>
      </c>
      <c r="O3787" s="12">
        <v>85.956999999999994</v>
      </c>
      <c r="P3787" s="12">
        <v>8</v>
      </c>
      <c r="Q3787" s="12">
        <v>8</v>
      </c>
      <c r="R3787" s="12">
        <v>7</v>
      </c>
    </row>
    <row r="3788" spans="1:18" ht="17" customHeight="1" x14ac:dyDescent="0.15">
      <c r="A3788" s="8" t="s">
        <v>20397</v>
      </c>
      <c r="B3788" s="9" t="s">
        <v>20398</v>
      </c>
      <c r="C3788" s="8" t="s">
        <v>20399</v>
      </c>
      <c r="D3788" s="8" t="s">
        <v>20399</v>
      </c>
      <c r="E3788" s="8" t="s">
        <v>20400</v>
      </c>
      <c r="F3788" s="8" t="s">
        <v>20339</v>
      </c>
      <c r="G3788" s="8" t="s">
        <v>20401</v>
      </c>
      <c r="H3788" s="8" t="s">
        <v>20385</v>
      </c>
      <c r="I3788" s="8" t="str">
        <f>HYPERLINK("http://www.kjoreproject.com/","www.kjoreproject.com")</f>
        <v>www.kjoreproject.com</v>
      </c>
      <c r="J3788" s="10">
        <v>405.726</v>
      </c>
      <c r="K3788" s="10">
        <v>405.726</v>
      </c>
      <c r="L3788" s="10">
        <v>459.12200000000001</v>
      </c>
      <c r="M3788" s="10">
        <v>5.1760000000000002</v>
      </c>
      <c r="N3788" s="10">
        <v>5.1760000000000002</v>
      </c>
      <c r="O3788" s="10">
        <v>1.2749999999999999</v>
      </c>
      <c r="P3788" s="15" t="s">
        <v>20341</v>
      </c>
      <c r="Q3788" s="15" t="s">
        <v>20341</v>
      </c>
      <c r="R3788" s="15" t="s">
        <v>20341</v>
      </c>
    </row>
    <row r="3789" spans="1:18" ht="17" customHeight="1" x14ac:dyDescent="0.15">
      <c r="A3789" s="11" t="s">
        <v>20402</v>
      </c>
      <c r="B3789" s="1" t="s">
        <v>20403</v>
      </c>
      <c r="C3789" s="11" t="s">
        <v>20404</v>
      </c>
      <c r="D3789" s="11" t="s">
        <v>20404</v>
      </c>
      <c r="E3789" s="11" t="s">
        <v>20405</v>
      </c>
      <c r="F3789" s="11" t="s">
        <v>20359</v>
      </c>
      <c r="G3789" s="11" t="s">
        <v>20406</v>
      </c>
      <c r="H3789" s="11" t="s">
        <v>20361</v>
      </c>
      <c r="I3789" s="11" t="str">
        <f>HYPERLINK("http://www.maglificiostefania.com/","www.maglificiostefania.com")</f>
        <v>www.maglificiostefania.com</v>
      </c>
      <c r="J3789" s="12">
        <v>418.59199999999998</v>
      </c>
      <c r="K3789" s="12">
        <v>418.59199999999998</v>
      </c>
      <c r="L3789" s="13">
        <v>459.00599999999997</v>
      </c>
      <c r="M3789" s="12">
        <v>0.998</v>
      </c>
      <c r="N3789" s="12">
        <v>0.998</v>
      </c>
      <c r="O3789" s="12">
        <v>5.6050000000000004</v>
      </c>
      <c r="P3789" s="12">
        <v>1</v>
      </c>
      <c r="Q3789" s="12">
        <v>1</v>
      </c>
      <c r="R3789" s="12">
        <v>1</v>
      </c>
    </row>
    <row r="3790" spans="1:18" ht="29.5" customHeight="1" x14ac:dyDescent="0.15">
      <c r="A3790" s="8" t="s">
        <v>20407</v>
      </c>
      <c r="B3790" s="9" t="s">
        <v>20408</v>
      </c>
      <c r="C3790" s="8" t="s">
        <v>20409</v>
      </c>
      <c r="D3790" s="8" t="s">
        <v>20409</v>
      </c>
      <c r="E3790" s="8" t="s">
        <v>20410</v>
      </c>
      <c r="F3790" s="8" t="s">
        <v>20359</v>
      </c>
      <c r="G3790" s="8" t="s">
        <v>20411</v>
      </c>
      <c r="H3790" s="8" t="s">
        <v>20361</v>
      </c>
      <c r="I3790" s="8" t="str">
        <f>HYPERLINK("http://www.archiviob.com/","www.archiviob.com")</f>
        <v>www.archiviob.com</v>
      </c>
      <c r="J3790" s="10">
        <v>445.63200000000001</v>
      </c>
      <c r="K3790" s="10">
        <v>445.63200000000001</v>
      </c>
      <c r="L3790" s="10">
        <v>458.89800000000002</v>
      </c>
      <c r="M3790" s="10">
        <v>-36.116999999999997</v>
      </c>
      <c r="N3790" s="10">
        <v>-36.116999999999997</v>
      </c>
      <c r="O3790" s="10">
        <v>-29.6</v>
      </c>
      <c r="P3790" s="10">
        <v>3</v>
      </c>
      <c r="Q3790" s="10">
        <v>3</v>
      </c>
      <c r="R3790" s="10">
        <v>2</v>
      </c>
    </row>
    <row r="3791" spans="1:18" ht="43" customHeight="1" x14ac:dyDescent="0.15">
      <c r="A3791" s="11" t="s">
        <v>20412</v>
      </c>
      <c r="B3791" s="1" t="s">
        <v>20413</v>
      </c>
      <c r="C3791" s="11" t="s">
        <v>20414</v>
      </c>
      <c r="D3791" s="11" t="s">
        <v>20414</v>
      </c>
      <c r="E3791" s="11" t="s">
        <v>20415</v>
      </c>
      <c r="F3791" s="11" t="s">
        <v>20332</v>
      </c>
      <c r="G3791" s="11" t="s">
        <v>20416</v>
      </c>
      <c r="H3791" s="11" t="s">
        <v>20417</v>
      </c>
      <c r="I3791" s="11" t="str">
        <f>HYPERLINK("http://www.aquaramasportswear.it/","www.aquaramasportswear.it")</f>
        <v>www.aquaramasportswear.it</v>
      </c>
      <c r="J3791" s="12">
        <v>413.899</v>
      </c>
      <c r="K3791" s="12">
        <v>413.899</v>
      </c>
      <c r="L3791" s="13">
        <v>457.78300000000002</v>
      </c>
      <c r="M3791" s="12">
        <v>1.516</v>
      </c>
      <c r="N3791" s="12">
        <v>1.516</v>
      </c>
      <c r="O3791" s="12">
        <v>0.55600000000000005</v>
      </c>
      <c r="P3791" s="12">
        <v>3</v>
      </c>
      <c r="Q3791" s="12">
        <v>3</v>
      </c>
      <c r="R3791" s="12">
        <v>4</v>
      </c>
    </row>
    <row r="3792" spans="1:18" ht="17" customHeight="1" x14ac:dyDescent="0.15">
      <c r="A3792" s="8" t="s">
        <v>20418</v>
      </c>
      <c r="B3792" s="9" t="s">
        <v>20419</v>
      </c>
      <c r="C3792" s="8" t="s">
        <v>20420</v>
      </c>
      <c r="D3792" s="8" t="s">
        <v>20420</v>
      </c>
      <c r="E3792" s="8" t="s">
        <v>20421</v>
      </c>
      <c r="F3792" s="8" t="s">
        <v>20339</v>
      </c>
      <c r="G3792" s="8" t="s">
        <v>20422</v>
      </c>
      <c r="H3792" s="8" t="s">
        <v>20423</v>
      </c>
      <c r="I3792" s="8" t="str">
        <f>HYPERLINK("http://www.beplast.it/","www.beplast.it")</f>
        <v>www.beplast.it</v>
      </c>
      <c r="J3792" s="10">
        <v>261.79500000000002</v>
      </c>
      <c r="K3792" s="10">
        <v>440.45100000000002</v>
      </c>
      <c r="L3792" s="10">
        <v>457.64</v>
      </c>
      <c r="M3792" s="10">
        <v>-15.981999999999999</v>
      </c>
      <c r="N3792" s="10">
        <v>-6.048</v>
      </c>
      <c r="O3792" s="10">
        <v>-3.94</v>
      </c>
      <c r="P3792" s="10">
        <v>4</v>
      </c>
      <c r="Q3792" s="10">
        <v>5</v>
      </c>
      <c r="R3792" s="10">
        <v>5</v>
      </c>
    </row>
    <row r="3793" spans="1:18" ht="17" customHeight="1" x14ac:dyDescent="0.15">
      <c r="A3793" s="11" t="s">
        <v>20424</v>
      </c>
      <c r="B3793" s="1" t="s">
        <v>20425</v>
      </c>
      <c r="C3793" s="11" t="s">
        <v>20426</v>
      </c>
      <c r="D3793" s="11" t="s">
        <v>20426</v>
      </c>
      <c r="E3793" s="11" t="s">
        <v>20427</v>
      </c>
      <c r="F3793" s="11" t="s">
        <v>20373</v>
      </c>
      <c r="G3793" s="11" t="s">
        <v>20340</v>
      </c>
      <c r="H3793" s="11" t="s">
        <v>20334</v>
      </c>
      <c r="I3793" s="11" t="str">
        <f>HYPERLINK("http://www.alestrasportespettacolo.it/","www.alestrasportespettacolo.it")</f>
        <v>www.alestrasportespettacolo.it</v>
      </c>
      <c r="J3793" s="12">
        <v>532.44000000000005</v>
      </c>
      <c r="K3793" s="12">
        <v>532.44000000000005</v>
      </c>
      <c r="L3793" s="13">
        <v>456.65699999999998</v>
      </c>
      <c r="M3793" s="12">
        <v>13.920999999999999</v>
      </c>
      <c r="N3793" s="12">
        <v>13.920999999999999</v>
      </c>
      <c r="O3793" s="12">
        <v>23.81</v>
      </c>
      <c r="P3793" s="12">
        <v>5</v>
      </c>
      <c r="Q3793" s="12">
        <v>5</v>
      </c>
      <c r="R3793" s="12">
        <v>4</v>
      </c>
    </row>
    <row r="3794" spans="1:18" ht="29.5" customHeight="1" x14ac:dyDescent="0.15">
      <c r="A3794" s="8" t="s">
        <v>20428</v>
      </c>
      <c r="B3794" s="9" t="s">
        <v>20429</v>
      </c>
      <c r="C3794" s="8" t="s">
        <v>20430</v>
      </c>
      <c r="D3794" s="8" t="s">
        <v>20430</v>
      </c>
      <c r="E3794" s="8" t="s">
        <v>20431</v>
      </c>
      <c r="F3794" s="8" t="s">
        <v>20339</v>
      </c>
      <c r="G3794" s="8" t="s">
        <v>20432</v>
      </c>
      <c r="H3794" s="8" t="s">
        <v>20385</v>
      </c>
      <c r="I3794" s="8" t="str">
        <f>HYPERLINK("http://www.trecimeshoes.com/","www.trecimeshoes.com")</f>
        <v>www.trecimeshoes.com</v>
      </c>
      <c r="J3794" s="10">
        <v>458.48500000000001</v>
      </c>
      <c r="K3794" s="10">
        <v>458.48500000000001</v>
      </c>
      <c r="L3794" s="10">
        <v>456.28</v>
      </c>
      <c r="M3794" s="10">
        <v>19.463000000000001</v>
      </c>
      <c r="N3794" s="10">
        <v>19.463000000000001</v>
      </c>
      <c r="O3794" s="10">
        <v>96.917000000000002</v>
      </c>
      <c r="P3794" s="10">
        <v>0</v>
      </c>
      <c r="Q3794" s="10">
        <v>0</v>
      </c>
      <c r="R3794" s="10">
        <v>0</v>
      </c>
    </row>
    <row r="3795" spans="1:18" ht="17" customHeight="1" x14ac:dyDescent="0.15">
      <c r="A3795" s="11" t="s">
        <v>20433</v>
      </c>
      <c r="B3795" s="1" t="s">
        <v>20434</v>
      </c>
      <c r="C3795" s="11" t="s">
        <v>20435</v>
      </c>
      <c r="D3795" s="11" t="s">
        <v>20435</v>
      </c>
      <c r="E3795" s="11" t="s">
        <v>20436</v>
      </c>
      <c r="F3795" s="11" t="s">
        <v>20390</v>
      </c>
      <c r="G3795" s="11" t="s">
        <v>20437</v>
      </c>
      <c r="H3795" s="11" t="s">
        <v>20423</v>
      </c>
      <c r="I3795" s="11" t="str">
        <f>HYPERLINK("http://www.jolidon.it/","www.jolidon.it")</f>
        <v>www.jolidon.it</v>
      </c>
      <c r="J3795" s="12">
        <v>593.85199999999998</v>
      </c>
      <c r="K3795" s="12">
        <v>593.85199999999998</v>
      </c>
      <c r="L3795" s="13">
        <v>454.34399999999999</v>
      </c>
      <c r="M3795" s="12">
        <v>39.127000000000002</v>
      </c>
      <c r="N3795" s="12">
        <v>39.127000000000002</v>
      </c>
      <c r="O3795" s="12">
        <v>32.618000000000002</v>
      </c>
      <c r="P3795" s="12">
        <v>2</v>
      </c>
      <c r="Q3795" s="12">
        <v>2</v>
      </c>
      <c r="R3795" s="12">
        <v>2</v>
      </c>
    </row>
    <row r="3796" spans="1:18" ht="17" customHeight="1" x14ac:dyDescent="0.15">
      <c r="A3796" s="8" t="s">
        <v>20438</v>
      </c>
      <c r="B3796" s="9" t="s">
        <v>20439</v>
      </c>
      <c r="C3796" s="8" t="s">
        <v>20440</v>
      </c>
      <c r="D3796" s="8" t="s">
        <v>20440</v>
      </c>
      <c r="E3796" s="8" t="s">
        <v>20441</v>
      </c>
      <c r="F3796" s="8" t="s">
        <v>20332</v>
      </c>
      <c r="G3796" s="8" t="s">
        <v>20347</v>
      </c>
      <c r="H3796" s="8" t="s">
        <v>20348</v>
      </c>
      <c r="I3796" s="8" t="str">
        <f>HYPERLINK("http://www.bott-one.it/","www.bott-one.it")</f>
        <v>www.bott-one.it</v>
      </c>
      <c r="J3796" s="10">
        <v>413.02800000000002</v>
      </c>
      <c r="K3796" s="10">
        <v>413.02800000000002</v>
      </c>
      <c r="L3796" s="10">
        <v>453.87</v>
      </c>
      <c r="M3796" s="10">
        <v>11.933999999999999</v>
      </c>
      <c r="N3796" s="10">
        <v>11.933999999999999</v>
      </c>
      <c r="O3796" s="10">
        <v>-20.664000000000001</v>
      </c>
      <c r="P3796" s="10">
        <v>4</v>
      </c>
      <c r="Q3796" s="10">
        <v>4</v>
      </c>
      <c r="R3796" s="10">
        <v>4</v>
      </c>
    </row>
    <row r="3797" spans="1:18" ht="29.5" customHeight="1" x14ac:dyDescent="0.15">
      <c r="A3797" s="11" t="s">
        <v>20442</v>
      </c>
      <c r="B3797" s="1" t="s">
        <v>20443</v>
      </c>
      <c r="C3797" s="11" t="s">
        <v>20444</v>
      </c>
      <c r="D3797" s="11" t="s">
        <v>20444</v>
      </c>
      <c r="E3797" s="11" t="s">
        <v>20445</v>
      </c>
      <c r="F3797" s="11" t="s">
        <v>20332</v>
      </c>
      <c r="G3797" s="11" t="s">
        <v>20446</v>
      </c>
      <c r="H3797" s="11" t="s">
        <v>20423</v>
      </c>
      <c r="I3797" s="11" t="str">
        <f>HYPERLINK("http://www.maglieriaprontomodaodm.com/","www.maglieriaprontomodaodm.com")</f>
        <v>www.maglieriaprontomodaodm.com</v>
      </c>
      <c r="J3797" s="12">
        <v>376.26400000000001</v>
      </c>
      <c r="K3797" s="12">
        <v>376.26400000000001</v>
      </c>
      <c r="L3797" s="13">
        <v>453.91899999999998</v>
      </c>
      <c r="M3797" s="12">
        <v>1.1919999999999999</v>
      </c>
      <c r="N3797" s="12">
        <v>1.1919999999999999</v>
      </c>
      <c r="O3797" s="12">
        <v>7.0659999999999998</v>
      </c>
      <c r="P3797" s="14" t="s">
        <v>20341</v>
      </c>
      <c r="Q3797" s="14" t="s">
        <v>20341</v>
      </c>
      <c r="R3797" s="12">
        <v>3</v>
      </c>
    </row>
    <row r="3798" spans="1:18" ht="17" customHeight="1" x14ac:dyDescent="0.15">
      <c r="A3798" s="8" t="s">
        <v>20447</v>
      </c>
      <c r="B3798" s="9" t="s">
        <v>20448</v>
      </c>
      <c r="C3798" s="8" t="s">
        <v>20449</v>
      </c>
      <c r="D3798" s="8" t="s">
        <v>20449</v>
      </c>
      <c r="E3798" s="8" t="s">
        <v>20450</v>
      </c>
      <c r="F3798" s="8" t="s">
        <v>20366</v>
      </c>
      <c r="G3798" s="8" t="s">
        <v>20432</v>
      </c>
      <c r="H3798" s="8" t="s">
        <v>20385</v>
      </c>
      <c r="I3798" s="8" t="str">
        <f>HYPERLINK("http://modaeservizi.it/","modaeservizi.it")</f>
        <v>modaeservizi.it</v>
      </c>
      <c r="J3798" s="10">
        <v>570.03399999999999</v>
      </c>
      <c r="K3798" s="10">
        <v>570.03399999999999</v>
      </c>
      <c r="L3798" s="10">
        <v>453.49400000000003</v>
      </c>
      <c r="M3798" s="10">
        <v>0.439</v>
      </c>
      <c r="N3798" s="10">
        <v>0.439</v>
      </c>
      <c r="O3798" s="10">
        <v>2.1779999999999999</v>
      </c>
      <c r="P3798" s="10">
        <v>9</v>
      </c>
      <c r="Q3798" s="10">
        <v>9</v>
      </c>
      <c r="R3798" s="10">
        <v>11</v>
      </c>
    </row>
    <row r="3799" spans="1:18" ht="17" customHeight="1" x14ac:dyDescent="0.15">
      <c r="A3799" s="11" t="s">
        <v>20451</v>
      </c>
      <c r="B3799" s="1" t="s">
        <v>20452</v>
      </c>
      <c r="C3799" s="11" t="s">
        <v>20453</v>
      </c>
      <c r="D3799" s="11" t="s">
        <v>20454</v>
      </c>
      <c r="E3799" s="11" t="s">
        <v>20455</v>
      </c>
      <c r="F3799" s="11" t="s">
        <v>20456</v>
      </c>
      <c r="G3799" s="11" t="s">
        <v>20457</v>
      </c>
      <c r="H3799" s="11" t="s">
        <v>20458</v>
      </c>
      <c r="I3799" s="11" t="str">
        <f>HYPERLINK("http://martinettirea.it/","martinettirea.it")</f>
        <v>martinettirea.it</v>
      </c>
      <c r="J3799" s="12">
        <v>437.82900000000001</v>
      </c>
      <c r="K3799" s="12">
        <v>437.82900000000001</v>
      </c>
      <c r="L3799" s="13">
        <v>452.82100000000003</v>
      </c>
      <c r="M3799" s="12">
        <v>2.89</v>
      </c>
      <c r="N3799" s="12">
        <v>2.89</v>
      </c>
      <c r="O3799" s="12">
        <v>1.7030000000000001</v>
      </c>
      <c r="P3799" s="14" t="s">
        <v>20341</v>
      </c>
      <c r="Q3799" s="14" t="s">
        <v>20341</v>
      </c>
      <c r="R3799" s="12">
        <v>8</v>
      </c>
    </row>
    <row r="3800" spans="1:18" ht="17" customHeight="1" x14ac:dyDescent="0.15">
      <c r="A3800" s="8" t="s">
        <v>20459</v>
      </c>
      <c r="B3800" s="9" t="s">
        <v>20460</v>
      </c>
      <c r="C3800" s="8" t="s">
        <v>20461</v>
      </c>
      <c r="D3800" s="8" t="s">
        <v>20461</v>
      </c>
      <c r="E3800" s="8" t="s">
        <v>20462</v>
      </c>
      <c r="F3800" s="8" t="s">
        <v>20339</v>
      </c>
      <c r="G3800" s="8" t="s">
        <v>20353</v>
      </c>
      <c r="H3800" s="8" t="s">
        <v>20354</v>
      </c>
      <c r="I3800" s="8" t="str">
        <f>HYPERLINK("http://www.tesoronemadeinitaly.com/","www.tesoronemadeinitaly.com")</f>
        <v>www.tesoronemadeinitaly.com</v>
      </c>
      <c r="J3800" s="10">
        <v>478.96499999999997</v>
      </c>
      <c r="K3800" s="10">
        <v>478.96499999999997</v>
      </c>
      <c r="L3800" s="10">
        <v>452.18799999999999</v>
      </c>
      <c r="M3800" s="10">
        <v>7.4130000000000003</v>
      </c>
      <c r="N3800" s="10">
        <v>7.4130000000000003</v>
      </c>
      <c r="O3800" s="10">
        <v>-6.6719999999999997</v>
      </c>
      <c r="P3800" s="15" t="s">
        <v>20341</v>
      </c>
      <c r="Q3800" s="15" t="s">
        <v>20341</v>
      </c>
      <c r="R3800" s="10">
        <v>5</v>
      </c>
    </row>
    <row r="3801" spans="1:18" ht="17" customHeight="1" x14ac:dyDescent="0.15">
      <c r="A3801" s="11" t="s">
        <v>20463</v>
      </c>
      <c r="B3801" s="1" t="s">
        <v>20464</v>
      </c>
      <c r="C3801" s="11" t="s">
        <v>20465</v>
      </c>
      <c r="D3801" s="11" t="s">
        <v>20465</v>
      </c>
      <c r="E3801" s="11" t="s">
        <v>20466</v>
      </c>
      <c r="F3801" s="11" t="s">
        <v>20373</v>
      </c>
      <c r="G3801" s="11" t="s">
        <v>20467</v>
      </c>
      <c r="H3801" s="11" t="s">
        <v>20423</v>
      </c>
      <c r="I3801" s="11" t="str">
        <f>HYPERLINK("http://fumagalli1891.it/","fumagalli1891.it")</f>
        <v>fumagalli1891.it</v>
      </c>
      <c r="J3801" s="12">
        <v>415.01100000000002</v>
      </c>
      <c r="K3801" s="12">
        <v>415.01100000000002</v>
      </c>
      <c r="L3801" s="13">
        <v>451.471</v>
      </c>
      <c r="M3801" s="12">
        <v>4.157</v>
      </c>
      <c r="N3801" s="12">
        <v>4.157</v>
      </c>
      <c r="O3801" s="12">
        <v>5.1349999999999998</v>
      </c>
      <c r="P3801" s="14" t="s">
        <v>20341</v>
      </c>
      <c r="Q3801" s="14" t="s">
        <v>20341</v>
      </c>
      <c r="R3801" s="12">
        <v>6</v>
      </c>
    </row>
    <row r="3802" spans="1:18" ht="17" customHeight="1" x14ac:dyDescent="0.15">
      <c r="A3802" s="8" t="s">
        <v>20468</v>
      </c>
      <c r="B3802" s="9" t="s">
        <v>20469</v>
      </c>
      <c r="C3802" s="8" t="s">
        <v>20470</v>
      </c>
      <c r="D3802" s="8" t="s">
        <v>20470</v>
      </c>
      <c r="E3802" s="8" t="s">
        <v>20471</v>
      </c>
      <c r="F3802" s="8" t="s">
        <v>20472</v>
      </c>
      <c r="G3802" s="8" t="s">
        <v>20473</v>
      </c>
      <c r="H3802" s="8" t="s">
        <v>20392</v>
      </c>
      <c r="I3802" s="8" t="str">
        <f>HYPERLINK("http://bagnatocalze.com/","bagnatocalze.com")</f>
        <v>bagnatocalze.com</v>
      </c>
      <c r="J3802" s="10">
        <v>471.29700000000003</v>
      </c>
      <c r="K3802" s="10">
        <v>524.41200000000003</v>
      </c>
      <c r="L3802" s="10">
        <v>449.78</v>
      </c>
      <c r="M3802" s="10">
        <v>19</v>
      </c>
      <c r="N3802" s="10">
        <v>22.484000000000002</v>
      </c>
      <c r="O3802" s="10">
        <v>20.616</v>
      </c>
      <c r="P3802" s="10">
        <v>6</v>
      </c>
      <c r="Q3802" s="10">
        <v>4</v>
      </c>
      <c r="R3802" s="10">
        <v>4</v>
      </c>
    </row>
    <row r="3803" spans="1:18" ht="29.5" customHeight="1" x14ac:dyDescent="0.15">
      <c r="A3803" s="11" t="s">
        <v>20474</v>
      </c>
      <c r="B3803" s="1" t="s">
        <v>20475</v>
      </c>
      <c r="C3803" s="11" t="s">
        <v>20476</v>
      </c>
      <c r="D3803" s="11" t="s">
        <v>20476</v>
      </c>
      <c r="E3803" s="11" t="s">
        <v>20477</v>
      </c>
      <c r="F3803" s="11" t="s">
        <v>20478</v>
      </c>
      <c r="G3803" s="11" t="s">
        <v>20479</v>
      </c>
      <c r="H3803" s="11" t="s">
        <v>20354</v>
      </c>
      <c r="I3803" s="11" t="str">
        <f>HYPERLINK("http://www.macitaliapelli.it/","www.macitaliapelli.it")</f>
        <v>www.macitaliapelli.it</v>
      </c>
      <c r="J3803" s="12">
        <v>398.85399999999998</v>
      </c>
      <c r="K3803" s="12">
        <v>398.85399999999998</v>
      </c>
      <c r="L3803" s="13">
        <v>449.80799999999999</v>
      </c>
      <c r="M3803" s="12">
        <v>2.032</v>
      </c>
      <c r="N3803" s="12">
        <v>2.032</v>
      </c>
      <c r="O3803" s="12">
        <v>3.4239999999999999</v>
      </c>
      <c r="P3803" s="12">
        <v>0</v>
      </c>
      <c r="Q3803" s="12">
        <v>0</v>
      </c>
      <c r="R3803" s="12">
        <v>0</v>
      </c>
    </row>
    <row r="3804" spans="1:18" ht="29.5" customHeight="1" x14ac:dyDescent="0.15">
      <c r="A3804" s="8" t="s">
        <v>20480</v>
      </c>
      <c r="B3804" s="9" t="s">
        <v>20481</v>
      </c>
      <c r="C3804" s="8" t="s">
        <v>20482</v>
      </c>
      <c r="D3804" s="8" t="s">
        <v>20482</v>
      </c>
      <c r="E3804" s="8" t="s">
        <v>20483</v>
      </c>
      <c r="F3804" s="8" t="s">
        <v>20359</v>
      </c>
      <c r="G3804" s="8" t="s">
        <v>20457</v>
      </c>
      <c r="H3804" s="8" t="s">
        <v>20458</v>
      </c>
      <c r="I3804" s="8" t="str">
        <f>HYPERLINK("http://www.cvzstylishinnovation.com/","www.cvzstylishinnovation.com")</f>
        <v>www.cvzstylishinnovation.com</v>
      </c>
      <c r="J3804" s="10">
        <v>342.42399999999998</v>
      </c>
      <c r="K3804" s="10">
        <v>342.42399999999998</v>
      </c>
      <c r="L3804" s="10">
        <v>449.75299999999999</v>
      </c>
      <c r="M3804" s="10">
        <v>3.528</v>
      </c>
      <c r="N3804" s="10">
        <v>3.528</v>
      </c>
      <c r="O3804" s="10">
        <v>3.1389999999999998</v>
      </c>
      <c r="P3804" s="10">
        <v>5</v>
      </c>
      <c r="Q3804" s="10">
        <v>5</v>
      </c>
      <c r="R3804" s="10">
        <v>5</v>
      </c>
    </row>
    <row r="3805" spans="1:18" ht="43" customHeight="1" x14ac:dyDescent="0.15">
      <c r="A3805" s="11" t="s">
        <v>20484</v>
      </c>
      <c r="B3805" s="1" t="s">
        <v>20485</v>
      </c>
      <c r="C3805" s="11" t="s">
        <v>20486</v>
      </c>
      <c r="D3805" s="11" t="s">
        <v>20486</v>
      </c>
      <c r="E3805" s="11" t="s">
        <v>20487</v>
      </c>
      <c r="F3805" s="11" t="s">
        <v>20332</v>
      </c>
      <c r="G3805" s="11" t="s">
        <v>20473</v>
      </c>
      <c r="H3805" s="11" t="s">
        <v>20392</v>
      </c>
      <c r="I3805" s="11" t="str">
        <f>HYPERLINK("http://www.macrameitalia.it/","www.macrameitalia.it")</f>
        <v>www.macrameitalia.it</v>
      </c>
      <c r="J3805" s="12">
        <v>667.94100000000003</v>
      </c>
      <c r="K3805" s="12">
        <v>667.94100000000003</v>
      </c>
      <c r="L3805" s="13">
        <v>449.20400000000001</v>
      </c>
      <c r="M3805" s="12">
        <v>9.08</v>
      </c>
      <c r="N3805" s="12">
        <v>9.08</v>
      </c>
      <c r="O3805" s="12">
        <v>-161.35400000000001</v>
      </c>
      <c r="P3805" s="14" t="s">
        <v>20341</v>
      </c>
      <c r="Q3805" s="14" t="s">
        <v>20341</v>
      </c>
      <c r="R3805" s="12">
        <v>24</v>
      </c>
    </row>
    <row r="3806" spans="1:18" ht="68" customHeight="1" x14ac:dyDescent="0.15">
      <c r="A3806" s="8" t="s">
        <v>20488</v>
      </c>
      <c r="B3806" s="9" t="s">
        <v>20489</v>
      </c>
      <c r="C3806" s="8" t="s">
        <v>20490</v>
      </c>
      <c r="D3806" s="8" t="s">
        <v>20490</v>
      </c>
      <c r="E3806" s="8" t="s">
        <v>20491</v>
      </c>
      <c r="F3806" s="8" t="s">
        <v>20332</v>
      </c>
      <c r="G3806" s="8" t="s">
        <v>20391</v>
      </c>
      <c r="H3806" s="8" t="s">
        <v>20392</v>
      </c>
      <c r="I3806" s="8" t="str">
        <f>HYPERLINK("http://www.bluday.it/","www.bluday.it")</f>
        <v>www.bluday.it</v>
      </c>
      <c r="J3806" s="10">
        <v>548.971</v>
      </c>
      <c r="K3806" s="10">
        <v>548.971</v>
      </c>
      <c r="L3806" s="10">
        <v>448.55200000000002</v>
      </c>
      <c r="M3806" s="10">
        <v>17.437999999999999</v>
      </c>
      <c r="N3806" s="10">
        <v>17.437999999999999</v>
      </c>
      <c r="O3806" s="10">
        <v>19.992999999999999</v>
      </c>
      <c r="P3806" s="15" t="s">
        <v>20341</v>
      </c>
      <c r="Q3806" s="15" t="s">
        <v>20341</v>
      </c>
      <c r="R3806" s="10">
        <v>3</v>
      </c>
    </row>
    <row r="3807" spans="1:18" ht="17" customHeight="1" x14ac:dyDescent="0.15">
      <c r="A3807" s="11" t="s">
        <v>20492</v>
      </c>
      <c r="B3807" s="1" t="s">
        <v>20493</v>
      </c>
      <c r="C3807" s="11" t="s">
        <v>20494</v>
      </c>
      <c r="D3807" s="11" t="s">
        <v>20494</v>
      </c>
      <c r="E3807" s="11" t="s">
        <v>20495</v>
      </c>
      <c r="F3807" s="11" t="s">
        <v>20390</v>
      </c>
      <c r="G3807" s="11" t="s">
        <v>20496</v>
      </c>
      <c r="H3807" s="11" t="s">
        <v>20334</v>
      </c>
      <c r="I3807" s="11" t="str">
        <f>HYPERLINK("http://www.laetitiabeachwear.com/store/","www.laetitiabeachwear.com/store/")</f>
        <v>www.laetitiabeachwear.com/store/</v>
      </c>
      <c r="J3807" s="12">
        <v>461.221</v>
      </c>
      <c r="K3807" s="12">
        <v>461.221</v>
      </c>
      <c r="L3807" s="13">
        <v>448.21199999999999</v>
      </c>
      <c r="M3807" s="12">
        <v>8.798</v>
      </c>
      <c r="N3807" s="12">
        <v>8.798</v>
      </c>
      <c r="O3807" s="12">
        <v>4.3849999999999998</v>
      </c>
      <c r="P3807" s="12">
        <v>2</v>
      </c>
      <c r="Q3807" s="12">
        <v>2</v>
      </c>
      <c r="R3807" s="12">
        <v>2</v>
      </c>
    </row>
    <row r="3808" spans="1:18" ht="17" customHeight="1" x14ac:dyDescent="0.15">
      <c r="A3808" s="8" t="s">
        <v>20497</v>
      </c>
      <c r="B3808" s="9" t="s">
        <v>20498</v>
      </c>
      <c r="C3808" s="8" t="s">
        <v>20499</v>
      </c>
      <c r="D3808" s="8" t="s">
        <v>20499</v>
      </c>
      <c r="E3808" s="8" t="s">
        <v>20500</v>
      </c>
      <c r="F3808" s="8" t="s">
        <v>20456</v>
      </c>
      <c r="G3808" s="8" t="s">
        <v>20353</v>
      </c>
      <c r="H3808" s="8" t="s">
        <v>20354</v>
      </c>
      <c r="I3808" s="8" t="str">
        <f>HYPERLINK("http://www.sartoriapanico.it/","www.sartoriapanico.it")</f>
        <v>www.sartoriapanico.it</v>
      </c>
      <c r="J3808" s="10">
        <v>334.49</v>
      </c>
      <c r="K3808" s="10">
        <v>334.49</v>
      </c>
      <c r="L3808" s="10">
        <v>447.69299999999998</v>
      </c>
      <c r="M3808" s="10">
        <v>-11.865</v>
      </c>
      <c r="N3808" s="10">
        <v>-11.865</v>
      </c>
      <c r="O3808" s="10">
        <v>8.09</v>
      </c>
      <c r="P3808" s="10">
        <v>9</v>
      </c>
      <c r="Q3808" s="10">
        <v>9</v>
      </c>
      <c r="R3808" s="10">
        <v>10</v>
      </c>
    </row>
    <row r="3809" spans="1:18" ht="17" customHeight="1" x14ac:dyDescent="0.15">
      <c r="A3809" s="11" t="s">
        <v>20501</v>
      </c>
      <c r="B3809" s="1" t="s">
        <v>20502</v>
      </c>
      <c r="C3809" s="11" t="s">
        <v>20503</v>
      </c>
      <c r="D3809" s="11" t="s">
        <v>20503</v>
      </c>
      <c r="E3809" s="11" t="s">
        <v>20504</v>
      </c>
      <c r="F3809" s="11" t="s">
        <v>20505</v>
      </c>
      <c r="G3809" s="11" t="s">
        <v>20506</v>
      </c>
      <c r="H3809" s="11" t="s">
        <v>20507</v>
      </c>
      <c r="I3809" s="11" t="str">
        <f>HYPERLINK("http://www.lospaventapasseri.it/","www.lospaventapasseri.it")</f>
        <v>www.lospaventapasseri.it</v>
      </c>
      <c r="J3809" s="12">
        <v>463.33</v>
      </c>
      <c r="K3809" s="12">
        <v>463.33</v>
      </c>
      <c r="L3809" s="13">
        <v>447.36900000000003</v>
      </c>
      <c r="M3809" s="12">
        <v>5.3289999999999997</v>
      </c>
      <c r="N3809" s="12">
        <v>5.3289999999999997</v>
      </c>
      <c r="O3809" s="12">
        <v>10.327999999999999</v>
      </c>
      <c r="P3809" s="12">
        <v>5</v>
      </c>
      <c r="Q3809" s="12">
        <v>5</v>
      </c>
      <c r="R3809" s="12">
        <v>5</v>
      </c>
    </row>
    <row r="3810" spans="1:18" ht="17" customHeight="1" x14ac:dyDescent="0.15">
      <c r="A3810" s="8" t="s">
        <v>20508</v>
      </c>
      <c r="B3810" s="9" t="s">
        <v>20509</v>
      </c>
      <c r="C3810" s="8" t="s">
        <v>20510</v>
      </c>
      <c r="D3810" s="8" t="s">
        <v>20510</v>
      </c>
      <c r="E3810" s="8" t="s">
        <v>20511</v>
      </c>
      <c r="F3810" s="8" t="s">
        <v>20512</v>
      </c>
      <c r="G3810" s="8" t="s">
        <v>20513</v>
      </c>
      <c r="H3810" s="8" t="s">
        <v>20514</v>
      </c>
      <c r="I3810" s="8" t="str">
        <f>HYPERLINK("http://normajbaker.it/","normajbaker.it")</f>
        <v>normajbaker.it</v>
      </c>
      <c r="J3810" s="10">
        <v>654.12800000000004</v>
      </c>
      <c r="K3810" s="10">
        <v>654.12800000000004</v>
      </c>
      <c r="L3810" s="10">
        <v>446.58499999999998</v>
      </c>
      <c r="M3810" s="10">
        <v>44.575000000000003</v>
      </c>
      <c r="N3810" s="10">
        <v>44.575000000000003</v>
      </c>
      <c r="O3810" s="10">
        <v>1.611</v>
      </c>
      <c r="P3810" s="10">
        <v>1</v>
      </c>
      <c r="Q3810" s="10">
        <v>1</v>
      </c>
      <c r="R3810" s="10">
        <v>1</v>
      </c>
    </row>
    <row r="3811" spans="1:18" ht="17" customHeight="1" x14ac:dyDescent="0.15">
      <c r="A3811" s="11" t="s">
        <v>20515</v>
      </c>
      <c r="B3811" s="1" t="s">
        <v>20516</v>
      </c>
      <c r="C3811" s="11" t="s">
        <v>20517</v>
      </c>
      <c r="D3811" s="11" t="s">
        <v>20517</v>
      </c>
      <c r="E3811" s="11" t="s">
        <v>20518</v>
      </c>
      <c r="F3811" s="11" t="s">
        <v>20519</v>
      </c>
      <c r="G3811" s="11" t="s">
        <v>20520</v>
      </c>
      <c r="H3811" s="11" t="s">
        <v>20521</v>
      </c>
      <c r="I3811" s="11" t="str">
        <f>HYPERLINK("http://kultureshop.it/","kultureshop.it")</f>
        <v>kultureshop.it</v>
      </c>
      <c r="J3811" s="12">
        <v>446.4</v>
      </c>
      <c r="K3811" s="14" t="s">
        <v>20522</v>
      </c>
      <c r="L3811" s="13">
        <v>446.4</v>
      </c>
      <c r="M3811" s="12">
        <v>3.06</v>
      </c>
      <c r="N3811" s="14" t="s">
        <v>20522</v>
      </c>
      <c r="O3811" s="12">
        <v>3.06</v>
      </c>
      <c r="P3811" s="12">
        <v>4</v>
      </c>
      <c r="Q3811" s="14" t="s">
        <v>20522</v>
      </c>
      <c r="R3811" s="12">
        <v>4</v>
      </c>
    </row>
    <row r="3812" spans="1:18" ht="17" customHeight="1" x14ac:dyDescent="0.15">
      <c r="A3812" s="8" t="s">
        <v>20523</v>
      </c>
      <c r="B3812" s="9" t="s">
        <v>20524</v>
      </c>
      <c r="C3812" s="8" t="s">
        <v>20525</v>
      </c>
      <c r="D3812" s="8" t="s">
        <v>20525</v>
      </c>
      <c r="E3812" s="8" t="s">
        <v>20526</v>
      </c>
      <c r="F3812" s="8" t="s">
        <v>20527</v>
      </c>
      <c r="G3812" s="8" t="s">
        <v>20528</v>
      </c>
      <c r="H3812" s="8" t="s">
        <v>20529</v>
      </c>
      <c r="I3812" s="8" t="str">
        <f>HYPERLINK("http://ethel.it/","ethel.it")</f>
        <v>ethel.it</v>
      </c>
      <c r="J3812" s="10">
        <v>429.44400000000002</v>
      </c>
      <c r="K3812" s="10">
        <v>429.44400000000002</v>
      </c>
      <c r="L3812" s="10">
        <v>445.60500000000002</v>
      </c>
      <c r="M3812" s="10">
        <v>16.254000000000001</v>
      </c>
      <c r="N3812" s="10">
        <v>16.254000000000001</v>
      </c>
      <c r="O3812" s="10">
        <v>-37.856999999999999</v>
      </c>
      <c r="P3812" s="15" t="s">
        <v>20522</v>
      </c>
      <c r="Q3812" s="15" t="s">
        <v>20522</v>
      </c>
      <c r="R3812" s="10">
        <v>7</v>
      </c>
    </row>
    <row r="3813" spans="1:18" ht="17" customHeight="1" x14ac:dyDescent="0.15">
      <c r="A3813" s="11" t="s">
        <v>20530</v>
      </c>
      <c r="B3813" s="1" t="s">
        <v>20531</v>
      </c>
      <c r="C3813" s="11" t="s">
        <v>20532</v>
      </c>
      <c r="D3813" s="11" t="s">
        <v>20532</v>
      </c>
      <c r="E3813" s="11" t="s">
        <v>20533</v>
      </c>
      <c r="F3813" s="11" t="s">
        <v>20534</v>
      </c>
      <c r="G3813" s="11" t="s">
        <v>20535</v>
      </c>
      <c r="H3813" s="11" t="s">
        <v>20536</v>
      </c>
      <c r="I3813" s="11" t="str">
        <f>HYPERLINK("http://www.eramilano.it/","www.eramilano.it")</f>
        <v>www.eramilano.it</v>
      </c>
      <c r="J3813" s="12">
        <v>507.94400000000002</v>
      </c>
      <c r="K3813" s="12">
        <v>507.94400000000002</v>
      </c>
      <c r="L3813" s="13">
        <v>445.32100000000003</v>
      </c>
      <c r="M3813" s="12">
        <v>35.026000000000003</v>
      </c>
      <c r="N3813" s="12">
        <v>35.026000000000003</v>
      </c>
      <c r="O3813" s="12">
        <v>38.884999999999998</v>
      </c>
      <c r="P3813" s="14" t="s">
        <v>20522</v>
      </c>
      <c r="Q3813" s="14" t="s">
        <v>20522</v>
      </c>
      <c r="R3813" s="12">
        <v>13</v>
      </c>
    </row>
    <row r="3814" spans="1:18" ht="43" customHeight="1" x14ac:dyDescent="0.15">
      <c r="A3814" s="8" t="s">
        <v>20537</v>
      </c>
      <c r="B3814" s="9" t="s">
        <v>20538</v>
      </c>
      <c r="C3814" s="8" t="s">
        <v>20539</v>
      </c>
      <c r="D3814" s="8" t="s">
        <v>20539</v>
      </c>
      <c r="E3814" s="8" t="s">
        <v>20540</v>
      </c>
      <c r="F3814" s="8" t="s">
        <v>20534</v>
      </c>
      <c r="G3814" s="8" t="s">
        <v>20541</v>
      </c>
      <c r="H3814" s="8" t="s">
        <v>20542</v>
      </c>
      <c r="I3814" s="8" t="str">
        <f>HYPERLINK("http://www.averardobessi.com/","www.averardobessi.com")</f>
        <v>www.averardobessi.com</v>
      </c>
      <c r="J3814" s="10">
        <v>557.61599999999999</v>
      </c>
      <c r="K3814" s="10">
        <v>557.61599999999999</v>
      </c>
      <c r="L3814" s="10">
        <v>445.19299999999998</v>
      </c>
      <c r="M3814" s="10">
        <v>9.2309999999999999</v>
      </c>
      <c r="N3814" s="10">
        <v>9.2309999999999999</v>
      </c>
      <c r="O3814" s="10">
        <v>2.8340000000000001</v>
      </c>
      <c r="P3814" s="10">
        <v>0</v>
      </c>
      <c r="Q3814" s="10">
        <v>0</v>
      </c>
      <c r="R3814" s="10">
        <v>0</v>
      </c>
    </row>
    <row r="3815" spans="1:18" ht="29.5" customHeight="1" x14ac:dyDescent="0.15">
      <c r="A3815" s="11" t="s">
        <v>20543</v>
      </c>
      <c r="B3815" s="1" t="s">
        <v>20544</v>
      </c>
      <c r="C3815" s="11" t="s">
        <v>20545</v>
      </c>
      <c r="D3815" s="11" t="s">
        <v>20545</v>
      </c>
      <c r="E3815" s="11" t="s">
        <v>20546</v>
      </c>
      <c r="F3815" s="11" t="s">
        <v>20547</v>
      </c>
      <c r="G3815" s="11" t="s">
        <v>20541</v>
      </c>
      <c r="H3815" s="11" t="s">
        <v>20542</v>
      </c>
      <c r="I3815" s="11" t="str">
        <f>HYPERLINK("http://www.spallinificiosansano.it/","www.spallinificiosansano.it")</f>
        <v>www.spallinificiosansano.it</v>
      </c>
      <c r="J3815" s="12">
        <v>459.78199999999998</v>
      </c>
      <c r="K3815" s="12">
        <v>459.78199999999998</v>
      </c>
      <c r="L3815" s="13">
        <v>442.26799999999997</v>
      </c>
      <c r="M3815" s="12">
        <v>1.7749999999999999</v>
      </c>
      <c r="N3815" s="12">
        <v>1.7749999999999999</v>
      </c>
      <c r="O3815" s="12">
        <v>53.966999999999999</v>
      </c>
      <c r="P3815" s="12">
        <v>3</v>
      </c>
      <c r="Q3815" s="12">
        <v>3</v>
      </c>
      <c r="R3815" s="12">
        <v>2</v>
      </c>
    </row>
    <row r="3816" spans="1:18" ht="17" customHeight="1" x14ac:dyDescent="0.15">
      <c r="A3816" s="8" t="s">
        <v>20548</v>
      </c>
      <c r="B3816" s="9" t="s">
        <v>20549</v>
      </c>
      <c r="C3816" s="8" t="s">
        <v>20550</v>
      </c>
      <c r="D3816" s="8" t="s">
        <v>20550</v>
      </c>
      <c r="E3816" s="8" t="s">
        <v>20551</v>
      </c>
      <c r="F3816" s="8" t="s">
        <v>20547</v>
      </c>
      <c r="G3816" s="8" t="s">
        <v>20552</v>
      </c>
      <c r="H3816" s="8" t="s">
        <v>20553</v>
      </c>
      <c r="I3816" s="8" t="str">
        <f>HYPERLINK("http://etichettificioctb.it/","etichettificioctb.it")</f>
        <v>etichettificioctb.it</v>
      </c>
      <c r="J3816" s="10">
        <v>466.495</v>
      </c>
      <c r="K3816" s="10">
        <v>466.495</v>
      </c>
      <c r="L3816" s="10">
        <v>441.56</v>
      </c>
      <c r="M3816" s="10">
        <v>32.369999999999997</v>
      </c>
      <c r="N3816" s="10">
        <v>32.369999999999997</v>
      </c>
      <c r="O3816" s="10">
        <v>16.036999999999999</v>
      </c>
      <c r="P3816" s="10">
        <v>5</v>
      </c>
      <c r="Q3816" s="10">
        <v>5</v>
      </c>
      <c r="R3816" s="10">
        <v>7</v>
      </c>
    </row>
    <row r="3817" spans="1:18" ht="17" customHeight="1" x14ac:dyDescent="0.15">
      <c r="A3817" s="11" t="s">
        <v>20554</v>
      </c>
      <c r="B3817" s="1" t="s">
        <v>20555</v>
      </c>
      <c r="C3817" s="11" t="s">
        <v>20556</v>
      </c>
      <c r="D3817" s="11" t="s">
        <v>20556</v>
      </c>
      <c r="E3817" s="11" t="s">
        <v>20557</v>
      </c>
      <c r="F3817" s="11" t="s">
        <v>20558</v>
      </c>
      <c r="G3817" s="11" t="s">
        <v>20559</v>
      </c>
      <c r="H3817" s="11" t="s">
        <v>20521</v>
      </c>
      <c r="I3817" s="11" t="str">
        <f>HYPERLINK("http://www.shibumi-italy.com/","www.shibumi-italy.com")</f>
        <v>www.shibumi-italy.com</v>
      </c>
      <c r="J3817" s="12">
        <v>342.64299999999997</v>
      </c>
      <c r="K3817" s="12">
        <v>342.64299999999997</v>
      </c>
      <c r="L3817" s="13">
        <v>441.30399999999997</v>
      </c>
      <c r="M3817" s="12">
        <v>-40.558999999999997</v>
      </c>
      <c r="N3817" s="12">
        <v>-40.558999999999997</v>
      </c>
      <c r="O3817" s="12">
        <v>2.7</v>
      </c>
      <c r="P3817" s="14" t="s">
        <v>20522</v>
      </c>
      <c r="Q3817" s="14" t="s">
        <v>20522</v>
      </c>
      <c r="R3817" s="12">
        <v>3</v>
      </c>
    </row>
    <row r="3818" spans="1:18" ht="17" customHeight="1" x14ac:dyDescent="0.15">
      <c r="A3818" s="8" t="s">
        <v>20560</v>
      </c>
      <c r="B3818" s="9" t="s">
        <v>20561</v>
      </c>
      <c r="C3818" s="8" t="s">
        <v>20562</v>
      </c>
      <c r="D3818" s="8" t="s">
        <v>20562</v>
      </c>
      <c r="E3818" s="8" t="s">
        <v>20563</v>
      </c>
      <c r="F3818" s="8" t="s">
        <v>20564</v>
      </c>
      <c r="G3818" s="8" t="s">
        <v>20565</v>
      </c>
      <c r="H3818" s="8" t="s">
        <v>20566</v>
      </c>
      <c r="I3818" s="8" t="str">
        <f>HYPERLINK("http://www.prontosport.it/","www.prontosport.it")</f>
        <v>www.prontosport.it</v>
      </c>
      <c r="J3818" s="10">
        <v>343.45499999999998</v>
      </c>
      <c r="K3818" s="10">
        <v>343.45499999999998</v>
      </c>
      <c r="L3818" s="10">
        <v>441.15100000000001</v>
      </c>
      <c r="M3818" s="10">
        <v>-44.238999999999997</v>
      </c>
      <c r="N3818" s="10">
        <v>-44.238999999999997</v>
      </c>
      <c r="O3818" s="10">
        <v>14.565</v>
      </c>
      <c r="P3818" s="10">
        <v>3</v>
      </c>
      <c r="Q3818" s="10">
        <v>3</v>
      </c>
      <c r="R3818" s="10">
        <v>1</v>
      </c>
    </row>
    <row r="3819" spans="1:18" ht="17" customHeight="1" x14ac:dyDescent="0.15">
      <c r="A3819" s="11" t="s">
        <v>20567</v>
      </c>
      <c r="B3819" s="1" t="s">
        <v>20568</v>
      </c>
      <c r="C3819" s="11" t="s">
        <v>20569</v>
      </c>
      <c r="D3819" s="11" t="s">
        <v>20569</v>
      </c>
      <c r="E3819" s="11" t="s">
        <v>20570</v>
      </c>
      <c r="F3819" s="11" t="s">
        <v>20519</v>
      </c>
      <c r="G3819" s="11" t="s">
        <v>20571</v>
      </c>
      <c r="H3819" s="11" t="s">
        <v>20514</v>
      </c>
      <c r="I3819" s="11" t="str">
        <f>HYPERLINK("http://www.cocciaeco.it/","www.cocciaeco.it")</f>
        <v>www.cocciaeco.it</v>
      </c>
      <c r="J3819" s="12">
        <v>401.012</v>
      </c>
      <c r="K3819" s="12">
        <v>401.012</v>
      </c>
      <c r="L3819" s="13">
        <v>440.726</v>
      </c>
      <c r="M3819" s="12">
        <v>5.6550000000000002</v>
      </c>
      <c r="N3819" s="12">
        <v>5.6550000000000002</v>
      </c>
      <c r="O3819" s="12">
        <v>21.356999999999999</v>
      </c>
      <c r="P3819" s="12">
        <v>6</v>
      </c>
      <c r="Q3819" s="12">
        <v>6</v>
      </c>
      <c r="R3819" s="12">
        <v>7</v>
      </c>
    </row>
    <row r="3820" spans="1:18" ht="17" customHeight="1" x14ac:dyDescent="0.15">
      <c r="A3820" s="8" t="s">
        <v>20572</v>
      </c>
      <c r="B3820" s="9" t="s">
        <v>20573</v>
      </c>
      <c r="C3820" s="8" t="s">
        <v>20574</v>
      </c>
      <c r="D3820" s="8" t="s">
        <v>20574</v>
      </c>
      <c r="E3820" s="8" t="s">
        <v>20575</v>
      </c>
      <c r="F3820" s="8" t="s">
        <v>20576</v>
      </c>
      <c r="G3820" s="8" t="s">
        <v>20577</v>
      </c>
      <c r="H3820" s="8" t="s">
        <v>20529</v>
      </c>
      <c r="I3820" s="8" t="str">
        <f>HYPERLINK("http://www.eurosab.com/","www.eurosab.com")</f>
        <v>www.eurosab.com</v>
      </c>
      <c r="J3820" s="10">
        <v>316.55700000000002</v>
      </c>
      <c r="K3820" s="10">
        <v>316.55700000000002</v>
      </c>
      <c r="L3820" s="10">
        <v>440.673</v>
      </c>
      <c r="M3820" s="10">
        <v>13.731999999999999</v>
      </c>
      <c r="N3820" s="10">
        <v>13.731999999999999</v>
      </c>
      <c r="O3820" s="10">
        <v>30.215</v>
      </c>
      <c r="P3820" s="15" t="s">
        <v>20522</v>
      </c>
      <c r="Q3820" s="15" t="s">
        <v>20522</v>
      </c>
      <c r="R3820" s="10">
        <v>6</v>
      </c>
    </row>
    <row r="3821" spans="1:18" ht="29.5" customHeight="1" x14ac:dyDescent="0.15">
      <c r="A3821" s="11" t="s">
        <v>20578</v>
      </c>
      <c r="B3821" s="1" t="s">
        <v>20579</v>
      </c>
      <c r="C3821" s="11" t="s">
        <v>20580</v>
      </c>
      <c r="D3821" s="11" t="s">
        <v>20580</v>
      </c>
      <c r="E3821" s="11" t="s">
        <v>20581</v>
      </c>
      <c r="F3821" s="11" t="s">
        <v>20534</v>
      </c>
      <c r="G3821" s="11" t="s">
        <v>20535</v>
      </c>
      <c r="H3821" s="11" t="s">
        <v>20536</v>
      </c>
      <c r="I3821" s="11" t="str">
        <f>HYPERLINK("http://www.ecobatt.it/","www.ecobatt.it")</f>
        <v>www.ecobatt.it</v>
      </c>
      <c r="J3821" s="12">
        <v>862.04300000000001</v>
      </c>
      <c r="K3821" s="12">
        <v>862.04300000000001</v>
      </c>
      <c r="L3821" s="13">
        <v>440.12900000000002</v>
      </c>
      <c r="M3821" s="12">
        <v>25.776</v>
      </c>
      <c r="N3821" s="12">
        <v>25.776</v>
      </c>
      <c r="O3821" s="12">
        <v>26.853000000000002</v>
      </c>
      <c r="P3821" s="14" t="s">
        <v>20522</v>
      </c>
      <c r="Q3821" s="14" t="s">
        <v>20522</v>
      </c>
      <c r="R3821" s="12">
        <v>5</v>
      </c>
    </row>
    <row r="3822" spans="1:18" ht="17" customHeight="1" x14ac:dyDescent="0.15">
      <c r="A3822" s="8" t="s">
        <v>20582</v>
      </c>
      <c r="B3822" s="9" t="s">
        <v>20583</v>
      </c>
      <c r="C3822" s="8" t="s">
        <v>20584</v>
      </c>
      <c r="D3822" s="8" t="s">
        <v>20584</v>
      </c>
      <c r="E3822" s="8" t="s">
        <v>20585</v>
      </c>
      <c r="F3822" s="8" t="s">
        <v>20586</v>
      </c>
      <c r="G3822" s="8" t="s">
        <v>20587</v>
      </c>
      <c r="H3822" s="8" t="s">
        <v>20588</v>
      </c>
      <c r="I3822" s="8" t="str">
        <f>HYPERLINK("http://www.sadivestiario.com/","www.sadivestiario.com")</f>
        <v>www.sadivestiario.com</v>
      </c>
      <c r="J3822" s="10">
        <v>387.48500000000001</v>
      </c>
      <c r="K3822" s="10">
        <v>387.48500000000001</v>
      </c>
      <c r="L3822" s="10">
        <v>439.23</v>
      </c>
      <c r="M3822" s="10">
        <v>1.669</v>
      </c>
      <c r="N3822" s="10">
        <v>1.669</v>
      </c>
      <c r="O3822" s="10">
        <v>-12.098000000000001</v>
      </c>
      <c r="P3822" s="10">
        <v>2</v>
      </c>
      <c r="Q3822" s="10">
        <v>2</v>
      </c>
      <c r="R3822" s="10">
        <v>3</v>
      </c>
    </row>
    <row r="3823" spans="1:18" ht="17" customHeight="1" x14ac:dyDescent="0.15">
      <c r="A3823" s="11" t="s">
        <v>20589</v>
      </c>
      <c r="B3823" s="1" t="s">
        <v>20590</v>
      </c>
      <c r="C3823" s="11" t="s">
        <v>20591</v>
      </c>
      <c r="D3823" s="11" t="s">
        <v>20591</v>
      </c>
      <c r="E3823" s="11" t="s">
        <v>20592</v>
      </c>
      <c r="F3823" s="11" t="s">
        <v>20586</v>
      </c>
      <c r="G3823" s="11" t="s">
        <v>20577</v>
      </c>
      <c r="H3823" s="11" t="s">
        <v>20529</v>
      </c>
      <c r="I3823" s="11" t="str">
        <f>HYPERLINK("http://www.brickmanovengloves.com/","www.brickmanovengloves.com")</f>
        <v>www.brickmanovengloves.com</v>
      </c>
      <c r="J3823" s="12">
        <v>625.18100000000004</v>
      </c>
      <c r="K3823" s="12">
        <v>625.18100000000004</v>
      </c>
      <c r="L3823" s="13">
        <v>439.10599999999999</v>
      </c>
      <c r="M3823" s="12">
        <v>4.968</v>
      </c>
      <c r="N3823" s="12">
        <v>4.968</v>
      </c>
      <c r="O3823" s="12">
        <v>16.635000000000002</v>
      </c>
      <c r="P3823" s="12">
        <v>1</v>
      </c>
      <c r="Q3823" s="12">
        <v>1</v>
      </c>
      <c r="R3823" s="12">
        <v>0</v>
      </c>
    </row>
    <row r="3824" spans="1:18" ht="17" customHeight="1" x14ac:dyDescent="0.15">
      <c r="A3824" s="8" t="s">
        <v>20593</v>
      </c>
      <c r="B3824" s="9" t="s">
        <v>20594</v>
      </c>
      <c r="C3824" s="8" t="s">
        <v>20595</v>
      </c>
      <c r="D3824" s="8" t="s">
        <v>20595</v>
      </c>
      <c r="E3824" s="8" t="s">
        <v>20596</v>
      </c>
      <c r="F3824" s="8" t="s">
        <v>20512</v>
      </c>
      <c r="G3824" s="8" t="s">
        <v>20528</v>
      </c>
      <c r="H3824" s="8" t="s">
        <v>20529</v>
      </c>
      <c r="I3824" s="8" t="str">
        <f>HYPERLINK("http://www.terrafermaitalia.com/","www.terrafermaitalia.com")</f>
        <v>www.terrafermaitalia.com</v>
      </c>
      <c r="J3824" s="10">
        <v>320.98399999999998</v>
      </c>
      <c r="K3824" s="10">
        <v>320.98399999999998</v>
      </c>
      <c r="L3824" s="10">
        <v>438.76600000000002</v>
      </c>
      <c r="M3824" s="10">
        <v>22.318000000000001</v>
      </c>
      <c r="N3824" s="10">
        <v>22.318000000000001</v>
      </c>
      <c r="O3824" s="10">
        <v>18.138999999999999</v>
      </c>
      <c r="P3824" s="10">
        <v>0</v>
      </c>
      <c r="Q3824" s="10">
        <v>0</v>
      </c>
      <c r="R3824" s="10">
        <v>0</v>
      </c>
    </row>
    <row r="3825" spans="1:18" ht="17" customHeight="1" x14ac:dyDescent="0.15">
      <c r="A3825" s="11" t="s">
        <v>20597</v>
      </c>
      <c r="B3825" s="1" t="s">
        <v>20598</v>
      </c>
      <c r="C3825" s="11" t="s">
        <v>20599</v>
      </c>
      <c r="D3825" s="11" t="s">
        <v>20599</v>
      </c>
      <c r="E3825" s="11" t="s">
        <v>20600</v>
      </c>
      <c r="F3825" s="11" t="s">
        <v>20527</v>
      </c>
      <c r="G3825" s="11" t="s">
        <v>20601</v>
      </c>
      <c r="H3825" s="11" t="s">
        <v>20566</v>
      </c>
      <c r="I3825" s="11" t="str">
        <f>HYPERLINK("http://www.blueform.it/","www.blueform.it")</f>
        <v>www.blueform.it</v>
      </c>
      <c r="J3825" s="12">
        <v>387.63299999999998</v>
      </c>
      <c r="K3825" s="12">
        <v>387.63299999999998</v>
      </c>
      <c r="L3825" s="13">
        <v>436.67</v>
      </c>
      <c r="M3825" s="12">
        <v>2.9849999999999999</v>
      </c>
      <c r="N3825" s="12">
        <v>2.9849999999999999</v>
      </c>
      <c r="O3825" s="12">
        <v>1.4079999999999999</v>
      </c>
      <c r="P3825" s="12">
        <v>3</v>
      </c>
      <c r="Q3825" s="12">
        <v>3</v>
      </c>
      <c r="R3825" s="12">
        <v>1</v>
      </c>
    </row>
    <row r="3826" spans="1:18" ht="17" customHeight="1" x14ac:dyDescent="0.15">
      <c r="A3826" s="8" t="s">
        <v>20602</v>
      </c>
      <c r="B3826" s="9" t="s">
        <v>20603</v>
      </c>
      <c r="C3826" s="8" t="s">
        <v>20604</v>
      </c>
      <c r="D3826" s="8" t="s">
        <v>20604</v>
      </c>
      <c r="E3826" s="8" t="s">
        <v>20605</v>
      </c>
      <c r="F3826" s="8" t="s">
        <v>20606</v>
      </c>
      <c r="G3826" s="8" t="s">
        <v>20607</v>
      </c>
      <c r="H3826" s="8" t="s">
        <v>20566</v>
      </c>
      <c r="I3826" s="8" t="str">
        <f>HYPERLINK("http://www.maglierie-effegi.it/","www.maglierie-effegi.it")</f>
        <v>www.maglierie-effegi.it</v>
      </c>
      <c r="J3826" s="10">
        <v>351.75099999999998</v>
      </c>
      <c r="K3826" s="10">
        <v>351.75099999999998</v>
      </c>
      <c r="L3826" s="10">
        <v>435.64299999999997</v>
      </c>
      <c r="M3826" s="10">
        <v>20.596</v>
      </c>
      <c r="N3826" s="10">
        <v>20.596</v>
      </c>
      <c r="O3826" s="10">
        <v>60.465000000000003</v>
      </c>
      <c r="P3826" s="10">
        <v>2</v>
      </c>
      <c r="Q3826" s="10">
        <v>2</v>
      </c>
      <c r="R3826" s="10">
        <v>4</v>
      </c>
    </row>
    <row r="3827" spans="1:18" ht="17" customHeight="1" x14ac:dyDescent="0.15">
      <c r="A3827" s="11" t="s">
        <v>20608</v>
      </c>
      <c r="B3827" s="1" t="s">
        <v>20609</v>
      </c>
      <c r="C3827" s="11" t="s">
        <v>20610</v>
      </c>
      <c r="D3827" s="11" t="s">
        <v>20610</v>
      </c>
      <c r="E3827" s="11" t="s">
        <v>20611</v>
      </c>
      <c r="F3827" s="11" t="s">
        <v>20512</v>
      </c>
      <c r="G3827" s="11" t="s">
        <v>20513</v>
      </c>
      <c r="H3827" s="11" t="s">
        <v>20514</v>
      </c>
      <c r="I3827" s="11" t="str">
        <f>HYPERLINK("http://www.calzaturificiosg.it/","www.calzaturificiosg.it")</f>
        <v>www.calzaturificiosg.it</v>
      </c>
      <c r="J3827" s="12">
        <v>355.17500000000001</v>
      </c>
      <c r="K3827" s="12">
        <v>355.17500000000001</v>
      </c>
      <c r="L3827" s="13">
        <v>435.43599999999998</v>
      </c>
      <c r="M3827" s="12">
        <v>12.563000000000001</v>
      </c>
      <c r="N3827" s="12">
        <v>12.563000000000001</v>
      </c>
      <c r="O3827" s="12">
        <v>10.747</v>
      </c>
      <c r="P3827" s="12">
        <v>3</v>
      </c>
      <c r="Q3827" s="12">
        <v>3</v>
      </c>
      <c r="R3827" s="12">
        <v>4</v>
      </c>
    </row>
    <row r="3828" spans="1:18" ht="17" customHeight="1" x14ac:dyDescent="0.15">
      <c r="A3828" s="8" t="s">
        <v>20612</v>
      </c>
      <c r="B3828" s="9" t="s">
        <v>20613</v>
      </c>
      <c r="C3828" s="8" t="s">
        <v>20614</v>
      </c>
      <c r="D3828" s="8" t="s">
        <v>20614</v>
      </c>
      <c r="E3828" s="8" t="s">
        <v>20615</v>
      </c>
      <c r="F3828" s="8" t="s">
        <v>20519</v>
      </c>
      <c r="G3828" s="8" t="s">
        <v>20571</v>
      </c>
      <c r="H3828" s="8" t="s">
        <v>20514</v>
      </c>
      <c r="I3828" s="8" t="str">
        <f>HYPERLINK("http://www.solettificioemme3.com/","www.solettificioemme3.com")</f>
        <v>www.solettificioemme3.com</v>
      </c>
      <c r="J3828" s="10">
        <v>425.36099999999999</v>
      </c>
      <c r="K3828" s="10">
        <v>425.36099999999999</v>
      </c>
      <c r="L3828" s="10">
        <v>435.233</v>
      </c>
      <c r="M3828" s="10">
        <v>31.797000000000001</v>
      </c>
      <c r="N3828" s="10">
        <v>31.797000000000001</v>
      </c>
      <c r="O3828" s="10">
        <v>63.49</v>
      </c>
      <c r="P3828" s="10">
        <v>3</v>
      </c>
      <c r="Q3828" s="10">
        <v>3</v>
      </c>
      <c r="R3828" s="10">
        <v>3</v>
      </c>
    </row>
    <row r="3829" spans="1:18" ht="17" customHeight="1" x14ac:dyDescent="0.15">
      <c r="A3829" s="11" t="s">
        <v>20616</v>
      </c>
      <c r="B3829" s="1" t="s">
        <v>20617</v>
      </c>
      <c r="C3829" s="11" t="s">
        <v>20618</v>
      </c>
      <c r="D3829" s="11" t="s">
        <v>20618</v>
      </c>
      <c r="E3829" s="11" t="s">
        <v>20619</v>
      </c>
      <c r="F3829" s="11" t="s">
        <v>20620</v>
      </c>
      <c r="G3829" s="11" t="s">
        <v>20621</v>
      </c>
      <c r="H3829" s="11" t="s">
        <v>20521</v>
      </c>
      <c r="I3829" s="11" t="str">
        <f>HYPERLINK("http://www.lineamareblu.it/","www.lineamareblu.it")</f>
        <v>www.lineamareblu.it</v>
      </c>
      <c r="J3829" s="12">
        <v>482.40800000000002</v>
      </c>
      <c r="K3829" s="12">
        <v>468.45299999999997</v>
      </c>
      <c r="L3829" s="13">
        <v>434.113</v>
      </c>
      <c r="M3829" s="12">
        <v>12.827</v>
      </c>
      <c r="N3829" s="12">
        <v>9.7200000000000006</v>
      </c>
      <c r="O3829" s="12">
        <v>5.4260000000000002</v>
      </c>
      <c r="P3829" s="12">
        <v>0</v>
      </c>
      <c r="Q3829" s="12">
        <v>0</v>
      </c>
      <c r="R3829" s="12">
        <v>0</v>
      </c>
    </row>
    <row r="3830" spans="1:18" ht="29.5" customHeight="1" x14ac:dyDescent="0.15">
      <c r="A3830" s="8" t="s">
        <v>20622</v>
      </c>
      <c r="B3830" s="9" t="s">
        <v>20623</v>
      </c>
      <c r="C3830" s="8" t="s">
        <v>20624</v>
      </c>
      <c r="D3830" s="8" t="s">
        <v>20624</v>
      </c>
      <c r="E3830" s="8" t="s">
        <v>20625</v>
      </c>
      <c r="F3830" s="8" t="s">
        <v>20512</v>
      </c>
      <c r="G3830" s="8" t="s">
        <v>20626</v>
      </c>
      <c r="H3830" s="8" t="s">
        <v>20626</v>
      </c>
      <c r="I3830" s="8" t="str">
        <f>HYPERLINK("http://www.dsocka.com/","www.dsocka.com")</f>
        <v>www.dsocka.com</v>
      </c>
      <c r="J3830" s="10">
        <v>584.678</v>
      </c>
      <c r="K3830" s="10">
        <v>584.678</v>
      </c>
      <c r="L3830" s="10">
        <v>433.33199999999999</v>
      </c>
      <c r="M3830" s="10">
        <v>16.981000000000002</v>
      </c>
      <c r="N3830" s="10">
        <v>16.981000000000002</v>
      </c>
      <c r="O3830" s="10">
        <v>49.573999999999998</v>
      </c>
      <c r="P3830" s="15" t="s">
        <v>20522</v>
      </c>
      <c r="Q3830" s="15" t="s">
        <v>20522</v>
      </c>
      <c r="R3830" s="10">
        <v>4</v>
      </c>
    </row>
    <row r="3831" spans="1:18" ht="17" customHeight="1" x14ac:dyDescent="0.15">
      <c r="A3831" s="11" t="s">
        <v>20627</v>
      </c>
      <c r="B3831" s="1" t="s">
        <v>20628</v>
      </c>
      <c r="C3831" s="11" t="s">
        <v>20629</v>
      </c>
      <c r="D3831" s="11" t="s">
        <v>20629</v>
      </c>
      <c r="E3831" s="11" t="s">
        <v>20630</v>
      </c>
      <c r="F3831" s="11" t="s">
        <v>20512</v>
      </c>
      <c r="G3831" s="11" t="s">
        <v>20631</v>
      </c>
      <c r="H3831" s="11" t="s">
        <v>20529</v>
      </c>
      <c r="I3831" s="11" t="str">
        <f>HYPERLINK("http://www.panchic.it/","www.panchic.it")</f>
        <v>www.panchic.it</v>
      </c>
      <c r="J3831" s="12">
        <v>10980.977999999999</v>
      </c>
      <c r="K3831" s="12">
        <v>10980.977999999999</v>
      </c>
      <c r="L3831" s="13">
        <v>433.108</v>
      </c>
      <c r="M3831" s="12">
        <v>-1202.4960000000001</v>
      </c>
      <c r="N3831" s="12">
        <v>-1202.4960000000001</v>
      </c>
      <c r="O3831" s="12">
        <v>-679.01800000000003</v>
      </c>
      <c r="P3831" s="12">
        <v>53</v>
      </c>
      <c r="Q3831" s="12">
        <v>53</v>
      </c>
      <c r="R3831" s="12">
        <v>46</v>
      </c>
    </row>
    <row r="3832" spans="1:18" ht="17" customHeight="1" x14ac:dyDescent="0.15">
      <c r="A3832" s="8" t="s">
        <v>20632</v>
      </c>
      <c r="B3832" s="9" t="s">
        <v>20633</v>
      </c>
      <c r="C3832" s="8" t="s">
        <v>20634</v>
      </c>
      <c r="D3832" s="8" t="s">
        <v>20634</v>
      </c>
      <c r="E3832" s="8" t="s">
        <v>20635</v>
      </c>
      <c r="F3832" s="8" t="s">
        <v>20527</v>
      </c>
      <c r="G3832" s="8" t="s">
        <v>20636</v>
      </c>
      <c r="H3832" s="8" t="s">
        <v>20536</v>
      </c>
      <c r="I3832" s="8" t="str">
        <f>HYPERLINK("http://www.quartacamicie.it/","www.quartacamicie.it")</f>
        <v>www.quartacamicie.it</v>
      </c>
      <c r="J3832" s="10">
        <v>432.38400000000001</v>
      </c>
      <c r="K3832" s="15" t="s">
        <v>20522</v>
      </c>
      <c r="L3832" s="10">
        <v>432.38400000000001</v>
      </c>
      <c r="M3832" s="10">
        <v>55.512999999999998</v>
      </c>
      <c r="N3832" s="15" t="s">
        <v>20522</v>
      </c>
      <c r="O3832" s="10">
        <v>55.512999999999998</v>
      </c>
      <c r="P3832" s="10">
        <v>18</v>
      </c>
      <c r="Q3832" s="15" t="s">
        <v>20522</v>
      </c>
      <c r="R3832" s="10">
        <v>18</v>
      </c>
    </row>
    <row r="3833" spans="1:18" ht="17" customHeight="1" x14ac:dyDescent="0.15">
      <c r="A3833" s="11" t="s">
        <v>20637</v>
      </c>
      <c r="B3833" s="1" t="s">
        <v>20638</v>
      </c>
      <c r="C3833" s="11" t="s">
        <v>20639</v>
      </c>
      <c r="D3833" s="11" t="s">
        <v>20640</v>
      </c>
      <c r="E3833" s="11" t="s">
        <v>20641</v>
      </c>
      <c r="F3833" s="11" t="s">
        <v>20519</v>
      </c>
      <c r="G3833" s="11" t="s">
        <v>20642</v>
      </c>
      <c r="H3833" s="11" t="s">
        <v>20566</v>
      </c>
      <c r="I3833" s="11" t="str">
        <f>HYPERLINK("http://www.solettificiobfb.com/","www.solettificiobfb.com")</f>
        <v>www.solettificiobfb.com</v>
      </c>
      <c r="J3833" s="12">
        <v>388.19099999999997</v>
      </c>
      <c r="K3833" s="12">
        <v>388.19099999999997</v>
      </c>
      <c r="L3833" s="13">
        <v>431.74799999999999</v>
      </c>
      <c r="M3833" s="12">
        <v>15.62</v>
      </c>
      <c r="N3833" s="12">
        <v>15.62</v>
      </c>
      <c r="O3833" s="12">
        <v>4.7430000000000003</v>
      </c>
      <c r="P3833" s="12">
        <v>8</v>
      </c>
      <c r="Q3833" s="12">
        <v>8</v>
      </c>
      <c r="R3833" s="12">
        <v>8</v>
      </c>
    </row>
    <row r="3834" spans="1:18" ht="17" customHeight="1" x14ac:dyDescent="0.15">
      <c r="A3834" s="8" t="s">
        <v>20643</v>
      </c>
      <c r="B3834" s="9" t="s">
        <v>20644</v>
      </c>
      <c r="C3834" s="8" t="s">
        <v>20645</v>
      </c>
      <c r="D3834" s="8" t="s">
        <v>20645</v>
      </c>
      <c r="E3834" s="8" t="s">
        <v>20646</v>
      </c>
      <c r="F3834" s="8" t="s">
        <v>20564</v>
      </c>
      <c r="G3834" s="8" t="s">
        <v>20647</v>
      </c>
      <c r="H3834" s="8" t="s">
        <v>20588</v>
      </c>
      <c r="I3834" s="8" t="str">
        <f>HYPERLINK("http://www.hollythelab.it/","www.hollythelab.it")</f>
        <v>www.hollythelab.it</v>
      </c>
      <c r="J3834" s="10">
        <v>471.87900000000002</v>
      </c>
      <c r="K3834" s="10">
        <v>471.87900000000002</v>
      </c>
      <c r="L3834" s="10">
        <v>431.40199999999999</v>
      </c>
      <c r="M3834" s="10">
        <v>24.733000000000001</v>
      </c>
      <c r="N3834" s="10">
        <v>24.733000000000001</v>
      </c>
      <c r="O3834" s="10">
        <v>2.7690000000000001</v>
      </c>
      <c r="P3834" s="15" t="s">
        <v>20522</v>
      </c>
      <c r="Q3834" s="15" t="s">
        <v>20522</v>
      </c>
      <c r="R3834" s="10">
        <v>4</v>
      </c>
    </row>
    <row r="3835" spans="1:18" ht="17" customHeight="1" x14ac:dyDescent="0.15">
      <c r="A3835" s="11" t="s">
        <v>20648</v>
      </c>
      <c r="B3835" s="1" t="s">
        <v>20649</v>
      </c>
      <c r="C3835" s="11" t="s">
        <v>20650</v>
      </c>
      <c r="D3835" s="11" t="s">
        <v>20650</v>
      </c>
      <c r="E3835" s="11" t="s">
        <v>20651</v>
      </c>
      <c r="F3835" s="11" t="s">
        <v>20652</v>
      </c>
      <c r="G3835" s="11" t="s">
        <v>20653</v>
      </c>
      <c r="H3835" s="11" t="s">
        <v>20654</v>
      </c>
      <c r="I3835" s="11" t="str">
        <f>HYPERLINK("http://decarlisfur.it/","decarlisfur.it")</f>
        <v>decarlisfur.it</v>
      </c>
      <c r="J3835" s="12">
        <v>521.34100000000001</v>
      </c>
      <c r="K3835" s="12">
        <v>521.34100000000001</v>
      </c>
      <c r="L3835" s="13">
        <v>431.19099999999997</v>
      </c>
      <c r="M3835" s="12">
        <v>39.878</v>
      </c>
      <c r="N3835" s="12">
        <v>39.878</v>
      </c>
      <c r="O3835" s="12">
        <v>73.635999999999996</v>
      </c>
      <c r="P3835" s="12">
        <v>2</v>
      </c>
      <c r="Q3835" s="12">
        <v>2</v>
      </c>
      <c r="R3835" s="12">
        <v>2</v>
      </c>
    </row>
    <row r="3836" spans="1:18" ht="17" customHeight="1" x14ac:dyDescent="0.15">
      <c r="A3836" s="8" t="s">
        <v>20655</v>
      </c>
      <c r="B3836" s="9" t="s">
        <v>20656</v>
      </c>
      <c r="C3836" s="8" t="s">
        <v>20657</v>
      </c>
      <c r="D3836" s="8" t="s">
        <v>20657</v>
      </c>
      <c r="E3836" s="8" t="s">
        <v>20658</v>
      </c>
      <c r="F3836" s="8" t="s">
        <v>20659</v>
      </c>
      <c r="G3836" s="8" t="s">
        <v>20660</v>
      </c>
      <c r="H3836" s="8" t="s">
        <v>20566</v>
      </c>
      <c r="I3836" s="8" t="str">
        <f>HYPERLINK("http://www.intimatti.it/","www.intimatti.it")</f>
        <v>www.intimatti.it</v>
      </c>
      <c r="J3836" s="10">
        <v>405.40499999999997</v>
      </c>
      <c r="K3836" s="10">
        <v>405.40499999999997</v>
      </c>
      <c r="L3836" s="10">
        <v>430.85</v>
      </c>
      <c r="M3836" s="10">
        <v>23.887</v>
      </c>
      <c r="N3836" s="10">
        <v>23.887</v>
      </c>
      <c r="O3836" s="10">
        <v>33.841000000000001</v>
      </c>
      <c r="P3836" s="10">
        <v>0</v>
      </c>
      <c r="Q3836" s="10">
        <v>0</v>
      </c>
      <c r="R3836" s="10">
        <v>0</v>
      </c>
    </row>
    <row r="3837" spans="1:18" ht="17" customHeight="1" x14ac:dyDescent="0.15">
      <c r="A3837" s="11" t="s">
        <v>20661</v>
      </c>
      <c r="B3837" s="1" t="s">
        <v>20662</v>
      </c>
      <c r="C3837" s="11" t="s">
        <v>20663</v>
      </c>
      <c r="D3837" s="11" t="s">
        <v>20663</v>
      </c>
      <c r="E3837" s="11" t="s">
        <v>20664</v>
      </c>
      <c r="F3837" s="11" t="s">
        <v>20547</v>
      </c>
      <c r="G3837" s="11" t="s">
        <v>20665</v>
      </c>
      <c r="H3837" s="11" t="s">
        <v>20666</v>
      </c>
      <c r="I3837" s="11" t="str">
        <f>HYPERLINK("http://www.deafashion.it/","www.deafashion.it")</f>
        <v>www.deafashion.it</v>
      </c>
      <c r="J3837" s="12">
        <v>489.61599999999999</v>
      </c>
      <c r="K3837" s="12">
        <v>489.61599999999999</v>
      </c>
      <c r="L3837" s="13">
        <v>430.51100000000002</v>
      </c>
      <c r="M3837" s="12">
        <v>7.5789999999999997</v>
      </c>
      <c r="N3837" s="12">
        <v>7.5789999999999997</v>
      </c>
      <c r="O3837" s="12">
        <v>5.8449999999999998</v>
      </c>
      <c r="P3837" s="14" t="s">
        <v>20522</v>
      </c>
      <c r="Q3837" s="14" t="s">
        <v>20522</v>
      </c>
      <c r="R3837" s="12">
        <v>12</v>
      </c>
    </row>
    <row r="3838" spans="1:18" ht="17" customHeight="1" x14ac:dyDescent="0.15">
      <c r="A3838" s="8" t="s">
        <v>20667</v>
      </c>
      <c r="B3838" s="9" t="s">
        <v>20668</v>
      </c>
      <c r="C3838" s="8" t="s">
        <v>20669</v>
      </c>
      <c r="D3838" s="8" t="s">
        <v>20669</v>
      </c>
      <c r="E3838" s="8" t="s">
        <v>20670</v>
      </c>
      <c r="F3838" s="8" t="s">
        <v>20671</v>
      </c>
      <c r="G3838" s="8" t="s">
        <v>20528</v>
      </c>
      <c r="H3838" s="8" t="s">
        <v>20529</v>
      </c>
      <c r="I3838" s="8" t="str">
        <f>HYPERLINK("http://www.pressopell.it/","www.pressopell.it")</f>
        <v>www.pressopell.it</v>
      </c>
      <c r="J3838" s="10">
        <v>294.96600000000001</v>
      </c>
      <c r="K3838" s="10">
        <v>294.96600000000001</v>
      </c>
      <c r="L3838" s="10">
        <v>430.541</v>
      </c>
      <c r="M3838" s="10">
        <v>-13.135</v>
      </c>
      <c r="N3838" s="10">
        <v>-13.135</v>
      </c>
      <c r="O3838" s="10">
        <v>-24.722999999999999</v>
      </c>
      <c r="P3838" s="10">
        <v>15</v>
      </c>
      <c r="Q3838" s="10">
        <v>15</v>
      </c>
      <c r="R3838" s="10">
        <v>12</v>
      </c>
    </row>
    <row r="3839" spans="1:18" ht="17" customHeight="1" x14ac:dyDescent="0.15">
      <c r="A3839" s="11" t="s">
        <v>20672</v>
      </c>
      <c r="B3839" s="1" t="s">
        <v>20673</v>
      </c>
      <c r="C3839" s="11" t="s">
        <v>20674</v>
      </c>
      <c r="D3839" s="11" t="s">
        <v>20674</v>
      </c>
      <c r="E3839" s="11" t="s">
        <v>20675</v>
      </c>
      <c r="F3839" s="11" t="s">
        <v>20534</v>
      </c>
      <c r="G3839" s="11" t="s">
        <v>20676</v>
      </c>
      <c r="H3839" s="11" t="s">
        <v>20536</v>
      </c>
      <c r="I3839" s="11" t="str">
        <f>HYPERLINK("http://www.sposaserena.it/","www.sposaserena.it")</f>
        <v>www.sposaserena.it</v>
      </c>
      <c r="J3839" s="12">
        <v>412.67500000000001</v>
      </c>
      <c r="K3839" s="12">
        <v>412.67500000000001</v>
      </c>
      <c r="L3839" s="13">
        <v>430.43400000000003</v>
      </c>
      <c r="M3839" s="12">
        <v>4.4249999999999998</v>
      </c>
      <c r="N3839" s="12">
        <v>4.4249999999999998</v>
      </c>
      <c r="O3839" s="12">
        <v>4.0789999999999997</v>
      </c>
      <c r="P3839" s="12">
        <v>13</v>
      </c>
      <c r="Q3839" s="12">
        <v>13</v>
      </c>
      <c r="R3839" s="12">
        <v>13</v>
      </c>
    </row>
    <row r="3840" spans="1:18" ht="17" customHeight="1" x14ac:dyDescent="0.15">
      <c r="A3840" s="8" t="s">
        <v>20677</v>
      </c>
      <c r="B3840" s="9" t="s">
        <v>20678</v>
      </c>
      <c r="C3840" s="8" t="s">
        <v>20679</v>
      </c>
      <c r="D3840" s="8" t="s">
        <v>20679</v>
      </c>
      <c r="E3840" s="8" t="s">
        <v>20680</v>
      </c>
      <c r="F3840" s="8" t="s">
        <v>20620</v>
      </c>
      <c r="G3840" s="8" t="s">
        <v>20528</v>
      </c>
      <c r="H3840" s="8" t="s">
        <v>20529</v>
      </c>
      <c r="I3840" s="8" t="str">
        <f>HYPERLINK("http://www.wradliving.com/","www.wradliving.com")</f>
        <v>www.wradliving.com</v>
      </c>
      <c r="J3840" s="10">
        <v>571.07399999999996</v>
      </c>
      <c r="K3840" s="10">
        <v>571.07399999999996</v>
      </c>
      <c r="L3840" s="10">
        <v>430.25900000000001</v>
      </c>
      <c r="M3840" s="10">
        <v>-43.859000000000002</v>
      </c>
      <c r="N3840" s="10">
        <v>-43.859000000000002</v>
      </c>
      <c r="O3840" s="10">
        <v>4.5220000000000002</v>
      </c>
      <c r="P3840" s="10">
        <v>3</v>
      </c>
      <c r="Q3840" s="10">
        <v>3</v>
      </c>
      <c r="R3840" s="10">
        <v>3</v>
      </c>
    </row>
    <row r="3841" spans="1:18" ht="43" customHeight="1" x14ac:dyDescent="0.15">
      <c r="A3841" s="11" t="s">
        <v>20681</v>
      </c>
      <c r="B3841" s="1" t="s">
        <v>20682</v>
      </c>
      <c r="C3841" s="11" t="s">
        <v>20683</v>
      </c>
      <c r="D3841" s="11" t="s">
        <v>20683</v>
      </c>
      <c r="E3841" s="11" t="s">
        <v>20684</v>
      </c>
      <c r="F3841" s="11" t="s">
        <v>20685</v>
      </c>
      <c r="G3841" s="11" t="s">
        <v>20686</v>
      </c>
      <c r="H3841" s="11" t="s">
        <v>20687</v>
      </c>
      <c r="I3841" s="11" t="str">
        <f>HYPERLINK("http://www.atelierpantheon.it/","www.atelierpantheon.it")</f>
        <v>www.atelierpantheon.it</v>
      </c>
      <c r="J3841" s="12">
        <v>368.53500000000003</v>
      </c>
      <c r="K3841" s="12">
        <v>368.53500000000003</v>
      </c>
      <c r="L3841" s="13">
        <v>429.74299999999999</v>
      </c>
      <c r="M3841" s="12">
        <v>4.6429999999999998</v>
      </c>
      <c r="N3841" s="12">
        <v>4.6429999999999998</v>
      </c>
      <c r="O3841" s="12">
        <v>4.0460000000000003</v>
      </c>
      <c r="P3841" s="14" t="s">
        <v>20688</v>
      </c>
      <c r="Q3841" s="14" t="s">
        <v>20688</v>
      </c>
      <c r="R3841" s="12">
        <v>5</v>
      </c>
    </row>
    <row r="3842" spans="1:18" ht="17" customHeight="1" x14ac:dyDescent="0.15">
      <c r="A3842" s="8" t="s">
        <v>20689</v>
      </c>
      <c r="B3842" s="9" t="s">
        <v>20690</v>
      </c>
      <c r="C3842" s="8" t="s">
        <v>20691</v>
      </c>
      <c r="D3842" s="8" t="s">
        <v>20691</v>
      </c>
      <c r="E3842" s="8" t="s">
        <v>20692</v>
      </c>
      <c r="F3842" s="8" t="s">
        <v>20693</v>
      </c>
      <c r="G3842" s="8" t="s">
        <v>20694</v>
      </c>
      <c r="H3842" s="8" t="s">
        <v>20695</v>
      </c>
      <c r="I3842" s="8" t="str">
        <f>HYPERLINK("http://www.solmoda.it/","www.solmoda.it")</f>
        <v>www.solmoda.it</v>
      </c>
      <c r="J3842" s="10">
        <v>246.48</v>
      </c>
      <c r="K3842" s="10">
        <v>246.48</v>
      </c>
      <c r="L3842" s="10">
        <v>429.74900000000002</v>
      </c>
      <c r="M3842" s="10">
        <v>-56.533999999999999</v>
      </c>
      <c r="N3842" s="10">
        <v>-56.533999999999999</v>
      </c>
      <c r="O3842" s="10">
        <v>-2.7919999999999998</v>
      </c>
      <c r="P3842" s="10">
        <v>5</v>
      </c>
      <c r="Q3842" s="10">
        <v>5</v>
      </c>
      <c r="R3842" s="10">
        <v>6</v>
      </c>
    </row>
    <row r="3843" spans="1:18" ht="17" customHeight="1" x14ac:dyDescent="0.15">
      <c r="A3843" s="11" t="s">
        <v>20696</v>
      </c>
      <c r="B3843" s="1" t="s">
        <v>20697</v>
      </c>
      <c r="C3843" s="11" t="s">
        <v>20698</v>
      </c>
      <c r="D3843" s="11" t="s">
        <v>20698</v>
      </c>
      <c r="E3843" s="11" t="s">
        <v>20699</v>
      </c>
      <c r="F3843" s="11" t="s">
        <v>20700</v>
      </c>
      <c r="G3843" s="11" t="s">
        <v>20701</v>
      </c>
      <c r="H3843" s="11" t="s">
        <v>20702</v>
      </c>
      <c r="I3843" s="11" t="str">
        <f>HYPERLINK("http://www.alexcappelli.com/","www.alexcappelli.com")</f>
        <v>www.alexcappelli.com</v>
      </c>
      <c r="J3843" s="12">
        <v>285.036</v>
      </c>
      <c r="K3843" s="12">
        <v>285.036</v>
      </c>
      <c r="L3843" s="13">
        <v>428.16699999999997</v>
      </c>
      <c r="M3843" s="12">
        <v>-47.125999999999998</v>
      </c>
      <c r="N3843" s="12">
        <v>-47.125999999999998</v>
      </c>
      <c r="O3843" s="12">
        <v>-26.202999999999999</v>
      </c>
      <c r="P3843" s="14" t="s">
        <v>20688</v>
      </c>
      <c r="Q3843" s="14" t="s">
        <v>20688</v>
      </c>
      <c r="R3843" s="12">
        <v>7</v>
      </c>
    </row>
    <row r="3844" spans="1:18" ht="29.5" customHeight="1" x14ac:dyDescent="0.15">
      <c r="A3844" s="8" t="s">
        <v>20703</v>
      </c>
      <c r="B3844" s="9" t="s">
        <v>20704</v>
      </c>
      <c r="C3844" s="8" t="s">
        <v>20705</v>
      </c>
      <c r="D3844" s="8" t="s">
        <v>20705</v>
      </c>
      <c r="E3844" s="8" t="s">
        <v>20706</v>
      </c>
      <c r="F3844" s="8" t="s">
        <v>20707</v>
      </c>
      <c r="G3844" s="8" t="s">
        <v>20708</v>
      </c>
      <c r="H3844" s="8" t="s">
        <v>20709</v>
      </c>
      <c r="I3844" s="8" t="str">
        <f>HYPERLINK("http://www.meera.it/","www.meera.it")</f>
        <v>www.meera.it</v>
      </c>
      <c r="J3844" s="10">
        <v>544.89099999999996</v>
      </c>
      <c r="K3844" s="10">
        <v>544.89099999999996</v>
      </c>
      <c r="L3844" s="10">
        <v>428.11700000000002</v>
      </c>
      <c r="M3844" s="10">
        <v>6.6890000000000001</v>
      </c>
      <c r="N3844" s="10">
        <v>6.6890000000000001</v>
      </c>
      <c r="O3844" s="10">
        <v>11.45</v>
      </c>
      <c r="P3844" s="15" t="s">
        <v>20688</v>
      </c>
      <c r="Q3844" s="15" t="s">
        <v>20688</v>
      </c>
      <c r="R3844" s="10">
        <v>10</v>
      </c>
    </row>
    <row r="3845" spans="1:18" ht="17" customHeight="1" x14ac:dyDescent="0.15">
      <c r="A3845" s="11" t="s">
        <v>20710</v>
      </c>
      <c r="B3845" s="1" t="s">
        <v>20711</v>
      </c>
      <c r="C3845" s="11" t="s">
        <v>20712</v>
      </c>
      <c r="D3845" s="11" t="s">
        <v>20712</v>
      </c>
      <c r="E3845" s="11" t="s">
        <v>20713</v>
      </c>
      <c r="F3845" s="11" t="s">
        <v>20700</v>
      </c>
      <c r="G3845" s="11" t="s">
        <v>20714</v>
      </c>
      <c r="H3845" s="11" t="s">
        <v>20715</v>
      </c>
      <c r="I3845" s="11" t="str">
        <f>HYPERLINK("http://www.egemonia.it/","www.egemonia.it")</f>
        <v>www.egemonia.it</v>
      </c>
      <c r="J3845" s="12">
        <v>545.25</v>
      </c>
      <c r="K3845" s="12">
        <v>545.25</v>
      </c>
      <c r="L3845" s="13">
        <v>427.91199999999998</v>
      </c>
      <c r="M3845" s="12">
        <v>26.152999999999999</v>
      </c>
      <c r="N3845" s="12">
        <v>26.152999999999999</v>
      </c>
      <c r="O3845" s="12">
        <v>33.112000000000002</v>
      </c>
      <c r="P3845" s="12">
        <v>3</v>
      </c>
      <c r="Q3845" s="12">
        <v>3</v>
      </c>
      <c r="R3845" s="12">
        <v>3</v>
      </c>
    </row>
    <row r="3846" spans="1:18" ht="17" customHeight="1" x14ac:dyDescent="0.15">
      <c r="A3846" s="8" t="s">
        <v>20716</v>
      </c>
      <c r="B3846" s="9" t="s">
        <v>20717</v>
      </c>
      <c r="C3846" s="8" t="s">
        <v>20718</v>
      </c>
      <c r="D3846" s="8" t="s">
        <v>20718</v>
      </c>
      <c r="E3846" s="8" t="s">
        <v>20719</v>
      </c>
      <c r="F3846" s="8" t="s">
        <v>20685</v>
      </c>
      <c r="G3846" s="8" t="s">
        <v>20720</v>
      </c>
      <c r="H3846" s="8" t="s">
        <v>20721</v>
      </c>
      <c r="I3846" s="8" t="str">
        <f>HYPERLINK("http://www.toscaspose.it/","www.toscaspose.it")</f>
        <v>www.toscaspose.it</v>
      </c>
      <c r="J3846" s="10">
        <v>427.56700000000001</v>
      </c>
      <c r="K3846" s="15" t="s">
        <v>20688</v>
      </c>
      <c r="L3846" s="10">
        <v>427.56700000000001</v>
      </c>
      <c r="M3846" s="10">
        <v>18.645</v>
      </c>
      <c r="N3846" s="15" t="s">
        <v>20688</v>
      </c>
      <c r="O3846" s="10">
        <v>18.645</v>
      </c>
      <c r="P3846" s="10">
        <v>7</v>
      </c>
      <c r="Q3846" s="15" t="s">
        <v>20688</v>
      </c>
      <c r="R3846" s="10">
        <v>7</v>
      </c>
    </row>
    <row r="3847" spans="1:18" ht="17" customHeight="1" x14ac:dyDescent="0.15">
      <c r="A3847" s="11" t="s">
        <v>20722</v>
      </c>
      <c r="B3847" s="1" t="s">
        <v>20723</v>
      </c>
      <c r="C3847" s="11" t="s">
        <v>20724</v>
      </c>
      <c r="D3847" s="11" t="s">
        <v>20724</v>
      </c>
      <c r="E3847" s="11" t="s">
        <v>20725</v>
      </c>
      <c r="F3847" s="11" t="s">
        <v>20726</v>
      </c>
      <c r="G3847" s="11" t="s">
        <v>20714</v>
      </c>
      <c r="H3847" s="11" t="s">
        <v>20715</v>
      </c>
      <c r="I3847" s="11" t="str">
        <f>HYPERLINK("http://www.magasrl.it/","www.magasrl.it")</f>
        <v>www.magasrl.it</v>
      </c>
      <c r="J3847" s="12">
        <v>415.95499999999998</v>
      </c>
      <c r="K3847" s="12">
        <v>415.95499999999998</v>
      </c>
      <c r="L3847" s="13">
        <v>427.34199999999998</v>
      </c>
      <c r="M3847" s="12">
        <v>3.093</v>
      </c>
      <c r="N3847" s="12">
        <v>3.093</v>
      </c>
      <c r="O3847" s="12">
        <v>1.2729999999999999</v>
      </c>
      <c r="P3847" s="12">
        <v>6</v>
      </c>
      <c r="Q3847" s="12">
        <v>6</v>
      </c>
      <c r="R3847" s="12">
        <v>6</v>
      </c>
    </row>
    <row r="3848" spans="1:18" ht="17" customHeight="1" x14ac:dyDescent="0.15">
      <c r="A3848" s="8" t="s">
        <v>20727</v>
      </c>
      <c r="B3848" s="9" t="s">
        <v>20728</v>
      </c>
      <c r="C3848" s="8" t="s">
        <v>20729</v>
      </c>
      <c r="D3848" s="8" t="s">
        <v>20729</v>
      </c>
      <c r="E3848" s="8" t="s">
        <v>20730</v>
      </c>
      <c r="F3848" s="8" t="s">
        <v>20693</v>
      </c>
      <c r="G3848" s="8" t="s">
        <v>20731</v>
      </c>
      <c r="H3848" s="8" t="s">
        <v>20732</v>
      </c>
      <c r="I3848" s="8" t="str">
        <f>HYPERLINK("http://giuseppeconca.com/","giuseppeconca.com")</f>
        <v>giuseppeconca.com</v>
      </c>
      <c r="J3848" s="10">
        <v>382.40600000000001</v>
      </c>
      <c r="K3848" s="10">
        <v>382.40600000000001</v>
      </c>
      <c r="L3848" s="10">
        <v>426.48700000000002</v>
      </c>
      <c r="M3848" s="10">
        <v>-121.24299999999999</v>
      </c>
      <c r="N3848" s="10">
        <v>-121.24299999999999</v>
      </c>
      <c r="O3848" s="10">
        <v>-170.35300000000001</v>
      </c>
      <c r="P3848" s="15" t="s">
        <v>20688</v>
      </c>
      <c r="Q3848" s="15" t="s">
        <v>20688</v>
      </c>
      <c r="R3848" s="10">
        <v>7</v>
      </c>
    </row>
    <row r="3849" spans="1:18" ht="17" customHeight="1" x14ac:dyDescent="0.15">
      <c r="A3849" s="11" t="s">
        <v>20733</v>
      </c>
      <c r="B3849" s="1" t="s">
        <v>20734</v>
      </c>
      <c r="C3849" s="11" t="s">
        <v>20735</v>
      </c>
      <c r="D3849" s="11" t="s">
        <v>20735</v>
      </c>
      <c r="E3849" s="11" t="s">
        <v>20736</v>
      </c>
      <c r="F3849" s="11" t="s">
        <v>20737</v>
      </c>
      <c r="G3849" s="11" t="s">
        <v>20720</v>
      </c>
      <c r="H3849" s="11" t="s">
        <v>20721</v>
      </c>
      <c r="I3849" s="11" t="str">
        <f>HYPERLINK("http://www.larosa.it/","www.larosa.it")</f>
        <v>www.larosa.it</v>
      </c>
      <c r="J3849" s="12">
        <v>584.97900000000004</v>
      </c>
      <c r="K3849" s="12">
        <v>584.97900000000004</v>
      </c>
      <c r="L3849" s="13">
        <v>425.65899999999999</v>
      </c>
      <c r="M3849" s="12">
        <v>63.612000000000002</v>
      </c>
      <c r="N3849" s="12">
        <v>63.612000000000002</v>
      </c>
      <c r="O3849" s="12">
        <v>22.228000000000002</v>
      </c>
      <c r="P3849" s="12">
        <v>1</v>
      </c>
      <c r="Q3849" s="12">
        <v>1</v>
      </c>
      <c r="R3849" s="12">
        <v>2</v>
      </c>
    </row>
    <row r="3850" spans="1:18" ht="29.5" customHeight="1" x14ac:dyDescent="0.15">
      <c r="A3850" s="8" t="s">
        <v>20738</v>
      </c>
      <c r="B3850" s="9" t="s">
        <v>20739</v>
      </c>
      <c r="C3850" s="8" t="s">
        <v>20740</v>
      </c>
      <c r="D3850" s="8" t="s">
        <v>20740</v>
      </c>
      <c r="E3850" s="8" t="s">
        <v>20741</v>
      </c>
      <c r="F3850" s="8" t="s">
        <v>20742</v>
      </c>
      <c r="G3850" s="8" t="s">
        <v>20743</v>
      </c>
      <c r="H3850" s="8" t="s">
        <v>20715</v>
      </c>
      <c r="I3850" s="8" t="str">
        <f>HYPERLINK("http://b2bcasagin.com/","b2bcasagin.com")</f>
        <v>b2bcasagin.com</v>
      </c>
      <c r="J3850" s="10">
        <v>345.97500000000002</v>
      </c>
      <c r="K3850" s="10">
        <v>345.97500000000002</v>
      </c>
      <c r="L3850" s="10">
        <v>425.65899999999999</v>
      </c>
      <c r="M3850" s="10">
        <v>1.177</v>
      </c>
      <c r="N3850" s="10">
        <v>1.177</v>
      </c>
      <c r="O3850" s="10">
        <v>2.7E-2</v>
      </c>
      <c r="P3850" s="10">
        <v>4</v>
      </c>
      <c r="Q3850" s="10">
        <v>4</v>
      </c>
      <c r="R3850" s="10">
        <v>4</v>
      </c>
    </row>
    <row r="3851" spans="1:18" ht="17" customHeight="1" x14ac:dyDescent="0.15">
      <c r="A3851" s="11" t="s">
        <v>20744</v>
      </c>
      <c r="B3851" s="1" t="s">
        <v>20745</v>
      </c>
      <c r="C3851" s="11" t="s">
        <v>20746</v>
      </c>
      <c r="D3851" s="11" t="s">
        <v>20746</v>
      </c>
      <c r="E3851" s="11" t="s">
        <v>20747</v>
      </c>
      <c r="F3851" s="11" t="s">
        <v>20748</v>
      </c>
      <c r="G3851" s="11" t="s">
        <v>20749</v>
      </c>
      <c r="H3851" s="11" t="s">
        <v>20750</v>
      </c>
      <c r="I3851" s="11" t="str">
        <f>HYPERLINK("http://www.cittis.it/","www.cittis.it")</f>
        <v>www.cittis.it</v>
      </c>
      <c r="J3851" s="12">
        <v>540.18200000000002</v>
      </c>
      <c r="K3851" s="12">
        <v>540.18200000000002</v>
      </c>
      <c r="L3851" s="13">
        <v>424.53100000000001</v>
      </c>
      <c r="M3851" s="12">
        <v>62.212000000000003</v>
      </c>
      <c r="N3851" s="12">
        <v>62.212000000000003</v>
      </c>
      <c r="O3851" s="12">
        <v>37.317999999999998</v>
      </c>
      <c r="P3851" s="12">
        <v>1</v>
      </c>
      <c r="Q3851" s="12">
        <v>1</v>
      </c>
      <c r="R3851" s="12">
        <v>2</v>
      </c>
    </row>
    <row r="3852" spans="1:18" ht="17" customHeight="1" x14ac:dyDescent="0.15">
      <c r="A3852" s="8" t="s">
        <v>20751</v>
      </c>
      <c r="B3852" s="9" t="s">
        <v>20752</v>
      </c>
      <c r="C3852" s="8" t="s">
        <v>20753</v>
      </c>
      <c r="D3852" s="8" t="s">
        <v>20753</v>
      </c>
      <c r="E3852" s="8" t="s">
        <v>20754</v>
      </c>
      <c r="F3852" s="8" t="s">
        <v>20707</v>
      </c>
      <c r="G3852" s="8" t="s">
        <v>20708</v>
      </c>
      <c r="H3852" s="8" t="s">
        <v>20709</v>
      </c>
      <c r="I3852" s="8" t="str">
        <f>HYPERLINK("http://www.dierrecashmere.com/","www.dierrecashmere.com")</f>
        <v>www.dierrecashmere.com</v>
      </c>
      <c r="J3852" s="10">
        <v>482.63600000000002</v>
      </c>
      <c r="K3852" s="10">
        <v>482.63600000000002</v>
      </c>
      <c r="L3852" s="10">
        <v>423.27499999999998</v>
      </c>
      <c r="M3852" s="10">
        <v>39.012999999999998</v>
      </c>
      <c r="N3852" s="10">
        <v>39.012999999999998</v>
      </c>
      <c r="O3852" s="10">
        <v>5.96</v>
      </c>
      <c r="P3852" s="10">
        <v>15</v>
      </c>
      <c r="Q3852" s="10">
        <v>15</v>
      </c>
      <c r="R3852" s="10">
        <v>12</v>
      </c>
    </row>
    <row r="3853" spans="1:18" ht="17" customHeight="1" x14ac:dyDescent="0.15">
      <c r="A3853" s="11" t="s">
        <v>20755</v>
      </c>
      <c r="B3853" s="1" t="s">
        <v>20756</v>
      </c>
      <c r="C3853" s="11" t="s">
        <v>20757</v>
      </c>
      <c r="D3853" s="11" t="s">
        <v>20757</v>
      </c>
      <c r="E3853" s="11" t="s">
        <v>20758</v>
      </c>
      <c r="F3853" s="11" t="s">
        <v>20759</v>
      </c>
      <c r="G3853" s="11" t="s">
        <v>20760</v>
      </c>
      <c r="H3853" s="11" t="s">
        <v>20702</v>
      </c>
      <c r="I3853" s="11" t="str">
        <f>HYPERLINK("http://www.aldoraffa.com/","www.aldoraffa.com")</f>
        <v>www.aldoraffa.com</v>
      </c>
      <c r="J3853" s="12">
        <v>1522.1469999999999</v>
      </c>
      <c r="K3853" s="12">
        <v>1522.1469999999999</v>
      </c>
      <c r="L3853" s="13">
        <v>423.14</v>
      </c>
      <c r="M3853" s="12">
        <v>50.86</v>
      </c>
      <c r="N3853" s="12">
        <v>50.86</v>
      </c>
      <c r="O3853" s="12">
        <v>28.529</v>
      </c>
      <c r="P3853" s="12">
        <v>13</v>
      </c>
      <c r="Q3853" s="12">
        <v>13</v>
      </c>
      <c r="R3853" s="12">
        <v>7</v>
      </c>
    </row>
    <row r="3854" spans="1:18" ht="17" customHeight="1" x14ac:dyDescent="0.15">
      <c r="A3854" s="8" t="s">
        <v>20761</v>
      </c>
      <c r="B3854" s="9" t="s">
        <v>20762</v>
      </c>
      <c r="C3854" s="8" t="s">
        <v>20763</v>
      </c>
      <c r="D3854" s="8" t="s">
        <v>20763</v>
      </c>
      <c r="E3854" s="8" t="s">
        <v>20764</v>
      </c>
      <c r="F3854" s="8" t="s">
        <v>20765</v>
      </c>
      <c r="G3854" s="8" t="s">
        <v>20766</v>
      </c>
      <c r="H3854" s="8" t="s">
        <v>20715</v>
      </c>
      <c r="I3854" s="8" t="str">
        <f>HYPERLINK("http://www.fyshe.com/","www.fyshe.com")</f>
        <v>www.fyshe.com</v>
      </c>
      <c r="J3854" s="10">
        <v>461.36200000000002</v>
      </c>
      <c r="K3854" s="10">
        <v>387.57100000000003</v>
      </c>
      <c r="L3854" s="10">
        <v>422.99700000000001</v>
      </c>
      <c r="M3854" s="10">
        <v>-8.0370000000000008</v>
      </c>
      <c r="N3854" s="10">
        <v>-31.425999999999998</v>
      </c>
      <c r="O3854" s="10">
        <v>-80.093999999999994</v>
      </c>
      <c r="P3854" s="10">
        <v>3</v>
      </c>
      <c r="Q3854" s="10">
        <v>4</v>
      </c>
      <c r="R3854" s="10">
        <v>4</v>
      </c>
    </row>
    <row r="3855" spans="1:18" ht="29.5" customHeight="1" x14ac:dyDescent="0.15">
      <c r="A3855" s="11" t="s">
        <v>20767</v>
      </c>
      <c r="B3855" s="1" t="s">
        <v>20768</v>
      </c>
      <c r="C3855" s="11" t="s">
        <v>20769</v>
      </c>
      <c r="D3855" s="11" t="s">
        <v>20769</v>
      </c>
      <c r="E3855" s="11" t="s">
        <v>20770</v>
      </c>
      <c r="F3855" s="11" t="s">
        <v>20693</v>
      </c>
      <c r="G3855" s="11" t="s">
        <v>20749</v>
      </c>
      <c r="H3855" s="11" t="s">
        <v>20750</v>
      </c>
      <c r="I3855" s="11" t="str">
        <f>HYPERLINK("http://www.giorgioiachini.it/","www.giorgioiachini.it")</f>
        <v>www.giorgioiachini.it</v>
      </c>
      <c r="J3855" s="12">
        <v>550.41600000000005</v>
      </c>
      <c r="K3855" s="12">
        <v>550.41600000000005</v>
      </c>
      <c r="L3855" s="13">
        <v>422.541</v>
      </c>
      <c r="M3855" s="12">
        <v>9.1760000000000002</v>
      </c>
      <c r="N3855" s="12">
        <v>9.1760000000000002</v>
      </c>
      <c r="O3855" s="12">
        <v>0.442</v>
      </c>
      <c r="P3855" s="12">
        <v>6</v>
      </c>
      <c r="Q3855" s="12">
        <v>6</v>
      </c>
      <c r="R3855" s="12">
        <v>4</v>
      </c>
    </row>
    <row r="3856" spans="1:18" ht="17" customHeight="1" x14ac:dyDescent="0.15">
      <c r="A3856" s="8" t="s">
        <v>20771</v>
      </c>
      <c r="B3856" s="9" t="s">
        <v>20772</v>
      </c>
      <c r="C3856" s="8" t="s">
        <v>20773</v>
      </c>
      <c r="D3856" s="8" t="s">
        <v>20773</v>
      </c>
      <c r="E3856" s="8" t="s">
        <v>20774</v>
      </c>
      <c r="F3856" s="8" t="s">
        <v>20693</v>
      </c>
      <c r="G3856" s="8" t="s">
        <v>20775</v>
      </c>
      <c r="H3856" s="8" t="s">
        <v>20732</v>
      </c>
      <c r="I3856" s="8" t="str">
        <f>HYPERLINK("http://www.martinab.it/","www.martinab.it")</f>
        <v>www.martinab.it</v>
      </c>
      <c r="J3856" s="10">
        <v>457.88499999999999</v>
      </c>
      <c r="K3856" s="10">
        <v>457.88499999999999</v>
      </c>
      <c r="L3856" s="10">
        <v>422.23599999999999</v>
      </c>
      <c r="M3856" s="10">
        <v>0.34200000000000003</v>
      </c>
      <c r="N3856" s="10">
        <v>0.34200000000000003</v>
      </c>
      <c r="O3856" s="10">
        <v>15.173</v>
      </c>
      <c r="P3856" s="15" t="s">
        <v>20688</v>
      </c>
      <c r="Q3856" s="15" t="s">
        <v>20688</v>
      </c>
      <c r="R3856" s="10">
        <v>4</v>
      </c>
    </row>
    <row r="3857" spans="1:18" ht="29.5" customHeight="1" x14ac:dyDescent="0.15">
      <c r="A3857" s="11" t="s">
        <v>20776</v>
      </c>
      <c r="B3857" s="1" t="s">
        <v>20777</v>
      </c>
      <c r="C3857" s="11" t="s">
        <v>20778</v>
      </c>
      <c r="D3857" s="11" t="s">
        <v>20778</v>
      </c>
      <c r="E3857" s="11" t="s">
        <v>20779</v>
      </c>
      <c r="F3857" s="11" t="s">
        <v>20726</v>
      </c>
      <c r="G3857" s="11" t="s">
        <v>20686</v>
      </c>
      <c r="H3857" s="11" t="s">
        <v>20687</v>
      </c>
      <c r="I3857" s="11" t="str">
        <f>HYPERLINK("http://www.paoloarena.it/","www.paoloarena.it")</f>
        <v>www.paoloarena.it</v>
      </c>
      <c r="J3857" s="12">
        <v>233.148</v>
      </c>
      <c r="K3857" s="12">
        <v>233.148</v>
      </c>
      <c r="L3857" s="13">
        <v>422.16399999999999</v>
      </c>
      <c r="M3857" s="12">
        <v>104.535</v>
      </c>
      <c r="N3857" s="12">
        <v>104.535</v>
      </c>
      <c r="O3857" s="12">
        <v>40.462000000000003</v>
      </c>
      <c r="P3857" s="14" t="s">
        <v>20688</v>
      </c>
      <c r="Q3857" s="14" t="s">
        <v>20688</v>
      </c>
      <c r="R3857" s="12">
        <v>1</v>
      </c>
    </row>
    <row r="3858" spans="1:18" ht="17" customHeight="1" x14ac:dyDescent="0.15">
      <c r="A3858" s="8" t="s">
        <v>20780</v>
      </c>
      <c r="B3858" s="9" t="s">
        <v>20781</v>
      </c>
      <c r="C3858" s="8" t="s">
        <v>20782</v>
      </c>
      <c r="D3858" s="8" t="s">
        <v>20782</v>
      </c>
      <c r="E3858" s="8" t="s">
        <v>20783</v>
      </c>
      <c r="F3858" s="8" t="s">
        <v>20765</v>
      </c>
      <c r="G3858" s="8" t="s">
        <v>20766</v>
      </c>
      <c r="H3858" s="8" t="s">
        <v>20715</v>
      </c>
      <c r="I3858" s="8" t="str">
        <f>HYPERLINK("http://www.rpm-cycling.com/","www.rpm-cycling.com")</f>
        <v>www.rpm-cycling.com</v>
      </c>
      <c r="J3858" s="10">
        <v>353.23399999999998</v>
      </c>
      <c r="K3858" s="10">
        <v>353.23399999999998</v>
      </c>
      <c r="L3858" s="10">
        <v>422.05</v>
      </c>
      <c r="M3858" s="10">
        <v>-30.683</v>
      </c>
      <c r="N3858" s="10">
        <v>-30.683</v>
      </c>
      <c r="O3858" s="10">
        <v>-7.8739999999999997</v>
      </c>
      <c r="P3858" s="10">
        <v>2</v>
      </c>
      <c r="Q3858" s="10">
        <v>2</v>
      </c>
      <c r="R3858" s="10">
        <v>2</v>
      </c>
    </row>
    <row r="3859" spans="1:18" ht="29.5" customHeight="1" x14ac:dyDescent="0.15">
      <c r="A3859" s="11" t="s">
        <v>20784</v>
      </c>
      <c r="B3859" s="1" t="s">
        <v>20785</v>
      </c>
      <c r="C3859" s="11" t="s">
        <v>20786</v>
      </c>
      <c r="D3859" s="11" t="s">
        <v>20786</v>
      </c>
      <c r="E3859" s="11" t="s">
        <v>20787</v>
      </c>
      <c r="F3859" s="11" t="s">
        <v>20700</v>
      </c>
      <c r="G3859" s="11" t="s">
        <v>20788</v>
      </c>
      <c r="H3859" s="11" t="s">
        <v>20702</v>
      </c>
      <c r="I3859" s="11" t="str">
        <f>HYPERLINK("http://www.jrwmfashion.com/","www.jrwmfashion.com")</f>
        <v>www.jrwmfashion.com</v>
      </c>
      <c r="J3859" s="12">
        <v>439.9</v>
      </c>
      <c r="K3859" s="12">
        <v>439.9</v>
      </c>
      <c r="L3859" s="13">
        <v>421.84399999999999</v>
      </c>
      <c r="M3859" s="12">
        <v>-19.2</v>
      </c>
      <c r="N3859" s="12">
        <v>-19.2</v>
      </c>
      <c r="O3859" s="12">
        <v>0.89500000000000002</v>
      </c>
      <c r="P3859" s="14" t="s">
        <v>20688</v>
      </c>
      <c r="Q3859" s="14" t="s">
        <v>20688</v>
      </c>
      <c r="R3859" s="12">
        <v>4</v>
      </c>
    </row>
    <row r="3860" spans="1:18" ht="43" customHeight="1" x14ac:dyDescent="0.15">
      <c r="A3860" s="8" t="s">
        <v>20789</v>
      </c>
      <c r="B3860" s="9" t="s">
        <v>20790</v>
      </c>
      <c r="C3860" s="8" t="s">
        <v>20791</v>
      </c>
      <c r="D3860" s="8" t="s">
        <v>20791</v>
      </c>
      <c r="E3860" s="8" t="s">
        <v>20792</v>
      </c>
      <c r="F3860" s="8" t="s">
        <v>20707</v>
      </c>
      <c r="G3860" s="8" t="s">
        <v>20793</v>
      </c>
      <c r="H3860" s="8" t="s">
        <v>20794</v>
      </c>
      <c r="I3860" s="8" t="str">
        <f>HYPERLINK("http://4mody-societa-a-responsabilita-limitata-semplifica-14264901001.quantofattura.com/","4mody-societa-a-responsabilita-limitata-semplifica-14264901001.quantofattura.com")</f>
        <v>4mody-societa-a-responsabilita-limitata-semplifica-14264901001.quantofattura.com</v>
      </c>
      <c r="J3860" s="10">
        <v>466.55099999999999</v>
      </c>
      <c r="K3860" s="10">
        <v>466.55099999999999</v>
      </c>
      <c r="L3860" s="10">
        <v>421.56799999999998</v>
      </c>
      <c r="M3860" s="10">
        <v>24.835999999999999</v>
      </c>
      <c r="N3860" s="10">
        <v>24.835999999999999</v>
      </c>
      <c r="O3860" s="10">
        <v>3.0569999999999999</v>
      </c>
      <c r="P3860" s="10">
        <v>11</v>
      </c>
      <c r="Q3860" s="10">
        <v>11</v>
      </c>
      <c r="R3860" s="10">
        <v>11</v>
      </c>
    </row>
    <row r="3861" spans="1:18" ht="17" customHeight="1" x14ac:dyDescent="0.15">
      <c r="A3861" s="11" t="s">
        <v>20795</v>
      </c>
      <c r="B3861" s="1" t="s">
        <v>20796</v>
      </c>
      <c r="C3861" s="11" t="s">
        <v>20797</v>
      </c>
      <c r="D3861" s="11" t="s">
        <v>20797</v>
      </c>
      <c r="E3861" s="11" t="s">
        <v>20798</v>
      </c>
      <c r="F3861" s="11" t="s">
        <v>20759</v>
      </c>
      <c r="G3861" s="11" t="s">
        <v>20743</v>
      </c>
      <c r="H3861" s="11" t="s">
        <v>20715</v>
      </c>
      <c r="I3861" s="11" t="str">
        <f>HYPERLINK("http://www.detexo.com/","www.detexo.com")</f>
        <v>www.detexo.com</v>
      </c>
      <c r="J3861" s="12">
        <v>400.15</v>
      </c>
      <c r="K3861" s="12">
        <v>400.15</v>
      </c>
      <c r="L3861" s="13">
        <v>421.51799999999997</v>
      </c>
      <c r="M3861" s="12">
        <v>81.81</v>
      </c>
      <c r="N3861" s="12">
        <v>81.81</v>
      </c>
      <c r="O3861" s="12">
        <v>76.024000000000001</v>
      </c>
      <c r="P3861" s="14" t="s">
        <v>20688</v>
      </c>
      <c r="Q3861" s="14" t="s">
        <v>20688</v>
      </c>
      <c r="R3861" s="12">
        <v>8</v>
      </c>
    </row>
    <row r="3862" spans="1:18" ht="17" customHeight="1" x14ac:dyDescent="0.15">
      <c r="A3862" s="8" t="s">
        <v>20799</v>
      </c>
      <c r="B3862" s="9" t="s">
        <v>20800</v>
      </c>
      <c r="C3862" s="8" t="s">
        <v>20801</v>
      </c>
      <c r="D3862" s="8" t="s">
        <v>20801</v>
      </c>
      <c r="E3862" s="8" t="s">
        <v>20802</v>
      </c>
      <c r="F3862" s="8" t="s">
        <v>20759</v>
      </c>
      <c r="G3862" s="8" t="s">
        <v>20803</v>
      </c>
      <c r="H3862" s="8" t="s">
        <v>20804</v>
      </c>
      <c r="I3862" s="8" t="str">
        <f>HYPERLINK("http://www.emmegi-cover.it/","www.emmegi-cover.it")</f>
        <v>www.emmegi-cover.it</v>
      </c>
      <c r="J3862" s="10">
        <v>1000.385</v>
      </c>
      <c r="K3862" s="10">
        <v>2698.0239999999999</v>
      </c>
      <c r="L3862" s="10">
        <v>420.37299999999999</v>
      </c>
      <c r="M3862" s="10">
        <v>-190.97399999999999</v>
      </c>
      <c r="N3862" s="10">
        <v>227.78899999999999</v>
      </c>
      <c r="O3862" s="10">
        <v>8.6709999999999994</v>
      </c>
      <c r="P3862" s="10">
        <v>13</v>
      </c>
      <c r="Q3862" s="10">
        <v>16</v>
      </c>
      <c r="R3862" s="10">
        <v>13</v>
      </c>
    </row>
    <row r="3863" spans="1:18" ht="17" customHeight="1" x14ac:dyDescent="0.15">
      <c r="A3863" s="11" t="s">
        <v>20805</v>
      </c>
      <c r="B3863" s="1" t="s">
        <v>20806</v>
      </c>
      <c r="C3863" s="11" t="s">
        <v>20807</v>
      </c>
      <c r="D3863" s="11" t="s">
        <v>20807</v>
      </c>
      <c r="E3863" s="11" t="s">
        <v>20808</v>
      </c>
      <c r="F3863" s="11" t="s">
        <v>20707</v>
      </c>
      <c r="G3863" s="11" t="s">
        <v>20803</v>
      </c>
      <c r="H3863" s="11" t="s">
        <v>20804</v>
      </c>
      <c r="I3863" s="11" t="str">
        <f>HYPERLINK("http://www.minina.it/","www.minina.it")</f>
        <v>www.minina.it</v>
      </c>
      <c r="J3863" s="12">
        <v>431.38200000000001</v>
      </c>
      <c r="K3863" s="12">
        <v>431.38200000000001</v>
      </c>
      <c r="L3863" s="13">
        <v>419.74200000000002</v>
      </c>
      <c r="M3863" s="12">
        <v>-34.631999999999998</v>
      </c>
      <c r="N3863" s="12">
        <v>-34.631999999999998</v>
      </c>
      <c r="O3863" s="12">
        <v>-75.409000000000006</v>
      </c>
      <c r="P3863" s="14" t="s">
        <v>20688</v>
      </c>
      <c r="Q3863" s="14" t="s">
        <v>20688</v>
      </c>
      <c r="R3863" s="12">
        <v>5</v>
      </c>
    </row>
    <row r="3864" spans="1:18" ht="29.5" customHeight="1" x14ac:dyDescent="0.15">
      <c r="A3864" s="8" t="s">
        <v>20809</v>
      </c>
      <c r="B3864" s="9" t="s">
        <v>20810</v>
      </c>
      <c r="C3864" s="8" t="s">
        <v>20811</v>
      </c>
      <c r="D3864" s="8" t="s">
        <v>20811</v>
      </c>
      <c r="E3864" s="8" t="s">
        <v>20812</v>
      </c>
      <c r="F3864" s="8" t="s">
        <v>20700</v>
      </c>
      <c r="G3864" s="8" t="s">
        <v>20813</v>
      </c>
      <c r="H3864" s="8" t="s">
        <v>20687</v>
      </c>
      <c r="I3864" s="8" t="str">
        <f>HYPERLINK("http://luckyhat.it/","luckyhat.it")</f>
        <v>luckyhat.it</v>
      </c>
      <c r="J3864" s="10">
        <v>525.34699999999998</v>
      </c>
      <c r="K3864" s="10">
        <v>525.34699999999998</v>
      </c>
      <c r="L3864" s="10">
        <v>419.226</v>
      </c>
      <c r="M3864" s="10">
        <v>27.661999999999999</v>
      </c>
      <c r="N3864" s="10">
        <v>27.661999999999999</v>
      </c>
      <c r="O3864" s="10">
        <v>24.695</v>
      </c>
      <c r="P3864" s="15" t="s">
        <v>20688</v>
      </c>
      <c r="Q3864" s="15" t="s">
        <v>20688</v>
      </c>
      <c r="R3864" s="10">
        <v>5</v>
      </c>
    </row>
    <row r="3865" spans="1:18" ht="17" customHeight="1" x14ac:dyDescent="0.15">
      <c r="A3865" s="11" t="s">
        <v>20814</v>
      </c>
      <c r="B3865" s="1" t="s">
        <v>20815</v>
      </c>
      <c r="C3865" s="11" t="s">
        <v>20816</v>
      </c>
      <c r="D3865" s="11" t="s">
        <v>20816</v>
      </c>
      <c r="E3865" s="11" t="s">
        <v>20817</v>
      </c>
      <c r="F3865" s="11" t="s">
        <v>20818</v>
      </c>
      <c r="G3865" s="11" t="s">
        <v>20708</v>
      </c>
      <c r="H3865" s="11" t="s">
        <v>20709</v>
      </c>
      <c r="I3865" s="11" t="str">
        <f>HYPERLINK("http://www.sartoriacrispoltoni.com/","www.sartoriacrispoltoni.com")</f>
        <v>www.sartoriacrispoltoni.com</v>
      </c>
      <c r="J3865" s="12">
        <v>422.267</v>
      </c>
      <c r="K3865" s="12">
        <v>422.267</v>
      </c>
      <c r="L3865" s="13">
        <v>418.93599999999998</v>
      </c>
      <c r="M3865" s="12">
        <v>2.911</v>
      </c>
      <c r="N3865" s="12">
        <v>2.911</v>
      </c>
      <c r="O3865" s="12">
        <v>0.59599999999999997</v>
      </c>
      <c r="P3865" s="14" t="s">
        <v>20688</v>
      </c>
      <c r="Q3865" s="14" t="s">
        <v>20688</v>
      </c>
      <c r="R3865" s="12">
        <v>9</v>
      </c>
    </row>
    <row r="3866" spans="1:18" ht="17" customHeight="1" x14ac:dyDescent="0.15">
      <c r="A3866" s="8" t="s">
        <v>20819</v>
      </c>
      <c r="B3866" s="9" t="s">
        <v>20820</v>
      </c>
      <c r="C3866" s="8" t="s">
        <v>20821</v>
      </c>
      <c r="D3866" s="8" t="s">
        <v>20821</v>
      </c>
      <c r="E3866" s="8" t="s">
        <v>20822</v>
      </c>
      <c r="F3866" s="8" t="s">
        <v>20748</v>
      </c>
      <c r="G3866" s="8" t="s">
        <v>20823</v>
      </c>
      <c r="H3866" s="8" t="s">
        <v>20750</v>
      </c>
      <c r="I3866" s="8" t="str">
        <f>HYPERLINK("http://www.medfondisrl.it/","www.medfondisrl.it")</f>
        <v>www.medfondisrl.it</v>
      </c>
      <c r="J3866" s="10">
        <v>433.49299999999999</v>
      </c>
      <c r="K3866" s="10">
        <v>433.49299999999999</v>
      </c>
      <c r="L3866" s="10">
        <v>418.68900000000002</v>
      </c>
      <c r="M3866" s="10">
        <v>5.3739999999999997</v>
      </c>
      <c r="N3866" s="10">
        <v>5.3739999999999997</v>
      </c>
      <c r="O3866" s="10">
        <v>1.867</v>
      </c>
      <c r="P3866" s="10">
        <v>11</v>
      </c>
      <c r="Q3866" s="10">
        <v>11</v>
      </c>
      <c r="R3866" s="10">
        <v>14</v>
      </c>
    </row>
    <row r="3867" spans="1:18" ht="17" customHeight="1" x14ac:dyDescent="0.15">
      <c r="A3867" s="11" t="s">
        <v>20824</v>
      </c>
      <c r="B3867" s="1" t="s">
        <v>20825</v>
      </c>
      <c r="C3867" s="11" t="s">
        <v>20826</v>
      </c>
      <c r="D3867" s="11" t="s">
        <v>20826</v>
      </c>
      <c r="E3867" s="11" t="s">
        <v>20827</v>
      </c>
      <c r="F3867" s="11" t="s">
        <v>20726</v>
      </c>
      <c r="G3867" s="11" t="s">
        <v>20828</v>
      </c>
      <c r="H3867" s="11" t="s">
        <v>20702</v>
      </c>
      <c r="I3867" s="11" t="str">
        <f>HYPERLINK("http://www.conceriailvalico.itgo.com/","www.conceriailvalico.itgo.com")</f>
        <v>www.conceriailvalico.itgo.com</v>
      </c>
      <c r="J3867" s="12">
        <v>343.48</v>
      </c>
      <c r="K3867" s="12">
        <v>343.48</v>
      </c>
      <c r="L3867" s="13">
        <v>418.56299999999999</v>
      </c>
      <c r="M3867" s="12">
        <v>29.942</v>
      </c>
      <c r="N3867" s="12">
        <v>29.942</v>
      </c>
      <c r="O3867" s="12">
        <v>32.131999999999998</v>
      </c>
      <c r="P3867" s="12">
        <v>2</v>
      </c>
      <c r="Q3867" s="12">
        <v>2</v>
      </c>
      <c r="R3867" s="12">
        <v>3</v>
      </c>
    </row>
    <row r="3868" spans="1:18" ht="17" customHeight="1" x14ac:dyDescent="0.15">
      <c r="A3868" s="8" t="s">
        <v>20829</v>
      </c>
      <c r="B3868" s="9" t="s">
        <v>20830</v>
      </c>
      <c r="C3868" s="8" t="s">
        <v>20831</v>
      </c>
      <c r="D3868" s="8" t="s">
        <v>20831</v>
      </c>
      <c r="E3868" s="8" t="s">
        <v>20832</v>
      </c>
      <c r="F3868" s="8" t="s">
        <v>20726</v>
      </c>
      <c r="G3868" s="8" t="s">
        <v>20686</v>
      </c>
      <c r="H3868" s="8" t="s">
        <v>20687</v>
      </c>
      <c r="I3868" s="8" t="str">
        <f>HYPERLINK("http://micaleathersrl.net/","micaleathersrl.net")</f>
        <v>micaleathersrl.net</v>
      </c>
      <c r="J3868" s="10">
        <v>282.66000000000003</v>
      </c>
      <c r="K3868" s="10">
        <v>282.66000000000003</v>
      </c>
      <c r="L3868" s="10">
        <v>418.39100000000002</v>
      </c>
      <c r="M3868" s="10">
        <v>-6.4960000000000004</v>
      </c>
      <c r="N3868" s="10">
        <v>-6.4960000000000004</v>
      </c>
      <c r="O3868" s="10">
        <v>0.30199999999999999</v>
      </c>
      <c r="P3868" s="15" t="s">
        <v>20688</v>
      </c>
      <c r="Q3868" s="15" t="s">
        <v>20688</v>
      </c>
      <c r="R3868" s="15" t="s">
        <v>20688</v>
      </c>
    </row>
    <row r="3869" spans="1:18" ht="43" customHeight="1" x14ac:dyDescent="0.15">
      <c r="A3869" s="11" t="s">
        <v>20833</v>
      </c>
      <c r="B3869" s="1" t="s">
        <v>20834</v>
      </c>
      <c r="C3869" s="11" t="s">
        <v>20835</v>
      </c>
      <c r="D3869" s="11" t="s">
        <v>20835</v>
      </c>
      <c r="E3869" s="11" t="s">
        <v>20836</v>
      </c>
      <c r="F3869" s="11" t="s">
        <v>20707</v>
      </c>
      <c r="G3869" s="11" t="s">
        <v>20837</v>
      </c>
      <c r="H3869" s="11" t="s">
        <v>20687</v>
      </c>
      <c r="I3869" s="11" t="str">
        <f>HYPERLINK("http://www.mimmagio.it/","www.mimmagio.it")</f>
        <v>www.mimmagio.it</v>
      </c>
      <c r="J3869" s="12">
        <v>431.67200000000003</v>
      </c>
      <c r="K3869" s="12">
        <v>431.67200000000003</v>
      </c>
      <c r="L3869" s="13">
        <v>417.61900000000003</v>
      </c>
      <c r="M3869" s="12">
        <v>1.266</v>
      </c>
      <c r="N3869" s="12">
        <v>1.266</v>
      </c>
      <c r="O3869" s="12">
        <v>0.746</v>
      </c>
      <c r="P3869" s="14" t="s">
        <v>20688</v>
      </c>
      <c r="Q3869" s="14" t="s">
        <v>20688</v>
      </c>
      <c r="R3869" s="12">
        <v>6</v>
      </c>
    </row>
    <row r="3870" spans="1:18" ht="17" customHeight="1" x14ac:dyDescent="0.15">
      <c r="A3870" s="8" t="s">
        <v>20838</v>
      </c>
      <c r="B3870" s="9" t="s">
        <v>20839</v>
      </c>
      <c r="C3870" s="8" t="s">
        <v>20840</v>
      </c>
      <c r="D3870" s="8" t="s">
        <v>20840</v>
      </c>
      <c r="E3870" s="8" t="s">
        <v>20841</v>
      </c>
      <c r="F3870" s="8" t="s">
        <v>20759</v>
      </c>
      <c r="G3870" s="8" t="s">
        <v>20686</v>
      </c>
      <c r="H3870" s="8" t="s">
        <v>20687</v>
      </c>
      <c r="I3870" s="8" t="str">
        <f>HYPERLINK("http://www.valdam.com/","www.valdam.com")</f>
        <v>www.valdam.com</v>
      </c>
      <c r="J3870" s="10">
        <v>454.233</v>
      </c>
      <c r="K3870" s="10">
        <v>454.233</v>
      </c>
      <c r="L3870" s="10">
        <v>415.66399999999999</v>
      </c>
      <c r="M3870" s="10">
        <v>4.8220000000000001</v>
      </c>
      <c r="N3870" s="10">
        <v>4.8220000000000001</v>
      </c>
      <c r="O3870" s="10">
        <v>5.64</v>
      </c>
      <c r="P3870" s="10">
        <v>11</v>
      </c>
      <c r="Q3870" s="10">
        <v>11</v>
      </c>
      <c r="R3870" s="10">
        <v>12</v>
      </c>
    </row>
    <row r="3871" spans="1:18" ht="17" customHeight="1" x14ac:dyDescent="0.15">
      <c r="A3871" s="11" t="s">
        <v>20842</v>
      </c>
      <c r="B3871" s="1" t="s">
        <v>20843</v>
      </c>
      <c r="C3871" s="11" t="s">
        <v>20844</v>
      </c>
      <c r="D3871" s="11" t="s">
        <v>20844</v>
      </c>
      <c r="E3871" s="11" t="s">
        <v>20845</v>
      </c>
      <c r="F3871" s="11" t="s">
        <v>20707</v>
      </c>
      <c r="G3871" s="11" t="s">
        <v>20846</v>
      </c>
      <c r="H3871" s="11" t="s">
        <v>20695</v>
      </c>
      <c r="I3871" s="11" t="str">
        <f>HYPERLINK("http://www.lerosespose.it/","www.lerosespose.it")</f>
        <v>www.lerosespose.it</v>
      </c>
      <c r="J3871" s="12">
        <v>416.137</v>
      </c>
      <c r="K3871" s="12">
        <v>416.137</v>
      </c>
      <c r="L3871" s="13">
        <v>415.55500000000001</v>
      </c>
      <c r="M3871" s="12">
        <v>0.80800000000000005</v>
      </c>
      <c r="N3871" s="12">
        <v>0.80800000000000005</v>
      </c>
      <c r="O3871" s="12">
        <v>3.863</v>
      </c>
      <c r="P3871" s="12">
        <v>8</v>
      </c>
      <c r="Q3871" s="12">
        <v>8</v>
      </c>
      <c r="R3871" s="12">
        <v>7</v>
      </c>
    </row>
    <row r="3872" spans="1:18" ht="29.5" customHeight="1" x14ac:dyDescent="0.15">
      <c r="A3872" s="8" t="s">
        <v>20847</v>
      </c>
      <c r="B3872" s="9" t="s">
        <v>20848</v>
      </c>
      <c r="C3872" s="8" t="s">
        <v>20849</v>
      </c>
      <c r="D3872" s="8" t="s">
        <v>20849</v>
      </c>
      <c r="E3872" s="8" t="s">
        <v>20850</v>
      </c>
      <c r="F3872" s="8" t="s">
        <v>20700</v>
      </c>
      <c r="G3872" s="8" t="s">
        <v>20851</v>
      </c>
      <c r="H3872" s="8" t="s">
        <v>20852</v>
      </c>
      <c r="I3872" s="8" t="str">
        <f>HYPERLINK("http://zona-industriale-dittaino.impresarosso.it/","zona-industriale-dittaino.impresarosso.it")</f>
        <v>zona-industriale-dittaino.impresarosso.it</v>
      </c>
      <c r="J3872" s="10">
        <v>493.041</v>
      </c>
      <c r="K3872" s="10">
        <v>493.041</v>
      </c>
      <c r="L3872" s="10">
        <v>415.53100000000001</v>
      </c>
      <c r="M3872" s="10">
        <v>5.141</v>
      </c>
      <c r="N3872" s="10">
        <v>5.141</v>
      </c>
      <c r="O3872" s="10">
        <v>-0.22700000000000001</v>
      </c>
      <c r="P3872" s="10">
        <v>9</v>
      </c>
      <c r="Q3872" s="10">
        <v>9</v>
      </c>
      <c r="R3872" s="10">
        <v>9</v>
      </c>
    </row>
    <row r="3873" spans="1:18" ht="17" customHeight="1" x14ac:dyDescent="0.15">
      <c r="A3873" s="11" t="s">
        <v>20853</v>
      </c>
      <c r="B3873" s="1" t="s">
        <v>20854</v>
      </c>
      <c r="C3873" s="11" t="s">
        <v>20855</v>
      </c>
      <c r="D3873" s="11" t="s">
        <v>20855</v>
      </c>
      <c r="E3873" s="11" t="s">
        <v>20856</v>
      </c>
      <c r="F3873" s="11" t="s">
        <v>20857</v>
      </c>
      <c r="G3873" s="11" t="s">
        <v>20858</v>
      </c>
      <c r="H3873" s="11" t="s">
        <v>20859</v>
      </c>
      <c r="I3873" s="11" t="str">
        <f>HYPERLINK("http://base.soloproveweb.it/","base.soloproveweb.it")</f>
        <v>base.soloproveweb.it</v>
      </c>
      <c r="J3873" s="12">
        <v>533.05700000000002</v>
      </c>
      <c r="K3873" s="12">
        <v>533.05700000000002</v>
      </c>
      <c r="L3873" s="13">
        <v>415.017</v>
      </c>
      <c r="M3873" s="12">
        <v>80.111000000000004</v>
      </c>
      <c r="N3873" s="12">
        <v>80.111000000000004</v>
      </c>
      <c r="O3873" s="12">
        <v>55.600999999999999</v>
      </c>
      <c r="P3873" s="12">
        <v>7</v>
      </c>
      <c r="Q3873" s="12">
        <v>7</v>
      </c>
      <c r="R3873" s="12">
        <v>8</v>
      </c>
    </row>
    <row r="3874" spans="1:18" ht="17" customHeight="1" x14ac:dyDescent="0.15">
      <c r="A3874" s="8" t="s">
        <v>20860</v>
      </c>
      <c r="B3874" s="9" t="s">
        <v>20861</v>
      </c>
      <c r="C3874" s="8" t="s">
        <v>20862</v>
      </c>
      <c r="D3874" s="8" t="s">
        <v>20862</v>
      </c>
      <c r="E3874" s="8" t="s">
        <v>20863</v>
      </c>
      <c r="F3874" s="8" t="s">
        <v>20864</v>
      </c>
      <c r="G3874" s="8" t="s">
        <v>20865</v>
      </c>
      <c r="H3874" s="8" t="s">
        <v>20866</v>
      </c>
      <c r="I3874" s="8" t="str">
        <f>HYPERLINK("http://reinhardplank.it/","reinhardplank.it")</f>
        <v>reinhardplank.it</v>
      </c>
      <c r="J3874" s="10">
        <v>266.94499999999999</v>
      </c>
      <c r="K3874" s="10">
        <v>266.94499999999999</v>
      </c>
      <c r="L3874" s="10">
        <v>414.74099999999999</v>
      </c>
      <c r="M3874" s="10">
        <v>-32.439</v>
      </c>
      <c r="N3874" s="10">
        <v>-32.439</v>
      </c>
      <c r="O3874" s="10">
        <v>22.928000000000001</v>
      </c>
      <c r="P3874" s="10">
        <v>2</v>
      </c>
      <c r="Q3874" s="10">
        <v>2</v>
      </c>
      <c r="R3874" s="10">
        <v>3</v>
      </c>
    </row>
    <row r="3875" spans="1:18" ht="17" customHeight="1" x14ac:dyDescent="0.15">
      <c r="A3875" s="11" t="s">
        <v>20867</v>
      </c>
      <c r="B3875" s="1" t="s">
        <v>20868</v>
      </c>
      <c r="C3875" s="11" t="s">
        <v>20869</v>
      </c>
      <c r="D3875" s="11" t="s">
        <v>20869</v>
      </c>
      <c r="E3875" s="11" t="s">
        <v>20870</v>
      </c>
      <c r="F3875" s="11" t="s">
        <v>20871</v>
      </c>
      <c r="G3875" s="11" t="s">
        <v>20872</v>
      </c>
      <c r="H3875" s="11" t="s">
        <v>20873</v>
      </c>
      <c r="I3875" s="11" t="str">
        <f>HYPERLINK("http://www.washingtondeecee.com/","www.washingtondeecee.com")</f>
        <v>www.washingtondeecee.com</v>
      </c>
      <c r="J3875" s="12">
        <v>414.49</v>
      </c>
      <c r="K3875" s="14" t="s">
        <v>20874</v>
      </c>
      <c r="L3875" s="13">
        <v>414.49</v>
      </c>
      <c r="M3875" s="12">
        <v>-471.79500000000002</v>
      </c>
      <c r="N3875" s="14" t="s">
        <v>20874</v>
      </c>
      <c r="O3875" s="12">
        <v>-471.79500000000002</v>
      </c>
      <c r="P3875" s="12">
        <v>1</v>
      </c>
      <c r="Q3875" s="14" t="s">
        <v>20874</v>
      </c>
      <c r="R3875" s="12">
        <v>1</v>
      </c>
    </row>
    <row r="3876" spans="1:18" ht="17" customHeight="1" x14ac:dyDescent="0.15">
      <c r="A3876" s="8" t="s">
        <v>20875</v>
      </c>
      <c r="B3876" s="9" t="s">
        <v>20876</v>
      </c>
      <c r="C3876" s="8" t="s">
        <v>20877</v>
      </c>
      <c r="D3876" s="8" t="s">
        <v>20877</v>
      </c>
      <c r="E3876" s="8" t="s">
        <v>20878</v>
      </c>
      <c r="F3876" s="8" t="s">
        <v>20871</v>
      </c>
      <c r="G3876" s="8" t="s">
        <v>20872</v>
      </c>
      <c r="H3876" s="8" t="s">
        <v>20873</v>
      </c>
      <c r="I3876" s="8" t="str">
        <f>HYPERLINK("http://www.provocationmilano.com/","www.provocationmilano.com")</f>
        <v>www.provocationmilano.com</v>
      </c>
      <c r="J3876" s="10">
        <v>386.22800000000001</v>
      </c>
      <c r="K3876" s="10">
        <v>386.22800000000001</v>
      </c>
      <c r="L3876" s="10">
        <v>413.93099999999998</v>
      </c>
      <c r="M3876" s="10">
        <v>2.3029999999999999</v>
      </c>
      <c r="N3876" s="10">
        <v>2.3029999999999999</v>
      </c>
      <c r="O3876" s="10">
        <v>-6.835</v>
      </c>
      <c r="P3876" s="10">
        <v>1</v>
      </c>
      <c r="Q3876" s="10">
        <v>1</v>
      </c>
      <c r="R3876" s="10">
        <v>2</v>
      </c>
    </row>
    <row r="3877" spans="1:18" ht="17" customHeight="1" x14ac:dyDescent="0.15">
      <c r="A3877" s="11" t="s">
        <v>20879</v>
      </c>
      <c r="B3877" s="1" t="s">
        <v>20880</v>
      </c>
      <c r="C3877" s="11" t="s">
        <v>20881</v>
      </c>
      <c r="D3877" s="11" t="s">
        <v>20881</v>
      </c>
      <c r="E3877" s="11" t="s">
        <v>20882</v>
      </c>
      <c r="F3877" s="11" t="s">
        <v>20864</v>
      </c>
      <c r="G3877" s="11" t="s">
        <v>20883</v>
      </c>
      <c r="H3877" s="11" t="s">
        <v>20884</v>
      </c>
      <c r="I3877" s="11" t="str">
        <f>HYPERLINK("http://www.fusionlab.it/","www.fusionlab.it")</f>
        <v>www.fusionlab.it</v>
      </c>
      <c r="J3877" s="12">
        <v>375.13</v>
      </c>
      <c r="K3877" s="12">
        <v>375.13</v>
      </c>
      <c r="L3877" s="13">
        <v>413.08199999999999</v>
      </c>
      <c r="M3877" s="12">
        <v>3.3000000000000002E-2</v>
      </c>
      <c r="N3877" s="12">
        <v>3.3000000000000002E-2</v>
      </c>
      <c r="O3877" s="12">
        <v>-0.14000000000000001</v>
      </c>
      <c r="P3877" s="12">
        <v>1</v>
      </c>
      <c r="Q3877" s="12">
        <v>1</v>
      </c>
      <c r="R3877" s="12">
        <v>1</v>
      </c>
    </row>
    <row r="3878" spans="1:18" ht="29.5" customHeight="1" x14ac:dyDescent="0.15">
      <c r="A3878" s="8" t="s">
        <v>20885</v>
      </c>
      <c r="B3878" s="9" t="s">
        <v>20886</v>
      </c>
      <c r="C3878" s="8" t="s">
        <v>20887</v>
      </c>
      <c r="D3878" s="8" t="s">
        <v>20887</v>
      </c>
      <c r="E3878" s="8" t="s">
        <v>20888</v>
      </c>
      <c r="F3878" s="8" t="s">
        <v>20871</v>
      </c>
      <c r="G3878" s="8" t="s">
        <v>20889</v>
      </c>
      <c r="H3878" s="8" t="s">
        <v>20890</v>
      </c>
      <c r="I3878" s="8" t="str">
        <f>HYPERLINK("http://pepito-s-srl-05441980652.quantofattura.com/","pepito-s-srl-05441980652.quantofattura.com")</f>
        <v>pepito-s-srl-05441980652.quantofattura.com</v>
      </c>
      <c r="J3878" s="10">
        <v>305.065</v>
      </c>
      <c r="K3878" s="10">
        <v>305.065</v>
      </c>
      <c r="L3878" s="10">
        <v>412.26600000000002</v>
      </c>
      <c r="M3878" s="10">
        <v>36.965000000000003</v>
      </c>
      <c r="N3878" s="10">
        <v>36.965000000000003</v>
      </c>
      <c r="O3878" s="10">
        <v>67.558000000000007</v>
      </c>
      <c r="P3878" s="10">
        <v>3</v>
      </c>
      <c r="Q3878" s="10">
        <v>3</v>
      </c>
      <c r="R3878" s="10">
        <v>4</v>
      </c>
    </row>
    <row r="3879" spans="1:18" ht="17" customHeight="1" x14ac:dyDescent="0.15">
      <c r="A3879" s="11" t="s">
        <v>20891</v>
      </c>
      <c r="B3879" s="1" t="s">
        <v>20892</v>
      </c>
      <c r="C3879" s="11" t="s">
        <v>20893</v>
      </c>
      <c r="D3879" s="11" t="s">
        <v>20893</v>
      </c>
      <c r="E3879" s="11" t="s">
        <v>20894</v>
      </c>
      <c r="F3879" s="11" t="s">
        <v>20895</v>
      </c>
      <c r="G3879" s="11" t="s">
        <v>20896</v>
      </c>
      <c r="H3879" s="11" t="s">
        <v>20890</v>
      </c>
      <c r="I3879" s="11" t="str">
        <f>HYPERLINK("http://www.lainoindustry.com/","www.lainoindustry.com")</f>
        <v>www.lainoindustry.com</v>
      </c>
      <c r="J3879" s="12">
        <v>431.53199999999998</v>
      </c>
      <c r="K3879" s="12">
        <v>431.53199999999998</v>
      </c>
      <c r="L3879" s="13">
        <v>411.95800000000003</v>
      </c>
      <c r="M3879" s="12">
        <v>-45.207000000000001</v>
      </c>
      <c r="N3879" s="12">
        <v>-45.207000000000001</v>
      </c>
      <c r="O3879" s="12">
        <v>9.4730000000000008</v>
      </c>
      <c r="P3879" s="14" t="s">
        <v>20874</v>
      </c>
      <c r="Q3879" s="14" t="s">
        <v>20874</v>
      </c>
      <c r="R3879" s="12">
        <v>7</v>
      </c>
    </row>
    <row r="3880" spans="1:18" ht="17" customHeight="1" x14ac:dyDescent="0.15">
      <c r="A3880" s="8" t="s">
        <v>20897</v>
      </c>
      <c r="B3880" s="9" t="s">
        <v>20898</v>
      </c>
      <c r="C3880" s="8" t="s">
        <v>20899</v>
      </c>
      <c r="D3880" s="8" t="s">
        <v>20899</v>
      </c>
      <c r="E3880" s="8" t="s">
        <v>20900</v>
      </c>
      <c r="F3880" s="8" t="s">
        <v>20901</v>
      </c>
      <c r="G3880" s="8" t="s">
        <v>20902</v>
      </c>
      <c r="H3880" s="8" t="s">
        <v>20903</v>
      </c>
      <c r="I3880" s="8" t="str">
        <f>HYPERLINK("http://www.famacsrl.it/","www.famacsrl.it")</f>
        <v>www.famacsrl.it</v>
      </c>
      <c r="J3880" s="10">
        <v>339.57299999999998</v>
      </c>
      <c r="K3880" s="10">
        <v>339.57299999999998</v>
      </c>
      <c r="L3880" s="10">
        <v>412.04599999999999</v>
      </c>
      <c r="M3880" s="10">
        <v>-107.73399999999999</v>
      </c>
      <c r="N3880" s="10">
        <v>-107.73399999999999</v>
      </c>
      <c r="O3880" s="10">
        <v>-117.527</v>
      </c>
      <c r="P3880" s="10">
        <v>5</v>
      </c>
      <c r="Q3880" s="10">
        <v>5</v>
      </c>
      <c r="R3880" s="10">
        <v>5</v>
      </c>
    </row>
    <row r="3881" spans="1:18" ht="17" customHeight="1" x14ac:dyDescent="0.15">
      <c r="A3881" s="11" t="s">
        <v>20904</v>
      </c>
      <c r="B3881" s="1" t="s">
        <v>20905</v>
      </c>
      <c r="C3881" s="11" t="s">
        <v>20906</v>
      </c>
      <c r="D3881" s="11" t="s">
        <v>20906</v>
      </c>
      <c r="E3881" s="11" t="s">
        <v>20907</v>
      </c>
      <c r="F3881" s="11" t="s">
        <v>20908</v>
      </c>
      <c r="G3881" s="11" t="s">
        <v>20909</v>
      </c>
      <c r="H3881" s="11" t="s">
        <v>20910</v>
      </c>
      <c r="I3881" s="11" t="str">
        <f>HYPERLINK("http://www.belliniweddingshoes.it/","www.belliniweddingshoes.it")</f>
        <v>www.belliniweddingshoes.it</v>
      </c>
      <c r="J3881" s="12">
        <v>589.59400000000005</v>
      </c>
      <c r="K3881" s="12">
        <v>589.59400000000005</v>
      </c>
      <c r="L3881" s="13">
        <v>411.80099999999999</v>
      </c>
      <c r="M3881" s="12">
        <v>3.51</v>
      </c>
      <c r="N3881" s="12">
        <v>3.51</v>
      </c>
      <c r="O3881" s="12">
        <v>20.959</v>
      </c>
      <c r="P3881" s="12">
        <v>5</v>
      </c>
      <c r="Q3881" s="12">
        <v>5</v>
      </c>
      <c r="R3881" s="12">
        <v>5</v>
      </c>
    </row>
    <row r="3882" spans="1:18" ht="17" customHeight="1" x14ac:dyDescent="0.15">
      <c r="A3882" s="8" t="s">
        <v>20911</v>
      </c>
      <c r="B3882" s="9" t="s">
        <v>20912</v>
      </c>
      <c r="C3882" s="8" t="s">
        <v>20913</v>
      </c>
      <c r="D3882" s="8" t="s">
        <v>20913</v>
      </c>
      <c r="E3882" s="8" t="s">
        <v>20914</v>
      </c>
      <c r="F3882" s="8" t="s">
        <v>20915</v>
      </c>
      <c r="G3882" s="8" t="s">
        <v>20916</v>
      </c>
      <c r="H3882" s="8" t="s">
        <v>20873</v>
      </c>
      <c r="I3882" s="8" t="str">
        <f>HYPERLINK("http://www.annacristy.it/","www.annacristy.it")</f>
        <v>www.annacristy.it</v>
      </c>
      <c r="J3882" s="10">
        <v>274.62599999999998</v>
      </c>
      <c r="K3882" s="10">
        <v>274.62599999999998</v>
      </c>
      <c r="L3882" s="10">
        <v>410.18400000000003</v>
      </c>
      <c r="M3882" s="10">
        <v>-29.266999999999999</v>
      </c>
      <c r="N3882" s="10">
        <v>-29.266999999999999</v>
      </c>
      <c r="O3882" s="10">
        <v>-4.46</v>
      </c>
      <c r="P3882" s="10">
        <v>2</v>
      </c>
      <c r="Q3882" s="10">
        <v>2</v>
      </c>
      <c r="R3882" s="10">
        <v>2</v>
      </c>
    </row>
    <row r="3883" spans="1:18" ht="17" customHeight="1" x14ac:dyDescent="0.15">
      <c r="A3883" s="11" t="s">
        <v>20917</v>
      </c>
      <c r="B3883" s="1" t="s">
        <v>20918</v>
      </c>
      <c r="C3883" s="11" t="s">
        <v>20919</v>
      </c>
      <c r="D3883" s="11" t="s">
        <v>20919</v>
      </c>
      <c r="E3883" s="11" t="s">
        <v>20920</v>
      </c>
      <c r="F3883" s="11" t="s">
        <v>20857</v>
      </c>
      <c r="G3883" s="11" t="s">
        <v>20921</v>
      </c>
      <c r="H3883" s="11" t="s">
        <v>20922</v>
      </c>
      <c r="I3883" s="11" t="str">
        <f>HYPERLINK("http://www.xanthia.it/","www.xanthia.it")</f>
        <v>www.xanthia.it</v>
      </c>
      <c r="J3883" s="12">
        <v>427.65100000000001</v>
      </c>
      <c r="K3883" s="12">
        <v>427.65100000000001</v>
      </c>
      <c r="L3883" s="13">
        <v>409.76400000000001</v>
      </c>
      <c r="M3883" s="12">
        <v>8.1479999999999997</v>
      </c>
      <c r="N3883" s="12">
        <v>8.1479999999999997</v>
      </c>
      <c r="O3883" s="12">
        <v>6.1660000000000004</v>
      </c>
      <c r="P3883" s="12">
        <v>2</v>
      </c>
      <c r="Q3883" s="12">
        <v>2</v>
      </c>
      <c r="R3883" s="12">
        <v>2</v>
      </c>
    </row>
    <row r="3884" spans="1:18" ht="17" customHeight="1" x14ac:dyDescent="0.15">
      <c r="A3884" s="8" t="s">
        <v>20923</v>
      </c>
      <c r="B3884" s="9" t="s">
        <v>20924</v>
      </c>
      <c r="C3884" s="8" t="s">
        <v>20925</v>
      </c>
      <c r="D3884" s="8" t="s">
        <v>20925</v>
      </c>
      <c r="E3884" s="8" t="s">
        <v>20926</v>
      </c>
      <c r="F3884" s="8" t="s">
        <v>20927</v>
      </c>
      <c r="G3884" s="8" t="s">
        <v>20928</v>
      </c>
      <c r="H3884" s="8" t="s">
        <v>20873</v>
      </c>
      <c r="I3884" s="8" t="str">
        <f>HYPERLINK("http://www.tramenaturali.bio/","www.tramenaturali.bio")</f>
        <v>www.tramenaturali.bio</v>
      </c>
      <c r="J3884" s="10">
        <v>496.23</v>
      </c>
      <c r="K3884" s="10">
        <v>496.23</v>
      </c>
      <c r="L3884" s="10">
        <v>409.25299999999999</v>
      </c>
      <c r="M3884" s="10">
        <v>8.2420000000000009</v>
      </c>
      <c r="N3884" s="10">
        <v>8.2420000000000009</v>
      </c>
      <c r="O3884" s="10">
        <v>7.8959999999999999</v>
      </c>
      <c r="P3884" s="10">
        <v>2</v>
      </c>
      <c r="Q3884" s="10">
        <v>2</v>
      </c>
      <c r="R3884" s="10">
        <v>1</v>
      </c>
    </row>
    <row r="3885" spans="1:18" ht="17" customHeight="1" x14ac:dyDescent="0.15">
      <c r="A3885" s="11" t="s">
        <v>20929</v>
      </c>
      <c r="B3885" s="1" t="s">
        <v>20930</v>
      </c>
      <c r="C3885" s="11" t="s">
        <v>20931</v>
      </c>
      <c r="D3885" s="11" t="s">
        <v>20931</v>
      </c>
      <c r="E3885" s="11" t="s">
        <v>20932</v>
      </c>
      <c r="F3885" s="11" t="s">
        <v>20895</v>
      </c>
      <c r="G3885" s="11" t="s">
        <v>20933</v>
      </c>
      <c r="H3885" s="11" t="s">
        <v>20910</v>
      </c>
      <c r="I3885" s="11" t="str">
        <f>HYPERLINK("http://raguso1963.it/","raguso1963.it")</f>
        <v>raguso1963.it</v>
      </c>
      <c r="J3885" s="12">
        <v>435.18599999999998</v>
      </c>
      <c r="K3885" s="12">
        <v>435.18599999999998</v>
      </c>
      <c r="L3885" s="13">
        <v>408.49400000000003</v>
      </c>
      <c r="M3885" s="12">
        <v>6.7069999999999999</v>
      </c>
      <c r="N3885" s="12">
        <v>6.7069999999999999</v>
      </c>
      <c r="O3885" s="12">
        <v>4.7460000000000004</v>
      </c>
      <c r="P3885" s="12">
        <v>3</v>
      </c>
      <c r="Q3885" s="12">
        <v>3</v>
      </c>
      <c r="R3885" s="12">
        <v>3</v>
      </c>
    </row>
    <row r="3886" spans="1:18" ht="17" customHeight="1" x14ac:dyDescent="0.15">
      <c r="A3886" s="8" t="s">
        <v>20934</v>
      </c>
      <c r="B3886" s="9" t="s">
        <v>20935</v>
      </c>
      <c r="C3886" s="8" t="s">
        <v>20936</v>
      </c>
      <c r="D3886" s="8" t="s">
        <v>20936</v>
      </c>
      <c r="E3886" s="8" t="s">
        <v>20937</v>
      </c>
      <c r="F3886" s="8" t="s">
        <v>20938</v>
      </c>
      <c r="G3886" s="8" t="s">
        <v>20939</v>
      </c>
      <c r="H3886" s="8" t="s">
        <v>20940</v>
      </c>
      <c r="I3886" s="8" t="str">
        <f>HYPERLINK("http://www.cinziasrl.it/","www.cinziasrl.it")</f>
        <v>www.cinziasrl.it</v>
      </c>
      <c r="J3886" s="10">
        <v>505.423</v>
      </c>
      <c r="K3886" s="10">
        <v>505.423</v>
      </c>
      <c r="L3886" s="10">
        <v>408.41899999999998</v>
      </c>
      <c r="M3886" s="10">
        <v>3.3180000000000001</v>
      </c>
      <c r="N3886" s="10">
        <v>3.3180000000000001</v>
      </c>
      <c r="O3886" s="10">
        <v>1.4670000000000001</v>
      </c>
      <c r="P3886" s="10">
        <v>7</v>
      </c>
      <c r="Q3886" s="10">
        <v>7</v>
      </c>
      <c r="R3886" s="10">
        <v>7</v>
      </c>
    </row>
    <row r="3887" spans="1:18" ht="17" customHeight="1" x14ac:dyDescent="0.15">
      <c r="A3887" s="11" t="s">
        <v>20941</v>
      </c>
      <c r="B3887" s="1" t="s">
        <v>20942</v>
      </c>
      <c r="C3887" s="11" t="s">
        <v>20943</v>
      </c>
      <c r="D3887" s="11" t="s">
        <v>20943</v>
      </c>
      <c r="E3887" s="11" t="s">
        <v>20944</v>
      </c>
      <c r="F3887" s="11" t="s">
        <v>20915</v>
      </c>
      <c r="G3887" s="11" t="s">
        <v>20945</v>
      </c>
      <c r="H3887" s="11" t="s">
        <v>20873</v>
      </c>
      <c r="I3887" s="11" t="str">
        <f>HYPERLINK("http://audaxsportswear.com/","audaxsportswear.com")</f>
        <v>audaxsportswear.com</v>
      </c>
      <c r="J3887" s="12">
        <v>460.28899999999999</v>
      </c>
      <c r="K3887" s="12">
        <v>460.28899999999999</v>
      </c>
      <c r="L3887" s="13">
        <v>408.43</v>
      </c>
      <c r="M3887" s="12">
        <v>21.99</v>
      </c>
      <c r="N3887" s="12">
        <v>21.99</v>
      </c>
      <c r="O3887" s="12">
        <v>18.622</v>
      </c>
      <c r="P3887" s="12">
        <v>2</v>
      </c>
      <c r="Q3887" s="12">
        <v>2</v>
      </c>
      <c r="R3887" s="12">
        <v>3</v>
      </c>
    </row>
    <row r="3888" spans="1:18" ht="17" customHeight="1" x14ac:dyDescent="0.15">
      <c r="A3888" s="8" t="s">
        <v>20946</v>
      </c>
      <c r="B3888" s="9" t="s">
        <v>20947</v>
      </c>
      <c r="C3888" s="8" t="s">
        <v>20948</v>
      </c>
      <c r="D3888" s="8" t="s">
        <v>20948</v>
      </c>
      <c r="E3888" s="8" t="s">
        <v>20949</v>
      </c>
      <c r="F3888" s="8" t="s">
        <v>20908</v>
      </c>
      <c r="G3888" s="8" t="s">
        <v>20950</v>
      </c>
      <c r="H3888" s="8" t="s">
        <v>20951</v>
      </c>
      <c r="I3888" s="8" t="str">
        <f>HYPERLINK("http://interstellardudes.it/","interstellardudes.it")</f>
        <v>interstellardudes.it</v>
      </c>
      <c r="J3888" s="10">
        <v>657.69799999999998</v>
      </c>
      <c r="K3888" s="10">
        <v>657.69799999999998</v>
      </c>
      <c r="L3888" s="10">
        <v>407.80399999999997</v>
      </c>
      <c r="M3888" s="10">
        <v>5.4550000000000001</v>
      </c>
      <c r="N3888" s="10">
        <v>5.4550000000000001</v>
      </c>
      <c r="O3888" s="10">
        <v>29.071000000000002</v>
      </c>
      <c r="P3888" s="15" t="s">
        <v>20874</v>
      </c>
      <c r="Q3888" s="15" t="s">
        <v>20874</v>
      </c>
      <c r="R3888" s="10">
        <v>0</v>
      </c>
    </row>
    <row r="3889" spans="1:18" ht="17" customHeight="1" x14ac:dyDescent="0.15">
      <c r="A3889" s="11" t="s">
        <v>20952</v>
      </c>
      <c r="B3889" s="1" t="s">
        <v>20953</v>
      </c>
      <c r="C3889" s="11" t="s">
        <v>20954</v>
      </c>
      <c r="D3889" s="11" t="s">
        <v>20954</v>
      </c>
      <c r="E3889" s="11" t="s">
        <v>20955</v>
      </c>
      <c r="F3889" s="11" t="s">
        <v>20956</v>
      </c>
      <c r="G3889" s="11" t="s">
        <v>20957</v>
      </c>
      <c r="H3889" s="11" t="s">
        <v>20884</v>
      </c>
      <c r="I3889" s="11" t="str">
        <f>HYPERLINK("http://www.viansrl.it/","www.viansrl.it")</f>
        <v>www.viansrl.it</v>
      </c>
      <c r="J3889" s="12">
        <v>374.64600000000002</v>
      </c>
      <c r="K3889" s="12">
        <v>374.64600000000002</v>
      </c>
      <c r="L3889" s="13">
        <v>407.46499999999997</v>
      </c>
      <c r="M3889" s="12">
        <v>1.3859999999999999</v>
      </c>
      <c r="N3889" s="12">
        <v>1.3859999999999999</v>
      </c>
      <c r="O3889" s="12">
        <v>3.125</v>
      </c>
      <c r="P3889" s="12">
        <v>2</v>
      </c>
      <c r="Q3889" s="12">
        <v>2</v>
      </c>
      <c r="R3889" s="12">
        <v>2</v>
      </c>
    </row>
    <row r="3890" spans="1:18" ht="17" customHeight="1" x14ac:dyDescent="0.15">
      <c r="A3890" s="8" t="s">
        <v>20958</v>
      </c>
      <c r="B3890" s="9" t="s">
        <v>20959</v>
      </c>
      <c r="C3890" s="8" t="s">
        <v>20960</v>
      </c>
      <c r="D3890" s="8" t="s">
        <v>20960</v>
      </c>
      <c r="E3890" s="8" t="s">
        <v>20961</v>
      </c>
      <c r="F3890" s="8" t="s">
        <v>20938</v>
      </c>
      <c r="G3890" s="8" t="s">
        <v>20950</v>
      </c>
      <c r="H3890" s="8" t="s">
        <v>20951</v>
      </c>
      <c r="I3890" s="8" t="str">
        <f>HYPERLINK("http://www.elleeffesrl.it/","www.elleeffesrl.it")</f>
        <v>www.elleeffesrl.it</v>
      </c>
      <c r="J3890" s="10">
        <v>356.85899999999998</v>
      </c>
      <c r="K3890" s="10">
        <v>356.85899999999998</v>
      </c>
      <c r="L3890" s="10">
        <v>407.11200000000002</v>
      </c>
      <c r="M3890" s="10">
        <v>5.2789999999999999</v>
      </c>
      <c r="N3890" s="10">
        <v>5.2789999999999999</v>
      </c>
      <c r="O3890" s="10">
        <v>20.402999999999999</v>
      </c>
      <c r="P3890" s="10">
        <v>0</v>
      </c>
      <c r="Q3890" s="10">
        <v>0</v>
      </c>
      <c r="R3890" s="10">
        <v>0</v>
      </c>
    </row>
    <row r="3891" spans="1:18" ht="29.5" customHeight="1" x14ac:dyDescent="0.15">
      <c r="A3891" s="11" t="s">
        <v>20962</v>
      </c>
      <c r="B3891" s="1" t="s">
        <v>20963</v>
      </c>
      <c r="C3891" s="11" t="s">
        <v>20964</v>
      </c>
      <c r="D3891" s="11" t="s">
        <v>20964</v>
      </c>
      <c r="E3891" s="11" t="s">
        <v>20965</v>
      </c>
      <c r="F3891" s="11" t="s">
        <v>20895</v>
      </c>
      <c r="G3891" s="11" t="s">
        <v>20950</v>
      </c>
      <c r="H3891" s="11" t="s">
        <v>20951</v>
      </c>
      <c r="I3891" s="11" t="str">
        <f>HYPERLINK("http://www.pelletteriappaloosa.it/","www.pelletteriappaloosa.it")</f>
        <v>www.pelletteriappaloosa.it</v>
      </c>
      <c r="J3891" s="12">
        <v>239.16399999999999</v>
      </c>
      <c r="K3891" s="12">
        <v>239.16399999999999</v>
      </c>
      <c r="L3891" s="13">
        <v>406.28699999999998</v>
      </c>
      <c r="M3891" s="12">
        <v>-6.2060000000000004</v>
      </c>
      <c r="N3891" s="12">
        <v>-6.2060000000000004</v>
      </c>
      <c r="O3891" s="12">
        <v>7.2169999999999996</v>
      </c>
      <c r="P3891" s="14" t="s">
        <v>20874</v>
      </c>
      <c r="Q3891" s="14" t="s">
        <v>20874</v>
      </c>
      <c r="R3891" s="12">
        <v>4</v>
      </c>
    </row>
    <row r="3892" spans="1:18" ht="29.5" customHeight="1" x14ac:dyDescent="0.15">
      <c r="A3892" s="8" t="s">
        <v>20966</v>
      </c>
      <c r="B3892" s="9" t="s">
        <v>20967</v>
      </c>
      <c r="C3892" s="8" t="s">
        <v>20968</v>
      </c>
      <c r="D3892" s="8" t="s">
        <v>20968</v>
      </c>
      <c r="E3892" s="8" t="s">
        <v>20969</v>
      </c>
      <c r="F3892" s="8" t="s">
        <v>20895</v>
      </c>
      <c r="G3892" s="8" t="s">
        <v>20950</v>
      </c>
      <c r="H3892" s="8" t="s">
        <v>20951</v>
      </c>
      <c r="I3892" s="8" t="str">
        <f>HYPERLINK("http://www.flavioparenti.it/","www.flavioparenti.it")</f>
        <v>www.flavioparenti.it</v>
      </c>
      <c r="J3892" s="10">
        <v>601.64099999999996</v>
      </c>
      <c r="K3892" s="10">
        <v>601.64099999999996</v>
      </c>
      <c r="L3892" s="10">
        <v>405.77699999999999</v>
      </c>
      <c r="M3892" s="10">
        <v>63.954999999999998</v>
      </c>
      <c r="N3892" s="10">
        <v>63.954999999999998</v>
      </c>
      <c r="O3892" s="10">
        <v>22.082999999999998</v>
      </c>
      <c r="P3892" s="10">
        <v>5</v>
      </c>
      <c r="Q3892" s="10">
        <v>5</v>
      </c>
      <c r="R3892" s="10">
        <v>5</v>
      </c>
    </row>
    <row r="3893" spans="1:18" ht="17" customHeight="1" x14ac:dyDescent="0.15">
      <c r="A3893" s="11" t="s">
        <v>20970</v>
      </c>
      <c r="B3893" s="1" t="s">
        <v>20971</v>
      </c>
      <c r="C3893" s="11" t="s">
        <v>20972</v>
      </c>
      <c r="D3893" s="11" t="s">
        <v>20972</v>
      </c>
      <c r="E3893" s="11" t="s">
        <v>20973</v>
      </c>
      <c r="F3893" s="11" t="s">
        <v>20974</v>
      </c>
      <c r="G3893" s="11" t="s">
        <v>20975</v>
      </c>
      <c r="H3893" s="11" t="s">
        <v>20951</v>
      </c>
      <c r="I3893" s="11" t="str">
        <f>HYPERLINK("http://www.ginocori.it/","www.ginocori.it")</f>
        <v>www.ginocori.it</v>
      </c>
      <c r="J3893" s="12">
        <v>274.28800000000001</v>
      </c>
      <c r="K3893" s="12">
        <v>274.28800000000001</v>
      </c>
      <c r="L3893" s="13">
        <v>405.82299999999998</v>
      </c>
      <c r="M3893" s="12">
        <v>-28.027999999999999</v>
      </c>
      <c r="N3893" s="12">
        <v>-28.027999999999999</v>
      </c>
      <c r="O3893" s="12">
        <v>40.521999999999998</v>
      </c>
      <c r="P3893" s="12">
        <v>3</v>
      </c>
      <c r="Q3893" s="12">
        <v>3</v>
      </c>
      <c r="R3893" s="12">
        <v>4</v>
      </c>
    </row>
    <row r="3894" spans="1:18" ht="17" customHeight="1" x14ac:dyDescent="0.15">
      <c r="A3894" s="8" t="s">
        <v>20976</v>
      </c>
      <c r="B3894" s="9" t="s">
        <v>20977</v>
      </c>
      <c r="C3894" s="8" t="s">
        <v>20978</v>
      </c>
      <c r="D3894" s="8" t="s">
        <v>20978</v>
      </c>
      <c r="E3894" s="8" t="s">
        <v>20979</v>
      </c>
      <c r="F3894" s="8" t="s">
        <v>20864</v>
      </c>
      <c r="G3894" s="8" t="s">
        <v>20980</v>
      </c>
      <c r="H3894" s="8" t="s">
        <v>20981</v>
      </c>
      <c r="I3894" s="8" t="str">
        <f>HYPERLINK("http://zero11srl.com/","zero11srl.com")</f>
        <v>zero11srl.com</v>
      </c>
      <c r="J3894" s="10">
        <v>630.24599999999998</v>
      </c>
      <c r="K3894" s="10">
        <v>630.24599999999998</v>
      </c>
      <c r="L3894" s="10">
        <v>405.161</v>
      </c>
      <c r="M3894" s="10">
        <v>-64.072000000000003</v>
      </c>
      <c r="N3894" s="10">
        <v>-64.072000000000003</v>
      </c>
      <c r="O3894" s="10">
        <v>2.1320000000000001</v>
      </c>
      <c r="P3894" s="10">
        <v>0</v>
      </c>
      <c r="Q3894" s="10">
        <v>0</v>
      </c>
      <c r="R3894" s="10">
        <v>1</v>
      </c>
    </row>
    <row r="3895" spans="1:18" ht="17" customHeight="1" x14ac:dyDescent="0.15">
      <c r="A3895" s="11" t="s">
        <v>20982</v>
      </c>
      <c r="B3895" s="1" t="s">
        <v>20983</v>
      </c>
      <c r="C3895" s="11" t="s">
        <v>20984</v>
      </c>
      <c r="D3895" s="11" t="s">
        <v>20984</v>
      </c>
      <c r="E3895" s="11" t="s">
        <v>20985</v>
      </c>
      <c r="F3895" s="11" t="s">
        <v>20895</v>
      </c>
      <c r="G3895" s="11" t="s">
        <v>20928</v>
      </c>
      <c r="H3895" s="11" t="s">
        <v>20873</v>
      </c>
      <c r="I3895" s="11" t="str">
        <f>HYPERLINK("http://www.pelletteriavg.it/","www.pelletteriavg.it")</f>
        <v>www.pelletteriavg.it</v>
      </c>
      <c r="J3895" s="12">
        <v>317.37400000000002</v>
      </c>
      <c r="K3895" s="12">
        <v>317.37400000000002</v>
      </c>
      <c r="L3895" s="13">
        <v>403.88200000000001</v>
      </c>
      <c r="M3895" s="12">
        <v>-9.8249999999999993</v>
      </c>
      <c r="N3895" s="12">
        <v>-9.8249999999999993</v>
      </c>
      <c r="O3895" s="12">
        <v>0.61599999999999999</v>
      </c>
      <c r="P3895" s="12">
        <v>6</v>
      </c>
      <c r="Q3895" s="12">
        <v>6</v>
      </c>
      <c r="R3895" s="12">
        <v>6</v>
      </c>
    </row>
    <row r="3896" spans="1:18" ht="29.5" customHeight="1" x14ac:dyDescent="0.15">
      <c r="A3896" s="8" t="s">
        <v>20986</v>
      </c>
      <c r="B3896" s="9" t="s">
        <v>20987</v>
      </c>
      <c r="C3896" s="8" t="s">
        <v>20988</v>
      </c>
      <c r="D3896" s="8" t="s">
        <v>20988</v>
      </c>
      <c r="E3896" s="8" t="s">
        <v>20989</v>
      </c>
      <c r="F3896" s="8" t="s">
        <v>20990</v>
      </c>
      <c r="G3896" s="8" t="s">
        <v>20991</v>
      </c>
      <c r="H3896" s="8" t="s">
        <v>20992</v>
      </c>
      <c r="I3896" s="8" t="str">
        <f>HYPERLINK("http://www.splendoreatelier.it/","www.splendoreatelier.it")</f>
        <v>www.splendoreatelier.it</v>
      </c>
      <c r="J3896" s="10">
        <v>410.38400000000001</v>
      </c>
      <c r="K3896" s="10">
        <v>410.38400000000001</v>
      </c>
      <c r="L3896" s="10">
        <v>403.52800000000002</v>
      </c>
      <c r="M3896" s="10">
        <v>21.713000000000001</v>
      </c>
      <c r="N3896" s="10">
        <v>21.713000000000001</v>
      </c>
      <c r="O3896" s="10">
        <v>21.102</v>
      </c>
      <c r="P3896" s="15" t="s">
        <v>20874</v>
      </c>
      <c r="Q3896" s="15" t="s">
        <v>20874</v>
      </c>
      <c r="R3896" s="10">
        <v>4</v>
      </c>
    </row>
    <row r="3897" spans="1:18" ht="17" customHeight="1" x14ac:dyDescent="0.15">
      <c r="A3897" s="11" t="s">
        <v>20993</v>
      </c>
      <c r="B3897" s="1" t="s">
        <v>20994</v>
      </c>
      <c r="C3897" s="11" t="s">
        <v>20995</v>
      </c>
      <c r="D3897" s="11" t="s">
        <v>20995</v>
      </c>
      <c r="E3897" s="11" t="s">
        <v>20996</v>
      </c>
      <c r="F3897" s="11" t="s">
        <v>20908</v>
      </c>
      <c r="G3897" s="11" t="s">
        <v>20950</v>
      </c>
      <c r="H3897" s="11" t="s">
        <v>20951</v>
      </c>
      <c r="I3897" s="11" t="str">
        <f>HYPERLINK("http://www.lacouverture.it/","www.lacouverture.it")</f>
        <v>www.lacouverture.it</v>
      </c>
      <c r="J3897" s="12">
        <v>424.67099999999999</v>
      </c>
      <c r="K3897" s="12">
        <v>424.67099999999999</v>
      </c>
      <c r="L3897" s="13">
        <v>403.38499999999999</v>
      </c>
      <c r="M3897" s="12">
        <v>34.720999999999997</v>
      </c>
      <c r="N3897" s="12">
        <v>34.720999999999997</v>
      </c>
      <c r="O3897" s="12">
        <v>4.0860000000000003</v>
      </c>
      <c r="P3897" s="14" t="s">
        <v>20874</v>
      </c>
      <c r="Q3897" s="14" t="s">
        <v>20874</v>
      </c>
      <c r="R3897" s="12">
        <v>1</v>
      </c>
    </row>
    <row r="3898" spans="1:18" ht="29.5" customHeight="1" x14ac:dyDescent="0.15">
      <c r="A3898" s="8" t="s">
        <v>20997</v>
      </c>
      <c r="B3898" s="9" t="s">
        <v>20998</v>
      </c>
      <c r="C3898" s="8" t="s">
        <v>20999</v>
      </c>
      <c r="D3898" s="8" t="s">
        <v>20999</v>
      </c>
      <c r="E3898" s="8" t="s">
        <v>21000</v>
      </c>
      <c r="F3898" s="8" t="s">
        <v>20901</v>
      </c>
      <c r="G3898" s="8" t="s">
        <v>20902</v>
      </c>
      <c r="H3898" s="8" t="s">
        <v>20903</v>
      </c>
      <c r="I3898" s="8" t="str">
        <f>HYPERLINK("http://www.conceriaolivieridanilo.it/","www.conceriaolivieridanilo.it")</f>
        <v>www.conceriaolivieridanilo.it</v>
      </c>
      <c r="J3898" s="10">
        <v>300.67</v>
      </c>
      <c r="K3898" s="10">
        <v>300.67</v>
      </c>
      <c r="L3898" s="10">
        <v>402.84100000000001</v>
      </c>
      <c r="M3898" s="10">
        <v>-46.524000000000001</v>
      </c>
      <c r="N3898" s="10">
        <v>-46.524000000000001</v>
      </c>
      <c r="O3898" s="10">
        <v>-57.057000000000002</v>
      </c>
      <c r="P3898" s="10">
        <v>0</v>
      </c>
      <c r="Q3898" s="10">
        <v>0</v>
      </c>
      <c r="R3898" s="10">
        <v>0</v>
      </c>
    </row>
    <row r="3899" spans="1:18" ht="17" customHeight="1" x14ac:dyDescent="0.15">
      <c r="A3899" s="11" t="s">
        <v>21001</v>
      </c>
      <c r="B3899" s="1" t="s">
        <v>21002</v>
      </c>
      <c r="C3899" s="11" t="s">
        <v>21003</v>
      </c>
      <c r="D3899" s="11" t="s">
        <v>21003</v>
      </c>
      <c r="E3899" s="11" t="s">
        <v>21004</v>
      </c>
      <c r="F3899" s="11" t="s">
        <v>20938</v>
      </c>
      <c r="G3899" s="11" t="s">
        <v>21005</v>
      </c>
      <c r="H3899" s="11" t="s">
        <v>20940</v>
      </c>
      <c r="I3899" s="11" t="str">
        <f>HYPERLINK("http://www.gisatacchificio.com/","www.gisatacchificio.com")</f>
        <v>www.gisatacchificio.com</v>
      </c>
      <c r="J3899" s="12">
        <v>417.28699999999998</v>
      </c>
      <c r="K3899" s="12">
        <v>417.28699999999998</v>
      </c>
      <c r="L3899" s="13">
        <v>402.64499999999998</v>
      </c>
      <c r="M3899" s="12">
        <v>132.596</v>
      </c>
      <c r="N3899" s="12">
        <v>132.596</v>
      </c>
      <c r="O3899" s="12">
        <v>84.917000000000002</v>
      </c>
      <c r="P3899" s="12">
        <v>4</v>
      </c>
      <c r="Q3899" s="12">
        <v>4</v>
      </c>
      <c r="R3899" s="12">
        <v>3</v>
      </c>
    </row>
    <row r="3900" spans="1:18" ht="17" customHeight="1" x14ac:dyDescent="0.15">
      <c r="A3900" s="8" t="s">
        <v>21006</v>
      </c>
      <c r="B3900" s="9" t="s">
        <v>21007</v>
      </c>
      <c r="C3900" s="8" t="s">
        <v>21008</v>
      </c>
      <c r="D3900" s="8" t="s">
        <v>21008</v>
      </c>
      <c r="E3900" s="8" t="s">
        <v>21009</v>
      </c>
      <c r="F3900" s="8" t="s">
        <v>20956</v>
      </c>
      <c r="G3900" s="8" t="s">
        <v>21010</v>
      </c>
      <c r="H3900" s="8" t="s">
        <v>20859</v>
      </c>
      <c r="I3900" s="8" t="str">
        <f>HYPERLINK("http://www.katiaserafini.com/","www.katiaserafini.com")</f>
        <v>www.katiaserafini.com</v>
      </c>
      <c r="J3900" s="10">
        <v>508.548</v>
      </c>
      <c r="K3900" s="10">
        <v>508.548</v>
      </c>
      <c r="L3900" s="10">
        <v>401.63499999999999</v>
      </c>
      <c r="M3900" s="10">
        <v>1.5529999999999999</v>
      </c>
      <c r="N3900" s="10">
        <v>1.5529999999999999</v>
      </c>
      <c r="O3900" s="10">
        <v>2.145</v>
      </c>
      <c r="P3900" s="15" t="s">
        <v>20874</v>
      </c>
      <c r="Q3900" s="15" t="s">
        <v>20874</v>
      </c>
      <c r="R3900" s="10">
        <v>2</v>
      </c>
    </row>
    <row r="3901" spans="1:18" ht="17" customHeight="1" x14ac:dyDescent="0.15">
      <c r="A3901" s="11" t="s">
        <v>21011</v>
      </c>
      <c r="B3901" s="1" t="s">
        <v>21012</v>
      </c>
      <c r="C3901" s="11" t="s">
        <v>21013</v>
      </c>
      <c r="D3901" s="11" t="s">
        <v>21013</v>
      </c>
      <c r="E3901" s="11" t="s">
        <v>21014</v>
      </c>
      <c r="F3901" s="11" t="s">
        <v>21015</v>
      </c>
      <c r="G3901" s="11" t="s">
        <v>20975</v>
      </c>
      <c r="H3901" s="11" t="s">
        <v>20951</v>
      </c>
      <c r="I3901" s="11" t="str">
        <f>HYPERLINK("http://www.panapromo.it/","www.panapromo.it")</f>
        <v>www.panapromo.it</v>
      </c>
      <c r="J3901" s="12">
        <v>452.75</v>
      </c>
      <c r="K3901" s="12">
        <v>452.75</v>
      </c>
      <c r="L3901" s="13">
        <v>400.64100000000002</v>
      </c>
      <c r="M3901" s="12">
        <v>1.3380000000000001</v>
      </c>
      <c r="N3901" s="12">
        <v>1.3380000000000001</v>
      </c>
      <c r="O3901" s="12">
        <v>-3</v>
      </c>
      <c r="P3901" s="12">
        <v>4</v>
      </c>
      <c r="Q3901" s="12">
        <v>4</v>
      </c>
      <c r="R3901" s="12">
        <v>2</v>
      </c>
    </row>
    <row r="3902" spans="1:18" ht="17" customHeight="1" x14ac:dyDescent="0.15">
      <c r="A3902" s="8" t="s">
        <v>21016</v>
      </c>
      <c r="B3902" s="9" t="s">
        <v>21017</v>
      </c>
      <c r="C3902" s="8" t="s">
        <v>21018</v>
      </c>
      <c r="D3902" s="8" t="s">
        <v>21018</v>
      </c>
      <c r="E3902" s="8" t="s">
        <v>21019</v>
      </c>
      <c r="F3902" s="8" t="s">
        <v>20938</v>
      </c>
      <c r="G3902" s="8" t="s">
        <v>21020</v>
      </c>
      <c r="H3902" s="8" t="s">
        <v>20903</v>
      </c>
      <c r="I3902" s="8" t="str">
        <f>HYPERLINK("http://www.temme2.it/","www.temme2.it")</f>
        <v>www.temme2.it</v>
      </c>
      <c r="J3902" s="10">
        <v>295.04399999999998</v>
      </c>
      <c r="K3902" s="10">
        <v>295.04399999999998</v>
      </c>
      <c r="L3902" s="10">
        <v>400.29199999999997</v>
      </c>
      <c r="M3902" s="10">
        <v>89.016000000000005</v>
      </c>
      <c r="N3902" s="10">
        <v>89.016000000000005</v>
      </c>
      <c r="O3902" s="10">
        <v>136.167</v>
      </c>
      <c r="P3902" s="10">
        <v>4</v>
      </c>
      <c r="Q3902" s="10">
        <v>4</v>
      </c>
      <c r="R3902" s="10">
        <v>4</v>
      </c>
    </row>
    <row r="3903" spans="1:18" ht="43" customHeight="1" x14ac:dyDescent="0.15">
      <c r="A3903" s="11" t="s">
        <v>21021</v>
      </c>
      <c r="B3903" s="1" t="s">
        <v>21022</v>
      </c>
      <c r="C3903" s="11" t="s">
        <v>21023</v>
      </c>
      <c r="D3903" s="11" t="s">
        <v>21023</v>
      </c>
      <c r="E3903" s="11" t="s">
        <v>21024</v>
      </c>
      <c r="F3903" s="11" t="s">
        <v>21025</v>
      </c>
      <c r="G3903" s="11" t="s">
        <v>20950</v>
      </c>
      <c r="H3903" s="11" t="s">
        <v>20951</v>
      </c>
      <c r="I3903" s="11" t="str">
        <f>HYPERLINK("http://www.delan.it/","www.delan.it")</f>
        <v>www.delan.it</v>
      </c>
      <c r="J3903" s="12">
        <v>345.45400000000001</v>
      </c>
      <c r="K3903" s="12">
        <v>345.45400000000001</v>
      </c>
      <c r="L3903" s="13">
        <v>400.00299999999999</v>
      </c>
      <c r="M3903" s="12">
        <v>1.0980000000000001</v>
      </c>
      <c r="N3903" s="12">
        <v>1.0980000000000001</v>
      </c>
      <c r="O3903" s="12">
        <v>1.341</v>
      </c>
      <c r="P3903" s="12">
        <v>2</v>
      </c>
      <c r="Q3903" s="12">
        <v>2</v>
      </c>
      <c r="R3903" s="12">
        <v>2</v>
      </c>
    </row>
    <row r="3904" spans="1:18" ht="29.5" customHeight="1" x14ac:dyDescent="0.15">
      <c r="A3904" s="8" t="s">
        <v>21026</v>
      </c>
      <c r="B3904" s="9" t="s">
        <v>21027</v>
      </c>
      <c r="C3904" s="8" t="s">
        <v>21028</v>
      </c>
      <c r="D3904" s="8" t="s">
        <v>21028</v>
      </c>
      <c r="E3904" s="8" t="s">
        <v>21029</v>
      </c>
      <c r="F3904" s="8" t="s">
        <v>20895</v>
      </c>
      <c r="G3904" s="8" t="s">
        <v>21030</v>
      </c>
      <c r="H3904" s="8" t="s">
        <v>20890</v>
      </c>
      <c r="I3904" s="8" t="str">
        <f>HYPERLINK("http://www.mannabag.it/","www.mannabag.it")</f>
        <v>www.mannabag.it</v>
      </c>
      <c r="J3904" s="10">
        <v>281.53100000000001</v>
      </c>
      <c r="K3904" s="10">
        <v>281.53100000000001</v>
      </c>
      <c r="L3904" s="10">
        <v>399.77</v>
      </c>
      <c r="M3904" s="10">
        <v>13.696999999999999</v>
      </c>
      <c r="N3904" s="10">
        <v>13.696999999999999</v>
      </c>
      <c r="O3904" s="10">
        <v>28.606000000000002</v>
      </c>
      <c r="P3904" s="10">
        <v>3</v>
      </c>
      <c r="Q3904" s="10">
        <v>3</v>
      </c>
      <c r="R3904" s="10">
        <v>3</v>
      </c>
    </row>
    <row r="3905" spans="1:18" ht="17" customHeight="1" x14ac:dyDescent="0.15">
      <c r="A3905" s="11" t="s">
        <v>21031</v>
      </c>
      <c r="B3905" s="1" t="s">
        <v>21032</v>
      </c>
      <c r="C3905" s="11" t="s">
        <v>21033</v>
      </c>
      <c r="D3905" s="11" t="s">
        <v>21033</v>
      </c>
      <c r="E3905" s="11" t="s">
        <v>21034</v>
      </c>
      <c r="F3905" s="11" t="s">
        <v>21035</v>
      </c>
      <c r="G3905" s="11" t="s">
        <v>21036</v>
      </c>
      <c r="H3905" s="11" t="s">
        <v>21037</v>
      </c>
      <c r="I3905" s="11" t="str">
        <f>HYPERLINK("http://www.luanashoes.it/","www.luanashoes.it")</f>
        <v>www.luanashoes.it</v>
      </c>
      <c r="J3905" s="12">
        <v>487.685</v>
      </c>
      <c r="K3905" s="12">
        <v>487.685</v>
      </c>
      <c r="L3905" s="13">
        <v>399.20299999999997</v>
      </c>
      <c r="M3905" s="12">
        <v>33.979999999999997</v>
      </c>
      <c r="N3905" s="12">
        <v>33.979999999999997</v>
      </c>
      <c r="O3905" s="12">
        <v>7.3879999999999999</v>
      </c>
      <c r="P3905" s="14" t="s">
        <v>21038</v>
      </c>
      <c r="Q3905" s="14" t="s">
        <v>21038</v>
      </c>
      <c r="R3905" s="12">
        <v>8</v>
      </c>
    </row>
    <row r="3906" spans="1:18" ht="17" customHeight="1" x14ac:dyDescent="0.15">
      <c r="A3906" s="8" t="s">
        <v>21039</v>
      </c>
      <c r="B3906" s="9" t="s">
        <v>21040</v>
      </c>
      <c r="C3906" s="8" t="s">
        <v>21041</v>
      </c>
      <c r="D3906" s="8" t="s">
        <v>21041</v>
      </c>
      <c r="E3906" s="8" t="s">
        <v>21042</v>
      </c>
      <c r="F3906" s="8" t="s">
        <v>21043</v>
      </c>
      <c r="G3906" s="8" t="s">
        <v>21044</v>
      </c>
      <c r="H3906" s="8" t="s">
        <v>21045</v>
      </c>
      <c r="I3906" s="8" t="str">
        <f>HYPERLINK("http://www.otm-srl.com/","www.otm-srl.com")</f>
        <v>www.otm-srl.com</v>
      </c>
      <c r="J3906" s="10">
        <v>613.78499999999997</v>
      </c>
      <c r="K3906" s="10">
        <v>613.78499999999997</v>
      </c>
      <c r="L3906" s="10">
        <v>398.95699999999999</v>
      </c>
      <c r="M3906" s="10">
        <v>54.56</v>
      </c>
      <c r="N3906" s="10">
        <v>54.56</v>
      </c>
      <c r="O3906" s="10">
        <v>24.178999999999998</v>
      </c>
      <c r="P3906" s="15" t="s">
        <v>21038</v>
      </c>
      <c r="Q3906" s="15" t="s">
        <v>21038</v>
      </c>
      <c r="R3906" s="10">
        <v>8</v>
      </c>
    </row>
    <row r="3907" spans="1:18" ht="17" customHeight="1" x14ac:dyDescent="0.15">
      <c r="A3907" s="11" t="s">
        <v>21046</v>
      </c>
      <c r="B3907" s="1" t="s">
        <v>21047</v>
      </c>
      <c r="C3907" s="11" t="s">
        <v>21048</v>
      </c>
      <c r="D3907" s="11" t="s">
        <v>21048</v>
      </c>
      <c r="E3907" s="11" t="s">
        <v>21049</v>
      </c>
      <c r="F3907" s="11" t="s">
        <v>21043</v>
      </c>
      <c r="G3907" s="11" t="s">
        <v>21050</v>
      </c>
      <c r="H3907" s="11" t="s">
        <v>21051</v>
      </c>
      <c r="I3907" s="11" t="str">
        <f>HYPERLINK("http://www.delgiudiceroma.com/","www.delgiudiceroma.com")</f>
        <v>www.delgiudiceroma.com</v>
      </c>
      <c r="J3907" s="12">
        <v>564.99800000000005</v>
      </c>
      <c r="K3907" s="12">
        <v>564.99800000000005</v>
      </c>
      <c r="L3907" s="13">
        <v>398.97300000000001</v>
      </c>
      <c r="M3907" s="12">
        <v>108.22799999999999</v>
      </c>
      <c r="N3907" s="12">
        <v>108.22799999999999</v>
      </c>
      <c r="O3907" s="12">
        <v>45.646999999999998</v>
      </c>
      <c r="P3907" s="12">
        <v>4</v>
      </c>
      <c r="Q3907" s="12">
        <v>4</v>
      </c>
      <c r="R3907" s="12">
        <v>2</v>
      </c>
    </row>
    <row r="3908" spans="1:18" ht="17" customHeight="1" x14ac:dyDescent="0.15">
      <c r="A3908" s="8" t="s">
        <v>21052</v>
      </c>
      <c r="B3908" s="9" t="s">
        <v>21053</v>
      </c>
      <c r="C3908" s="8" t="s">
        <v>21054</v>
      </c>
      <c r="D3908" s="8" t="s">
        <v>21054</v>
      </c>
      <c r="E3908" s="8" t="s">
        <v>21055</v>
      </c>
      <c r="F3908" s="8" t="s">
        <v>21056</v>
      </c>
      <c r="G3908" s="8" t="s">
        <v>21057</v>
      </c>
      <c r="H3908" s="8" t="s">
        <v>21058</v>
      </c>
      <c r="I3908" s="8" t="str">
        <f>HYPERLINK("http://www.martinzelo.it/","www.martinzelo.it")</f>
        <v>www.martinzelo.it</v>
      </c>
      <c r="J3908" s="10">
        <v>508.90800000000002</v>
      </c>
      <c r="K3908" s="10">
        <v>508.90800000000002</v>
      </c>
      <c r="L3908" s="10">
        <v>398.97</v>
      </c>
      <c r="M3908" s="10">
        <v>0.42</v>
      </c>
      <c r="N3908" s="10">
        <v>0.42</v>
      </c>
      <c r="O3908" s="10">
        <v>15.88</v>
      </c>
      <c r="P3908" s="10">
        <v>2</v>
      </c>
      <c r="Q3908" s="10">
        <v>2</v>
      </c>
      <c r="R3908" s="10">
        <v>2</v>
      </c>
    </row>
    <row r="3909" spans="1:18" ht="17" customHeight="1" x14ac:dyDescent="0.15">
      <c r="A3909" s="11" t="s">
        <v>21059</v>
      </c>
      <c r="B3909" s="1" t="s">
        <v>21060</v>
      </c>
      <c r="C3909" s="11" t="s">
        <v>21061</v>
      </c>
      <c r="D3909" s="11" t="s">
        <v>21061</v>
      </c>
      <c r="E3909" s="11" t="s">
        <v>21062</v>
      </c>
      <c r="F3909" s="11" t="s">
        <v>21063</v>
      </c>
      <c r="G3909" s="11" t="s">
        <v>21064</v>
      </c>
      <c r="H3909" s="11" t="s">
        <v>21065</v>
      </c>
      <c r="I3909" s="11" t="str">
        <f>HYPERLINK("http://www.ladystile.it/","www.ladystile.it")</f>
        <v>www.ladystile.it</v>
      </c>
      <c r="J3909" s="12">
        <v>342.66500000000002</v>
      </c>
      <c r="K3909" s="12">
        <v>342.66500000000002</v>
      </c>
      <c r="L3909" s="13">
        <v>398.661</v>
      </c>
      <c r="M3909" s="12">
        <v>9.1690000000000005</v>
      </c>
      <c r="N3909" s="12">
        <v>9.1690000000000005</v>
      </c>
      <c r="O3909" s="12">
        <v>6.0759999999999996</v>
      </c>
      <c r="P3909" s="14" t="s">
        <v>21038</v>
      </c>
      <c r="Q3909" s="14" t="s">
        <v>21038</v>
      </c>
      <c r="R3909" s="12">
        <v>13</v>
      </c>
    </row>
    <row r="3910" spans="1:18" ht="43" customHeight="1" x14ac:dyDescent="0.15">
      <c r="A3910" s="8" t="s">
        <v>21066</v>
      </c>
      <c r="B3910" s="9" t="s">
        <v>21067</v>
      </c>
      <c r="C3910" s="8" t="s">
        <v>21068</v>
      </c>
      <c r="D3910" s="8" t="s">
        <v>21068</v>
      </c>
      <c r="E3910" s="8" t="s">
        <v>21069</v>
      </c>
      <c r="F3910" s="8" t="s">
        <v>21070</v>
      </c>
      <c r="G3910" s="8" t="s">
        <v>21071</v>
      </c>
      <c r="H3910" s="8" t="s">
        <v>21037</v>
      </c>
      <c r="I3910" s="8" t="str">
        <f>HYPERLINK("http://www.compagniaccessorimoda.com/","www.compagniaccessorimoda.com")</f>
        <v>www.compagniaccessorimoda.com</v>
      </c>
      <c r="J3910" s="10">
        <v>98.456999999999994</v>
      </c>
      <c r="K3910" s="10">
        <v>98.456999999999994</v>
      </c>
      <c r="L3910" s="10">
        <v>398.464</v>
      </c>
      <c r="M3910" s="10">
        <v>-10.4</v>
      </c>
      <c r="N3910" s="10">
        <v>-10.4</v>
      </c>
      <c r="O3910" s="10">
        <v>38.109000000000002</v>
      </c>
      <c r="P3910" s="15" t="s">
        <v>21038</v>
      </c>
      <c r="Q3910" s="15" t="s">
        <v>21038</v>
      </c>
      <c r="R3910" s="15" t="s">
        <v>21038</v>
      </c>
    </row>
    <row r="3911" spans="1:18" ht="29.5" customHeight="1" x14ac:dyDescent="0.15">
      <c r="A3911" s="11" t="s">
        <v>21072</v>
      </c>
      <c r="B3911" s="1" t="s">
        <v>21073</v>
      </c>
      <c r="C3911" s="11" t="s">
        <v>21074</v>
      </c>
      <c r="D3911" s="11" t="s">
        <v>21074</v>
      </c>
      <c r="E3911" s="11" t="s">
        <v>21075</v>
      </c>
      <c r="F3911" s="11" t="s">
        <v>21076</v>
      </c>
      <c r="G3911" s="11" t="s">
        <v>21077</v>
      </c>
      <c r="H3911" s="11" t="s">
        <v>21078</v>
      </c>
      <c r="I3911" s="11" t="str">
        <f>HYPERLINK("http://www.francescacottone.it/","www.francescacottone.it")</f>
        <v>www.francescacottone.it</v>
      </c>
      <c r="J3911" s="12">
        <v>323.89</v>
      </c>
      <c r="K3911" s="12">
        <v>323.89</v>
      </c>
      <c r="L3911" s="13">
        <v>397.60399999999998</v>
      </c>
      <c r="M3911" s="12">
        <v>0.158</v>
      </c>
      <c r="N3911" s="12">
        <v>0.158</v>
      </c>
      <c r="O3911" s="12">
        <v>6.585</v>
      </c>
      <c r="P3911" s="14" t="s">
        <v>21038</v>
      </c>
      <c r="Q3911" s="14" t="s">
        <v>21038</v>
      </c>
      <c r="R3911" s="12">
        <v>1</v>
      </c>
    </row>
    <row r="3912" spans="1:18" ht="17" customHeight="1" x14ac:dyDescent="0.15">
      <c r="A3912" s="8" t="s">
        <v>21079</v>
      </c>
      <c r="B3912" s="9" t="s">
        <v>21080</v>
      </c>
      <c r="C3912" s="8" t="s">
        <v>21081</v>
      </c>
      <c r="D3912" s="8" t="s">
        <v>21081</v>
      </c>
      <c r="E3912" s="8" t="s">
        <v>21082</v>
      </c>
      <c r="F3912" s="8" t="s">
        <v>21083</v>
      </c>
      <c r="G3912" s="8" t="s">
        <v>21084</v>
      </c>
      <c r="H3912" s="8" t="s">
        <v>21037</v>
      </c>
      <c r="I3912" s="8" t="str">
        <f>HYPERLINK("http://www.laserbmc.com/","www.laserbmc.com")</f>
        <v>www.laserbmc.com</v>
      </c>
      <c r="J3912" s="10">
        <v>251.18799999999999</v>
      </c>
      <c r="K3912" s="10">
        <v>251.18799999999999</v>
      </c>
      <c r="L3912" s="10">
        <v>397.51799999999997</v>
      </c>
      <c r="M3912" s="10">
        <v>-13.76</v>
      </c>
      <c r="N3912" s="10">
        <v>-13.76</v>
      </c>
      <c r="O3912" s="10">
        <v>13.685</v>
      </c>
      <c r="P3912" s="10">
        <v>1</v>
      </c>
      <c r="Q3912" s="10">
        <v>1</v>
      </c>
      <c r="R3912" s="10">
        <v>1</v>
      </c>
    </row>
    <row r="3913" spans="1:18" ht="17" customHeight="1" x14ac:dyDescent="0.15">
      <c r="A3913" s="11" t="s">
        <v>21085</v>
      </c>
      <c r="B3913" s="1" t="s">
        <v>21086</v>
      </c>
      <c r="C3913" s="11" t="s">
        <v>21087</v>
      </c>
      <c r="D3913" s="11" t="s">
        <v>21087</v>
      </c>
      <c r="E3913" s="11" t="s">
        <v>21088</v>
      </c>
      <c r="F3913" s="11" t="s">
        <v>21070</v>
      </c>
      <c r="G3913" s="11" t="s">
        <v>21089</v>
      </c>
      <c r="H3913" s="11" t="s">
        <v>21090</v>
      </c>
      <c r="I3913" s="11" t="str">
        <f>HYPERLINK("http://www.ilmioabbigliamento.com/","www.ilmioabbigliamento.com")</f>
        <v>www.ilmioabbigliamento.com</v>
      </c>
      <c r="J3913" s="12">
        <v>596.25099999999998</v>
      </c>
      <c r="K3913" s="12">
        <v>596.25099999999998</v>
      </c>
      <c r="L3913" s="13">
        <v>394.495</v>
      </c>
      <c r="M3913" s="12">
        <v>6.0999999999999999E-2</v>
      </c>
      <c r="N3913" s="12">
        <v>6.0999999999999999E-2</v>
      </c>
      <c r="O3913" s="12">
        <v>1.1020000000000001</v>
      </c>
      <c r="P3913" s="12">
        <v>3</v>
      </c>
      <c r="Q3913" s="12">
        <v>3</v>
      </c>
      <c r="R3913" s="12">
        <v>3</v>
      </c>
    </row>
    <row r="3914" spans="1:18" ht="17" customHeight="1" x14ac:dyDescent="0.15">
      <c r="A3914" s="8" t="s">
        <v>21091</v>
      </c>
      <c r="B3914" s="9" t="s">
        <v>21092</v>
      </c>
      <c r="C3914" s="8" t="s">
        <v>21093</v>
      </c>
      <c r="D3914" s="8" t="s">
        <v>21093</v>
      </c>
      <c r="E3914" s="8" t="s">
        <v>21094</v>
      </c>
      <c r="F3914" s="8" t="s">
        <v>21070</v>
      </c>
      <c r="G3914" s="8" t="s">
        <v>21095</v>
      </c>
      <c r="H3914" s="8" t="s">
        <v>21065</v>
      </c>
      <c r="I3914" s="8" t="str">
        <f>HYPERLINK("http://www.nickicolombo.com/","www.nickicolombo.com")</f>
        <v>www.nickicolombo.com</v>
      </c>
      <c r="J3914" s="10">
        <v>497.11200000000002</v>
      </c>
      <c r="K3914" s="10">
        <v>497.11200000000002</v>
      </c>
      <c r="L3914" s="10">
        <v>393.86799999999999</v>
      </c>
      <c r="M3914" s="10">
        <v>20.977</v>
      </c>
      <c r="N3914" s="10">
        <v>20.977</v>
      </c>
      <c r="O3914" s="10">
        <v>-25.88</v>
      </c>
      <c r="P3914" s="10">
        <v>5</v>
      </c>
      <c r="Q3914" s="10">
        <v>5</v>
      </c>
      <c r="R3914" s="10">
        <v>7</v>
      </c>
    </row>
    <row r="3915" spans="1:18" ht="17" customHeight="1" x14ac:dyDescent="0.15">
      <c r="A3915" s="11" t="s">
        <v>21096</v>
      </c>
      <c r="B3915" s="1" t="s">
        <v>21097</v>
      </c>
      <c r="C3915" s="11" t="s">
        <v>21098</v>
      </c>
      <c r="D3915" s="11" t="s">
        <v>21098</v>
      </c>
      <c r="E3915" s="11" t="s">
        <v>21099</v>
      </c>
      <c r="F3915" s="11" t="s">
        <v>21043</v>
      </c>
      <c r="G3915" s="11" t="s">
        <v>21100</v>
      </c>
      <c r="H3915" s="11" t="s">
        <v>21101</v>
      </c>
      <c r="I3915" s="11" t="str">
        <f>HYPERLINK("http://www.viveladifferencemadeinitaly.it/","www.viveladifferencemadeinitaly.it")</f>
        <v>www.viveladifferencemadeinitaly.it</v>
      </c>
      <c r="J3915" s="12">
        <v>401.03500000000003</v>
      </c>
      <c r="K3915" s="12">
        <v>401.03500000000003</v>
      </c>
      <c r="L3915" s="13">
        <v>393.06299999999999</v>
      </c>
      <c r="M3915" s="12">
        <v>1.9930000000000001</v>
      </c>
      <c r="N3915" s="12">
        <v>1.9930000000000001</v>
      </c>
      <c r="O3915" s="12">
        <v>3.1789999999999998</v>
      </c>
      <c r="P3915" s="12">
        <v>0</v>
      </c>
      <c r="Q3915" s="12">
        <v>0</v>
      </c>
      <c r="R3915" s="12">
        <v>0</v>
      </c>
    </row>
    <row r="3916" spans="1:18" ht="29.5" customHeight="1" x14ac:dyDescent="0.15">
      <c r="A3916" s="8" t="s">
        <v>21102</v>
      </c>
      <c r="B3916" s="9" t="s">
        <v>21103</v>
      </c>
      <c r="C3916" s="8" t="s">
        <v>21104</v>
      </c>
      <c r="D3916" s="8" t="s">
        <v>21104</v>
      </c>
      <c r="E3916" s="8" t="s">
        <v>21105</v>
      </c>
      <c r="F3916" s="8" t="s">
        <v>21106</v>
      </c>
      <c r="G3916" s="8" t="s">
        <v>21050</v>
      </c>
      <c r="H3916" s="8" t="s">
        <v>21051</v>
      </c>
      <c r="I3916" s="8" t="str">
        <f>HYPERLINK("http://cellicentrosposi.com/","cellicentrosposi.com/")</f>
        <v>cellicentrosposi.com/</v>
      </c>
      <c r="J3916" s="10">
        <v>374.18799999999999</v>
      </c>
      <c r="K3916" s="10">
        <v>374.18799999999999</v>
      </c>
      <c r="L3916" s="10">
        <v>392.96600000000001</v>
      </c>
      <c r="M3916" s="10">
        <v>2.8090000000000002</v>
      </c>
      <c r="N3916" s="10">
        <v>2.8090000000000002</v>
      </c>
      <c r="O3916" s="10">
        <v>8.0980000000000008</v>
      </c>
      <c r="P3916" s="10">
        <v>7</v>
      </c>
      <c r="Q3916" s="10">
        <v>7</v>
      </c>
      <c r="R3916" s="10">
        <v>9</v>
      </c>
    </row>
    <row r="3917" spans="1:18" ht="17" customHeight="1" x14ac:dyDescent="0.15">
      <c r="A3917" s="11" t="s">
        <v>21107</v>
      </c>
      <c r="B3917" s="1" t="s">
        <v>21108</v>
      </c>
      <c r="C3917" s="11" t="s">
        <v>21109</v>
      </c>
      <c r="D3917" s="11" t="s">
        <v>21109</v>
      </c>
      <c r="E3917" s="11" t="s">
        <v>21110</v>
      </c>
      <c r="F3917" s="11" t="s">
        <v>21035</v>
      </c>
      <c r="G3917" s="11" t="s">
        <v>21084</v>
      </c>
      <c r="H3917" s="11" t="s">
        <v>21037</v>
      </c>
      <c r="I3917" s="11" t="str">
        <f>HYPERLINK("http://rafsoluzioni.it/","rafsoluzioni.it")</f>
        <v>rafsoluzioni.it</v>
      </c>
      <c r="J3917" s="12">
        <v>371.64499999999998</v>
      </c>
      <c r="K3917" s="12">
        <v>371.64499999999998</v>
      </c>
      <c r="L3917" s="13">
        <v>392.61399999999998</v>
      </c>
      <c r="M3917" s="12">
        <v>14.753</v>
      </c>
      <c r="N3917" s="12">
        <v>14.753</v>
      </c>
      <c r="O3917" s="12">
        <v>3.5590000000000002</v>
      </c>
      <c r="P3917" s="12">
        <v>2</v>
      </c>
      <c r="Q3917" s="12">
        <v>2</v>
      </c>
      <c r="R3917" s="12">
        <v>2</v>
      </c>
    </row>
    <row r="3918" spans="1:18" ht="17" customHeight="1" x14ac:dyDescent="0.15">
      <c r="A3918" s="8" t="s">
        <v>21111</v>
      </c>
      <c r="B3918" s="9" t="s">
        <v>21112</v>
      </c>
      <c r="C3918" s="8" t="s">
        <v>21113</v>
      </c>
      <c r="D3918" s="8" t="s">
        <v>21113</v>
      </c>
      <c r="E3918" s="8" t="s">
        <v>21114</v>
      </c>
      <c r="F3918" s="8" t="s">
        <v>21035</v>
      </c>
      <c r="G3918" s="8" t="s">
        <v>21077</v>
      </c>
      <c r="H3918" s="8" t="s">
        <v>21078</v>
      </c>
      <c r="I3918" s="8" t="str">
        <f>HYPERLINK("http://www.galaitaly.com/","www.galaitaly.com")</f>
        <v>www.galaitaly.com</v>
      </c>
      <c r="J3918" s="10">
        <v>563.39599999999996</v>
      </c>
      <c r="K3918" s="10">
        <v>563.39599999999996</v>
      </c>
      <c r="L3918" s="10">
        <v>391.60399999999998</v>
      </c>
      <c r="M3918" s="10">
        <v>8.5709999999999997</v>
      </c>
      <c r="N3918" s="10">
        <v>8.5709999999999997</v>
      </c>
      <c r="O3918" s="10">
        <v>8.0190000000000001</v>
      </c>
      <c r="P3918" s="15" t="s">
        <v>21038</v>
      </c>
      <c r="Q3918" s="15" t="s">
        <v>21038</v>
      </c>
      <c r="R3918" s="10">
        <v>5</v>
      </c>
    </row>
    <row r="3919" spans="1:18" ht="17" customHeight="1" x14ac:dyDescent="0.15">
      <c r="A3919" s="11" t="s">
        <v>21115</v>
      </c>
      <c r="B3919" s="1" t="s">
        <v>21116</v>
      </c>
      <c r="C3919" s="11" t="s">
        <v>21117</v>
      </c>
      <c r="D3919" s="11" t="s">
        <v>21117</v>
      </c>
      <c r="E3919" s="11" t="s">
        <v>21118</v>
      </c>
      <c r="F3919" s="11" t="s">
        <v>21056</v>
      </c>
      <c r="G3919" s="11" t="s">
        <v>21119</v>
      </c>
      <c r="H3919" s="11" t="s">
        <v>21101</v>
      </c>
      <c r="I3919" s="11" t="str">
        <f>HYPERLINK("http://www.crespicamiceria.it/","www.crespicamiceria.it")</f>
        <v>www.crespicamiceria.it</v>
      </c>
      <c r="J3919" s="12">
        <v>398.43</v>
      </c>
      <c r="K3919" s="12">
        <v>398.43</v>
      </c>
      <c r="L3919" s="13">
        <v>390.238</v>
      </c>
      <c r="M3919" s="12">
        <v>11.884</v>
      </c>
      <c r="N3919" s="12">
        <v>11.884</v>
      </c>
      <c r="O3919" s="12">
        <v>5.5259999999999998</v>
      </c>
      <c r="P3919" s="12">
        <v>2</v>
      </c>
      <c r="Q3919" s="12">
        <v>2</v>
      </c>
      <c r="R3919" s="12">
        <v>2</v>
      </c>
    </row>
    <row r="3920" spans="1:18" ht="29.5" customHeight="1" x14ac:dyDescent="0.15">
      <c r="A3920" s="8" t="s">
        <v>21120</v>
      </c>
      <c r="B3920" s="9" t="s">
        <v>21121</v>
      </c>
      <c r="C3920" s="8" t="s">
        <v>21122</v>
      </c>
      <c r="D3920" s="8" t="s">
        <v>21122</v>
      </c>
      <c r="E3920" s="8" t="s">
        <v>21123</v>
      </c>
      <c r="F3920" s="8" t="s">
        <v>21035</v>
      </c>
      <c r="G3920" s="8" t="s">
        <v>21124</v>
      </c>
      <c r="H3920" s="8" t="s">
        <v>21065</v>
      </c>
      <c r="I3920" s="8" t="str">
        <f>HYPERLINK("http://www.ziviani.it/","www.ziviani.it")</f>
        <v>www.ziviani.it</v>
      </c>
      <c r="J3920" s="10">
        <v>458.57100000000003</v>
      </c>
      <c r="K3920" s="10">
        <v>458.57100000000003</v>
      </c>
      <c r="L3920" s="10">
        <v>389.03500000000003</v>
      </c>
      <c r="M3920" s="10">
        <v>21.504999999999999</v>
      </c>
      <c r="N3920" s="10">
        <v>21.504999999999999</v>
      </c>
      <c r="O3920" s="10">
        <v>14.131</v>
      </c>
      <c r="P3920" s="15" t="s">
        <v>21038</v>
      </c>
      <c r="Q3920" s="15" t="s">
        <v>21038</v>
      </c>
      <c r="R3920" s="10">
        <v>6</v>
      </c>
    </row>
    <row r="3921" spans="1:18" ht="17" customHeight="1" x14ac:dyDescent="0.15">
      <c r="A3921" s="11" t="s">
        <v>21125</v>
      </c>
      <c r="B3921" s="1" t="s">
        <v>21126</v>
      </c>
      <c r="C3921" s="11" t="s">
        <v>21127</v>
      </c>
      <c r="D3921" s="11" t="s">
        <v>21127</v>
      </c>
      <c r="E3921" s="11" t="s">
        <v>21128</v>
      </c>
      <c r="F3921" s="11" t="s">
        <v>21106</v>
      </c>
      <c r="G3921" s="11" t="s">
        <v>21071</v>
      </c>
      <c r="H3921" s="11" t="s">
        <v>21037</v>
      </c>
      <c r="I3921" s="11" t="str">
        <f>HYPERLINK("http://www.confezioniorsi.com/","www.confezioniorsi.com")</f>
        <v>www.confezioniorsi.com</v>
      </c>
      <c r="J3921" s="12">
        <v>369.52600000000001</v>
      </c>
      <c r="K3921" s="12">
        <v>369.52600000000001</v>
      </c>
      <c r="L3921" s="13">
        <v>386.94799999999998</v>
      </c>
      <c r="M3921" s="12">
        <v>0.40200000000000002</v>
      </c>
      <c r="N3921" s="12">
        <v>0.40200000000000002</v>
      </c>
      <c r="O3921" s="12">
        <v>6.3360000000000003</v>
      </c>
      <c r="P3921" s="12">
        <v>4</v>
      </c>
      <c r="Q3921" s="12">
        <v>4</v>
      </c>
      <c r="R3921" s="12">
        <v>4</v>
      </c>
    </row>
    <row r="3922" spans="1:18" ht="17" customHeight="1" x14ac:dyDescent="0.15">
      <c r="A3922" s="8" t="s">
        <v>21129</v>
      </c>
      <c r="B3922" s="9" t="s">
        <v>21130</v>
      </c>
      <c r="C3922" s="8" t="s">
        <v>21131</v>
      </c>
      <c r="D3922" s="8" t="s">
        <v>21131</v>
      </c>
      <c r="E3922" s="8" t="s">
        <v>21132</v>
      </c>
      <c r="F3922" s="8" t="s">
        <v>21133</v>
      </c>
      <c r="G3922" s="8" t="s">
        <v>21134</v>
      </c>
      <c r="H3922" s="8" t="s">
        <v>21078</v>
      </c>
      <c r="I3922" s="8" t="str">
        <f>HYPERLINK("http://www.sposacurvy.com/","www.sposacurvy.com")</f>
        <v>www.sposacurvy.com</v>
      </c>
      <c r="J3922" s="10">
        <v>500.64299999999997</v>
      </c>
      <c r="K3922" s="10">
        <v>500.64299999999997</v>
      </c>
      <c r="L3922" s="10">
        <v>385.88499999999999</v>
      </c>
      <c r="M3922" s="10">
        <v>7.3840000000000003</v>
      </c>
      <c r="N3922" s="10">
        <v>7.3840000000000003</v>
      </c>
      <c r="O3922" s="10">
        <v>1.5249999999999999</v>
      </c>
      <c r="P3922" s="10">
        <v>5</v>
      </c>
      <c r="Q3922" s="10">
        <v>5</v>
      </c>
      <c r="R3922" s="10">
        <v>4</v>
      </c>
    </row>
    <row r="3923" spans="1:18" ht="17" customHeight="1" x14ac:dyDescent="0.15">
      <c r="A3923" s="11" t="s">
        <v>21135</v>
      </c>
      <c r="B3923" s="1" t="s">
        <v>21136</v>
      </c>
      <c r="C3923" s="11" t="s">
        <v>21137</v>
      </c>
      <c r="D3923" s="11" t="s">
        <v>21137</v>
      </c>
      <c r="E3923" s="11" t="s">
        <v>21138</v>
      </c>
      <c r="F3923" s="11" t="s">
        <v>21076</v>
      </c>
      <c r="G3923" s="11" t="s">
        <v>21139</v>
      </c>
      <c r="H3923" s="11" t="s">
        <v>21140</v>
      </c>
      <c r="I3923" s="11" t="str">
        <f>HYPERLINK("http://www.art259design.com/","www.art259design.com")</f>
        <v>www.art259design.com</v>
      </c>
      <c r="J3923" s="12">
        <v>426.51400000000001</v>
      </c>
      <c r="K3923" s="12">
        <v>426.51400000000001</v>
      </c>
      <c r="L3923" s="13">
        <v>385.31900000000002</v>
      </c>
      <c r="M3923" s="12">
        <v>-18.262</v>
      </c>
      <c r="N3923" s="12">
        <v>-18.262</v>
      </c>
      <c r="O3923" s="12">
        <v>17.3</v>
      </c>
      <c r="P3923" s="12">
        <v>4</v>
      </c>
      <c r="Q3923" s="12">
        <v>4</v>
      </c>
      <c r="R3923" s="12">
        <v>2</v>
      </c>
    </row>
    <row r="3924" spans="1:18" ht="17" customHeight="1" x14ac:dyDescent="0.15">
      <c r="A3924" s="8" t="s">
        <v>21141</v>
      </c>
      <c r="B3924" s="9" t="s">
        <v>21142</v>
      </c>
      <c r="C3924" s="8" t="s">
        <v>21143</v>
      </c>
      <c r="D3924" s="8" t="s">
        <v>21143</v>
      </c>
      <c r="E3924" s="8" t="s">
        <v>21144</v>
      </c>
      <c r="F3924" s="8" t="s">
        <v>21070</v>
      </c>
      <c r="G3924" s="8" t="s">
        <v>21064</v>
      </c>
      <c r="H3924" s="8" t="s">
        <v>21065</v>
      </c>
      <c r="I3924" s="8" t="str">
        <f>HYPERLINK("http://www.trezeta.net/","www.trezeta.net")</f>
        <v>www.trezeta.net</v>
      </c>
      <c r="J3924" s="10">
        <v>351.04700000000003</v>
      </c>
      <c r="K3924" s="10">
        <v>351.04700000000003</v>
      </c>
      <c r="L3924" s="10">
        <v>384.94600000000003</v>
      </c>
      <c r="M3924" s="10">
        <v>-9.4469999999999992</v>
      </c>
      <c r="N3924" s="10">
        <v>-9.4469999999999992</v>
      </c>
      <c r="O3924" s="10">
        <v>2.5459999999999998</v>
      </c>
      <c r="P3924" s="15" t="s">
        <v>21038</v>
      </c>
      <c r="Q3924" s="15" t="s">
        <v>21038</v>
      </c>
      <c r="R3924" s="10">
        <v>5</v>
      </c>
    </row>
    <row r="3925" spans="1:18" ht="17" customHeight="1" x14ac:dyDescent="0.15">
      <c r="A3925" s="11" t="s">
        <v>21145</v>
      </c>
      <c r="B3925" s="1" t="s">
        <v>21146</v>
      </c>
      <c r="C3925" s="11" t="s">
        <v>21147</v>
      </c>
      <c r="D3925" s="11" t="s">
        <v>21147</v>
      </c>
      <c r="E3925" s="11" t="s">
        <v>21148</v>
      </c>
      <c r="F3925" s="11" t="s">
        <v>21070</v>
      </c>
      <c r="G3925" s="11" t="s">
        <v>21149</v>
      </c>
      <c r="H3925" s="11" t="s">
        <v>21101</v>
      </c>
      <c r="I3925" s="11" t="str">
        <f>HYPERLINK("http://www.rossettinnova.it/","www.rossettinnova.it")</f>
        <v>www.rossettinnova.it</v>
      </c>
      <c r="J3925" s="12">
        <v>370.67500000000001</v>
      </c>
      <c r="K3925" s="12">
        <v>370.67500000000001</v>
      </c>
      <c r="L3925" s="13">
        <v>384.62799999999999</v>
      </c>
      <c r="M3925" s="12">
        <v>18.260999999999999</v>
      </c>
      <c r="N3925" s="12">
        <v>18.260999999999999</v>
      </c>
      <c r="O3925" s="12">
        <v>24.702999999999999</v>
      </c>
      <c r="P3925" s="12">
        <v>0</v>
      </c>
      <c r="Q3925" s="12">
        <v>0</v>
      </c>
      <c r="R3925" s="12">
        <v>1</v>
      </c>
    </row>
    <row r="3926" spans="1:18" ht="17" customHeight="1" x14ac:dyDescent="0.15">
      <c r="A3926" s="8" t="s">
        <v>21150</v>
      </c>
      <c r="B3926" s="9" t="s">
        <v>21151</v>
      </c>
      <c r="C3926" s="8" t="s">
        <v>21152</v>
      </c>
      <c r="D3926" s="8" t="s">
        <v>21152</v>
      </c>
      <c r="E3926" s="8" t="s">
        <v>21153</v>
      </c>
      <c r="F3926" s="8" t="s">
        <v>21154</v>
      </c>
      <c r="G3926" s="8" t="s">
        <v>21155</v>
      </c>
      <c r="H3926" s="8" t="s">
        <v>21037</v>
      </c>
      <c r="I3926" s="8" t="str">
        <f>HYPERLINK("http://www.dedproduction.it/","www.dedproduction.it")</f>
        <v>www.dedproduction.it</v>
      </c>
      <c r="J3926" s="10">
        <v>706.48299999999995</v>
      </c>
      <c r="K3926" s="10">
        <v>706.48299999999995</v>
      </c>
      <c r="L3926" s="10">
        <v>383.61900000000003</v>
      </c>
      <c r="M3926" s="10">
        <v>3.9929999999999999</v>
      </c>
      <c r="N3926" s="10">
        <v>3.9929999999999999</v>
      </c>
      <c r="O3926" s="10">
        <v>5.7489999999999997</v>
      </c>
      <c r="P3926" s="15" t="s">
        <v>21038</v>
      </c>
      <c r="Q3926" s="15" t="s">
        <v>21038</v>
      </c>
      <c r="R3926" s="10">
        <v>2</v>
      </c>
    </row>
    <row r="3927" spans="1:18" ht="29.5" customHeight="1" x14ac:dyDescent="0.15">
      <c r="A3927" s="11" t="s">
        <v>21156</v>
      </c>
      <c r="B3927" s="1" t="s">
        <v>21157</v>
      </c>
      <c r="C3927" s="11" t="s">
        <v>21158</v>
      </c>
      <c r="D3927" s="11" t="s">
        <v>21158</v>
      </c>
      <c r="E3927" s="11" t="s">
        <v>21159</v>
      </c>
      <c r="F3927" s="11" t="s">
        <v>21043</v>
      </c>
      <c r="G3927" s="11" t="s">
        <v>21160</v>
      </c>
      <c r="H3927" s="11" t="s">
        <v>21161</v>
      </c>
      <c r="I3927" s="11" t="str">
        <f>HYPERLINK("http://www.dafdesign.it/","www.dafdesign.it")</f>
        <v>www.dafdesign.it</v>
      </c>
      <c r="J3927" s="12">
        <v>442.05500000000001</v>
      </c>
      <c r="K3927" s="12">
        <v>442.05500000000001</v>
      </c>
      <c r="L3927" s="13">
        <v>383.31099999999998</v>
      </c>
      <c r="M3927" s="12">
        <v>-8.5779999999999994</v>
      </c>
      <c r="N3927" s="12">
        <v>-8.5779999999999994</v>
      </c>
      <c r="O3927" s="12">
        <v>-6.7750000000000004</v>
      </c>
      <c r="P3927" s="14" t="s">
        <v>21038</v>
      </c>
      <c r="Q3927" s="14" t="s">
        <v>21038</v>
      </c>
      <c r="R3927" s="12">
        <v>8</v>
      </c>
    </row>
    <row r="3928" spans="1:18" ht="17" customHeight="1" x14ac:dyDescent="0.15">
      <c r="A3928" s="8" t="s">
        <v>21162</v>
      </c>
      <c r="B3928" s="9" t="s">
        <v>21163</v>
      </c>
      <c r="C3928" s="8" t="s">
        <v>21164</v>
      </c>
      <c r="D3928" s="8" t="s">
        <v>21164</v>
      </c>
      <c r="E3928" s="8" t="s">
        <v>21165</v>
      </c>
      <c r="F3928" s="8" t="s">
        <v>21035</v>
      </c>
      <c r="G3928" s="8" t="s">
        <v>21134</v>
      </c>
      <c r="H3928" s="8" t="s">
        <v>21078</v>
      </c>
      <c r="I3928" s="8" t="str">
        <f>HYPERLINK("http://www.samuel.it/","www.samuel.it")</f>
        <v>www.samuel.it</v>
      </c>
      <c r="J3928" s="10">
        <v>398.02699999999999</v>
      </c>
      <c r="K3928" s="10">
        <v>398.02699999999999</v>
      </c>
      <c r="L3928" s="10">
        <v>382.755</v>
      </c>
      <c r="M3928" s="10">
        <v>4.5069999999999997</v>
      </c>
      <c r="N3928" s="10">
        <v>4.5069999999999997</v>
      </c>
      <c r="O3928" s="10">
        <v>2.5590000000000002</v>
      </c>
      <c r="P3928" s="10">
        <v>1</v>
      </c>
      <c r="Q3928" s="10">
        <v>1</v>
      </c>
      <c r="R3928" s="10">
        <v>1</v>
      </c>
    </row>
    <row r="3929" spans="1:18" ht="17" customHeight="1" x14ac:dyDescent="0.15">
      <c r="A3929" s="11" t="s">
        <v>21166</v>
      </c>
      <c r="B3929" s="1" t="s">
        <v>21167</v>
      </c>
      <c r="C3929" s="11" t="s">
        <v>21168</v>
      </c>
      <c r="D3929" s="11" t="s">
        <v>21168</v>
      </c>
      <c r="E3929" s="11" t="s">
        <v>21169</v>
      </c>
      <c r="F3929" s="11" t="s">
        <v>21106</v>
      </c>
      <c r="G3929" s="11" t="s">
        <v>21155</v>
      </c>
      <c r="H3929" s="11" t="s">
        <v>21037</v>
      </c>
      <c r="I3929" s="11" t="str">
        <f>HYPERLINK("http://www.tvscia.com/","www.tvscia.com")</f>
        <v>www.tvscia.com</v>
      </c>
      <c r="J3929" s="12">
        <v>408.048</v>
      </c>
      <c r="K3929" s="12">
        <v>408.048</v>
      </c>
      <c r="L3929" s="13">
        <v>382.68400000000003</v>
      </c>
      <c r="M3929" s="12">
        <v>3.7570000000000001</v>
      </c>
      <c r="N3929" s="12">
        <v>3.7570000000000001</v>
      </c>
      <c r="O3929" s="12">
        <v>3.7170000000000001</v>
      </c>
      <c r="P3929" s="12">
        <v>3</v>
      </c>
      <c r="Q3929" s="12">
        <v>3</v>
      </c>
      <c r="R3929" s="12">
        <v>0</v>
      </c>
    </row>
    <row r="3930" spans="1:18" ht="17" customHeight="1" x14ac:dyDescent="0.15">
      <c r="A3930" s="8" t="s">
        <v>21170</v>
      </c>
      <c r="B3930" s="9" t="s">
        <v>21171</v>
      </c>
      <c r="C3930" s="8" t="s">
        <v>21172</v>
      </c>
      <c r="D3930" s="8" t="s">
        <v>21172</v>
      </c>
      <c r="E3930" s="8" t="s">
        <v>21173</v>
      </c>
      <c r="F3930" s="8" t="s">
        <v>21154</v>
      </c>
      <c r="G3930" s="8" t="s">
        <v>21174</v>
      </c>
      <c r="H3930" s="8" t="s">
        <v>21078</v>
      </c>
      <c r="I3930" s="8" t="str">
        <f>HYPERLINK("http://www.doquality.it/","www.doquality.it")</f>
        <v>www.doquality.it</v>
      </c>
      <c r="J3930" s="10">
        <v>294.69200000000001</v>
      </c>
      <c r="K3930" s="10">
        <v>294.69200000000001</v>
      </c>
      <c r="L3930" s="10">
        <v>381.86599999999999</v>
      </c>
      <c r="M3930" s="10">
        <v>63.162999999999997</v>
      </c>
      <c r="N3930" s="10">
        <v>63.162999999999997</v>
      </c>
      <c r="O3930" s="10">
        <v>37.593000000000004</v>
      </c>
      <c r="P3930" s="10">
        <v>13</v>
      </c>
      <c r="Q3930" s="10">
        <v>13</v>
      </c>
      <c r="R3930" s="10">
        <v>6</v>
      </c>
    </row>
    <row r="3931" spans="1:18" ht="17" customHeight="1" x14ac:dyDescent="0.15">
      <c r="A3931" s="11" t="s">
        <v>21175</v>
      </c>
      <c r="B3931" s="1" t="s">
        <v>21176</v>
      </c>
      <c r="C3931" s="11" t="s">
        <v>21177</v>
      </c>
      <c r="D3931" s="11" t="s">
        <v>21177</v>
      </c>
      <c r="E3931" s="11" t="s">
        <v>21178</v>
      </c>
      <c r="F3931" s="11" t="s">
        <v>21179</v>
      </c>
      <c r="G3931" s="11" t="s">
        <v>21095</v>
      </c>
      <c r="H3931" s="11" t="s">
        <v>21065</v>
      </c>
      <c r="I3931" s="11" t="str">
        <f>HYPERLINK("http://www.macycling.com/","www.macycling.com")</f>
        <v>www.macycling.com</v>
      </c>
      <c r="J3931" s="12">
        <v>301.77</v>
      </c>
      <c r="K3931" s="12">
        <v>301.77</v>
      </c>
      <c r="L3931" s="13">
        <v>381.49299999999999</v>
      </c>
      <c r="M3931" s="12">
        <v>-47.845999999999997</v>
      </c>
      <c r="N3931" s="12">
        <v>-47.845999999999997</v>
      </c>
      <c r="O3931" s="12">
        <v>0.877</v>
      </c>
      <c r="P3931" s="12">
        <v>2</v>
      </c>
      <c r="Q3931" s="12">
        <v>2</v>
      </c>
      <c r="R3931" s="12">
        <v>2</v>
      </c>
    </row>
    <row r="3932" spans="1:18" ht="68" customHeight="1" x14ac:dyDescent="0.15">
      <c r="A3932" s="8" t="s">
        <v>21180</v>
      </c>
      <c r="B3932" s="9" t="s">
        <v>21181</v>
      </c>
      <c r="C3932" s="8" t="s">
        <v>21182</v>
      </c>
      <c r="D3932" s="8" t="s">
        <v>21182</v>
      </c>
      <c r="E3932" s="8" t="s">
        <v>21183</v>
      </c>
      <c r="F3932" s="8" t="s">
        <v>21070</v>
      </c>
      <c r="G3932" s="8" t="s">
        <v>21071</v>
      </c>
      <c r="H3932" s="8" t="s">
        <v>21037</v>
      </c>
      <c r="I3932" s="8" t="str">
        <f>HYPERLINK("http://www.dressitaly.com/","www.dressitaly.com")</f>
        <v>www.dressitaly.com</v>
      </c>
      <c r="J3932" s="10">
        <v>492.71</v>
      </c>
      <c r="K3932" s="10">
        <v>492.71</v>
      </c>
      <c r="L3932" s="10">
        <v>381.173</v>
      </c>
      <c r="M3932" s="10">
        <v>-3.1829999999999998</v>
      </c>
      <c r="N3932" s="10">
        <v>-3.1829999999999998</v>
      </c>
      <c r="O3932" s="10">
        <v>-11.868</v>
      </c>
      <c r="P3932" s="10">
        <v>4</v>
      </c>
      <c r="Q3932" s="10">
        <v>4</v>
      </c>
      <c r="R3932" s="10">
        <v>5</v>
      </c>
    </row>
    <row r="3933" spans="1:18" ht="43" customHeight="1" x14ac:dyDescent="0.15">
      <c r="A3933" s="11" t="s">
        <v>21184</v>
      </c>
      <c r="B3933" s="1" t="s">
        <v>21185</v>
      </c>
      <c r="C3933" s="11" t="s">
        <v>21186</v>
      </c>
      <c r="D3933" s="11" t="s">
        <v>21186</v>
      </c>
      <c r="E3933" s="11" t="s">
        <v>21187</v>
      </c>
      <c r="F3933" s="11" t="s">
        <v>21106</v>
      </c>
      <c r="G3933" s="11" t="s">
        <v>21188</v>
      </c>
      <c r="H3933" s="11" t="s">
        <v>21037</v>
      </c>
      <c r="I3933" s="11" t="str">
        <f>HYPERLINK("http://www.italiangesture.com/","www.italiangesture.com")</f>
        <v>www.italiangesture.com</v>
      </c>
      <c r="J3933" s="12">
        <v>433.18</v>
      </c>
      <c r="K3933" s="12">
        <v>433.18</v>
      </c>
      <c r="L3933" s="13">
        <v>380.94</v>
      </c>
      <c r="M3933" s="12">
        <v>27.3</v>
      </c>
      <c r="N3933" s="12">
        <v>27.3</v>
      </c>
      <c r="O3933" s="12">
        <v>30.567</v>
      </c>
      <c r="P3933" s="12">
        <v>0</v>
      </c>
      <c r="Q3933" s="12">
        <v>0</v>
      </c>
      <c r="R3933" s="12">
        <v>0</v>
      </c>
    </row>
    <row r="3934" spans="1:18" ht="17" customHeight="1" x14ac:dyDescent="0.15">
      <c r="A3934" s="8" t="s">
        <v>21189</v>
      </c>
      <c r="B3934" s="9" t="s">
        <v>21190</v>
      </c>
      <c r="C3934" s="8" t="s">
        <v>21191</v>
      </c>
      <c r="D3934" s="8" t="s">
        <v>21191</v>
      </c>
      <c r="E3934" s="8" t="s">
        <v>21192</v>
      </c>
      <c r="F3934" s="8" t="s">
        <v>21035</v>
      </c>
      <c r="G3934" s="8" t="s">
        <v>21193</v>
      </c>
      <c r="H3934" s="8" t="s">
        <v>21058</v>
      </c>
      <c r="I3934" s="8" t="str">
        <f>HYPERLINK("http://www.kroll.it/","www.kroll.it")</f>
        <v>www.kroll.it</v>
      </c>
      <c r="J3934" s="10">
        <v>333.39400000000001</v>
      </c>
      <c r="K3934" s="10">
        <v>333.39400000000001</v>
      </c>
      <c r="L3934" s="10">
        <v>380.76799999999997</v>
      </c>
      <c r="M3934" s="10">
        <v>-4.6710000000000003</v>
      </c>
      <c r="N3934" s="10">
        <v>-4.6710000000000003</v>
      </c>
      <c r="O3934" s="10">
        <v>6.548</v>
      </c>
      <c r="P3934" s="10">
        <v>8</v>
      </c>
      <c r="Q3934" s="10">
        <v>8</v>
      </c>
      <c r="R3934" s="10">
        <v>13</v>
      </c>
    </row>
    <row r="3935" spans="1:18" ht="17" customHeight="1" x14ac:dyDescent="0.15">
      <c r="A3935" s="11" t="s">
        <v>21194</v>
      </c>
      <c r="B3935" s="1" t="s">
        <v>21195</v>
      </c>
      <c r="C3935" s="11" t="s">
        <v>21196</v>
      </c>
      <c r="D3935" s="11" t="s">
        <v>21196</v>
      </c>
      <c r="E3935" s="11" t="s">
        <v>21197</v>
      </c>
      <c r="F3935" s="11" t="s">
        <v>21198</v>
      </c>
      <c r="G3935" s="11" t="s">
        <v>21057</v>
      </c>
      <c r="H3935" s="11" t="s">
        <v>21058</v>
      </c>
      <c r="I3935" s="11" t="str">
        <f>HYPERLINK("http://www.ermanifactures.it/","www.ermanifactures.it")</f>
        <v>www.ermanifactures.it</v>
      </c>
      <c r="J3935" s="12">
        <v>895.85699999999997</v>
      </c>
      <c r="K3935" s="12">
        <v>577.58399999999995</v>
      </c>
      <c r="L3935" s="13">
        <v>380.654</v>
      </c>
      <c r="M3935" s="12">
        <v>87.986000000000004</v>
      </c>
      <c r="N3935" s="12">
        <v>80.201999999999998</v>
      </c>
      <c r="O3935" s="12">
        <v>57.095999999999997</v>
      </c>
      <c r="P3935" s="14" t="s">
        <v>21038</v>
      </c>
      <c r="Q3935" s="14" t="s">
        <v>21038</v>
      </c>
      <c r="R3935" s="12">
        <v>7</v>
      </c>
    </row>
    <row r="3936" spans="1:18" ht="17" customHeight="1" x14ac:dyDescent="0.15">
      <c r="A3936" s="8" t="s">
        <v>21199</v>
      </c>
      <c r="B3936" s="9" t="s">
        <v>21200</v>
      </c>
      <c r="C3936" s="8" t="s">
        <v>21201</v>
      </c>
      <c r="D3936" s="8" t="s">
        <v>21201</v>
      </c>
      <c r="E3936" s="8" t="s">
        <v>21202</v>
      </c>
      <c r="F3936" s="8" t="s">
        <v>21035</v>
      </c>
      <c r="G3936" s="8" t="s">
        <v>21124</v>
      </c>
      <c r="H3936" s="8" t="s">
        <v>21065</v>
      </c>
      <c r="I3936" s="8" t="str">
        <f>HYPERLINK("http://www.effegi-style.it/","www.effegi-style.it")</f>
        <v>www.effegi-style.it</v>
      </c>
      <c r="J3936" s="10">
        <v>915.26499999999999</v>
      </c>
      <c r="K3936" s="10">
        <v>915.26499999999999</v>
      </c>
      <c r="L3936" s="10">
        <v>380.31400000000002</v>
      </c>
      <c r="M3936" s="10">
        <v>-469.834</v>
      </c>
      <c r="N3936" s="10">
        <v>-469.834</v>
      </c>
      <c r="O3936" s="10">
        <v>-715.50199999999995</v>
      </c>
      <c r="P3936" s="10">
        <v>4</v>
      </c>
      <c r="Q3936" s="10">
        <v>4</v>
      </c>
      <c r="R3936" s="10">
        <v>4</v>
      </c>
    </row>
    <row r="3937" spans="1:18" ht="17" customHeight="1" x14ac:dyDescent="0.15">
      <c r="A3937" s="11" t="s">
        <v>21203</v>
      </c>
      <c r="B3937" s="1" t="s">
        <v>21204</v>
      </c>
      <c r="C3937" s="11" t="s">
        <v>21205</v>
      </c>
      <c r="D3937" s="11" t="s">
        <v>21205</v>
      </c>
      <c r="E3937" s="11" t="s">
        <v>21206</v>
      </c>
      <c r="F3937" s="11" t="s">
        <v>21207</v>
      </c>
      <c r="G3937" s="11" t="s">
        <v>21208</v>
      </c>
      <c r="H3937" s="11" t="s">
        <v>21209</v>
      </c>
      <c r="I3937" s="11" t="str">
        <f>HYPERLINK("http://www.sciamat.com/","www.sciamat.com")</f>
        <v>www.sciamat.com</v>
      </c>
      <c r="J3937" s="12">
        <v>399.11799999999999</v>
      </c>
      <c r="K3937" s="12">
        <v>399.11799999999999</v>
      </c>
      <c r="L3937" s="13">
        <v>380.23099999999999</v>
      </c>
      <c r="M3937" s="12">
        <v>10.265000000000001</v>
      </c>
      <c r="N3937" s="12">
        <v>10.265000000000001</v>
      </c>
      <c r="O3937" s="12">
        <v>-6.3319999999999999</v>
      </c>
      <c r="P3937" s="12">
        <v>6</v>
      </c>
      <c r="Q3937" s="12">
        <v>6</v>
      </c>
      <c r="R3937" s="12">
        <v>8</v>
      </c>
    </row>
    <row r="3938" spans="1:18" ht="29.5" customHeight="1" x14ac:dyDescent="0.15">
      <c r="A3938" s="8" t="s">
        <v>21210</v>
      </c>
      <c r="B3938" s="9" t="s">
        <v>21211</v>
      </c>
      <c r="C3938" s="8" t="s">
        <v>21212</v>
      </c>
      <c r="D3938" s="8" t="s">
        <v>21212</v>
      </c>
      <c r="E3938" s="8" t="s">
        <v>21213</v>
      </c>
      <c r="F3938" s="8" t="s">
        <v>21214</v>
      </c>
      <c r="G3938" s="8" t="s">
        <v>21215</v>
      </c>
      <c r="H3938" s="8" t="s">
        <v>21216</v>
      </c>
      <c r="I3938" s="8" t="str">
        <f>HYPERLINK("http://www.pamilla.it/","www.pamilla.it")</f>
        <v>www.pamilla.it</v>
      </c>
      <c r="J3938" s="10">
        <v>379.95800000000003</v>
      </c>
      <c r="K3938" s="15" t="s">
        <v>21217</v>
      </c>
      <c r="L3938" s="10">
        <v>379.95800000000003</v>
      </c>
      <c r="M3938" s="10">
        <v>-142.417</v>
      </c>
      <c r="N3938" s="15" t="s">
        <v>21217</v>
      </c>
      <c r="O3938" s="10">
        <v>-142.417</v>
      </c>
      <c r="P3938" s="10">
        <v>6</v>
      </c>
      <c r="Q3938" s="15" t="s">
        <v>21217</v>
      </c>
      <c r="R3938" s="10">
        <v>6</v>
      </c>
    </row>
    <row r="3939" spans="1:18" ht="17" customHeight="1" x14ac:dyDescent="0.15">
      <c r="A3939" s="11" t="s">
        <v>21218</v>
      </c>
      <c r="B3939" s="1" t="s">
        <v>21219</v>
      </c>
      <c r="C3939" s="11" t="s">
        <v>21220</v>
      </c>
      <c r="D3939" s="11" t="s">
        <v>21220</v>
      </c>
      <c r="E3939" s="11" t="s">
        <v>21221</v>
      </c>
      <c r="F3939" s="11" t="s">
        <v>21222</v>
      </c>
      <c r="G3939" s="11" t="s">
        <v>21223</v>
      </c>
      <c r="H3939" s="11" t="s">
        <v>21216</v>
      </c>
      <c r="I3939" s="11" t="str">
        <f>HYPERLINK("http://vialactea.it/","vialactea.it")</f>
        <v>vialactea.it</v>
      </c>
      <c r="J3939" s="12">
        <v>350.238</v>
      </c>
      <c r="K3939" s="12">
        <v>350.238</v>
      </c>
      <c r="L3939" s="13">
        <v>379.45800000000003</v>
      </c>
      <c r="M3939" s="12">
        <v>6.9720000000000004</v>
      </c>
      <c r="N3939" s="12">
        <v>6.9720000000000004</v>
      </c>
      <c r="O3939" s="12">
        <v>6.7439999999999998</v>
      </c>
      <c r="P3939" s="14" t="s">
        <v>21217</v>
      </c>
      <c r="Q3939" s="14" t="s">
        <v>21217</v>
      </c>
      <c r="R3939" s="12">
        <v>8</v>
      </c>
    </row>
    <row r="3940" spans="1:18" ht="17" customHeight="1" x14ac:dyDescent="0.15">
      <c r="A3940" s="8" t="s">
        <v>21224</v>
      </c>
      <c r="B3940" s="9" t="s">
        <v>21225</v>
      </c>
      <c r="C3940" s="8" t="s">
        <v>21226</v>
      </c>
      <c r="D3940" s="8" t="s">
        <v>21226</v>
      </c>
      <c r="E3940" s="8" t="s">
        <v>21227</v>
      </c>
      <c r="F3940" s="8" t="s">
        <v>21214</v>
      </c>
      <c r="G3940" s="8" t="s">
        <v>21228</v>
      </c>
      <c r="H3940" s="8" t="s">
        <v>21229</v>
      </c>
      <c r="I3940" s="8" t="str">
        <f>HYPERLINK("http://www.nuan.it/","www.nuan.it")</f>
        <v>www.nuan.it</v>
      </c>
      <c r="J3940" s="10">
        <v>682.82899999999995</v>
      </c>
      <c r="K3940" s="10">
        <v>682.82899999999995</v>
      </c>
      <c r="L3940" s="10">
        <v>379.089</v>
      </c>
      <c r="M3940" s="10">
        <v>44.098999999999997</v>
      </c>
      <c r="N3940" s="10">
        <v>44.098999999999997</v>
      </c>
      <c r="O3940" s="10">
        <v>-46.399000000000001</v>
      </c>
      <c r="P3940" s="10">
        <v>5</v>
      </c>
      <c r="Q3940" s="10">
        <v>5</v>
      </c>
      <c r="R3940" s="10">
        <v>5</v>
      </c>
    </row>
    <row r="3941" spans="1:18" ht="17" customHeight="1" x14ac:dyDescent="0.15">
      <c r="A3941" s="11" t="s">
        <v>21230</v>
      </c>
      <c r="B3941" s="1" t="s">
        <v>21231</v>
      </c>
      <c r="C3941" s="11" t="s">
        <v>21232</v>
      </c>
      <c r="D3941" s="11" t="s">
        <v>21232</v>
      </c>
      <c r="E3941" s="11" t="s">
        <v>21233</v>
      </c>
      <c r="F3941" s="11" t="s">
        <v>21222</v>
      </c>
      <c r="G3941" s="11" t="s">
        <v>21234</v>
      </c>
      <c r="H3941" s="11" t="s">
        <v>21216</v>
      </c>
      <c r="I3941" s="11" t="str">
        <f>HYPERLINK("http://www.labelleshoes.eu/","www.labelleshoes.eu")</f>
        <v>www.labelleshoes.eu</v>
      </c>
      <c r="J3941" s="12">
        <v>505.52</v>
      </c>
      <c r="K3941" s="12">
        <v>505.52</v>
      </c>
      <c r="L3941" s="13">
        <v>379.05200000000002</v>
      </c>
      <c r="M3941" s="12">
        <v>19.466999999999999</v>
      </c>
      <c r="N3941" s="12">
        <v>19.466999999999999</v>
      </c>
      <c r="O3941" s="12">
        <v>2.2999999999999998</v>
      </c>
      <c r="P3941" s="14" t="s">
        <v>21217</v>
      </c>
      <c r="Q3941" s="14" t="s">
        <v>21217</v>
      </c>
      <c r="R3941" s="12">
        <v>7</v>
      </c>
    </row>
    <row r="3942" spans="1:18" ht="29.5" customHeight="1" x14ac:dyDescent="0.15">
      <c r="A3942" s="8" t="s">
        <v>21235</v>
      </c>
      <c r="B3942" s="9" t="s">
        <v>21236</v>
      </c>
      <c r="C3942" s="8" t="s">
        <v>21237</v>
      </c>
      <c r="D3942" s="8" t="s">
        <v>21237</v>
      </c>
      <c r="E3942" s="8" t="s">
        <v>21238</v>
      </c>
      <c r="F3942" s="8" t="s">
        <v>21214</v>
      </c>
      <c r="G3942" s="8" t="s">
        <v>21239</v>
      </c>
      <c r="H3942" s="8" t="s">
        <v>21240</v>
      </c>
      <c r="I3942" s="8" t="str">
        <f>HYPERLINK("http://www.libassigroup.it/","www.libassigroup.it")</f>
        <v>www.libassigroup.it</v>
      </c>
      <c r="J3942" s="10">
        <v>548.82600000000002</v>
      </c>
      <c r="K3942" s="10">
        <v>548.82600000000002</v>
      </c>
      <c r="L3942" s="10">
        <v>378.10599999999999</v>
      </c>
      <c r="M3942" s="10">
        <v>46.051000000000002</v>
      </c>
      <c r="N3942" s="10">
        <v>46.051000000000002</v>
      </c>
      <c r="O3942" s="10">
        <v>18.658000000000001</v>
      </c>
      <c r="P3942" s="10">
        <v>4</v>
      </c>
      <c r="Q3942" s="10">
        <v>4</v>
      </c>
      <c r="R3942" s="10">
        <v>3</v>
      </c>
    </row>
    <row r="3943" spans="1:18" ht="17" customHeight="1" x14ac:dyDescent="0.15">
      <c r="A3943" s="11" t="s">
        <v>21241</v>
      </c>
      <c r="B3943" s="1" t="s">
        <v>21242</v>
      </c>
      <c r="C3943" s="11" t="s">
        <v>21243</v>
      </c>
      <c r="D3943" s="11" t="s">
        <v>21243</v>
      </c>
      <c r="E3943" s="11" t="s">
        <v>21244</v>
      </c>
      <c r="F3943" s="11" t="s">
        <v>21214</v>
      </c>
      <c r="G3943" s="11" t="s">
        <v>21245</v>
      </c>
      <c r="H3943" s="11" t="s">
        <v>21216</v>
      </c>
      <c r="I3943" s="11" t="str">
        <f>HYPERLINK("http://www.mctmoda.it/","www.mctmoda.it")</f>
        <v>www.mctmoda.it</v>
      </c>
      <c r="J3943" s="12">
        <v>287.41500000000002</v>
      </c>
      <c r="K3943" s="12">
        <v>287.41500000000002</v>
      </c>
      <c r="L3943" s="13">
        <v>378.04500000000002</v>
      </c>
      <c r="M3943" s="12">
        <v>-4.1210000000000004</v>
      </c>
      <c r="N3943" s="12">
        <v>-4.1210000000000004</v>
      </c>
      <c r="O3943" s="12">
        <v>1.413</v>
      </c>
      <c r="P3943" s="14" t="s">
        <v>21217</v>
      </c>
      <c r="Q3943" s="14" t="s">
        <v>21217</v>
      </c>
      <c r="R3943" s="12">
        <v>10</v>
      </c>
    </row>
    <row r="3944" spans="1:18" ht="17" customHeight="1" x14ac:dyDescent="0.15">
      <c r="A3944" s="8" t="s">
        <v>21246</v>
      </c>
      <c r="B3944" s="9" t="s">
        <v>21247</v>
      </c>
      <c r="C3944" s="8" t="s">
        <v>21248</v>
      </c>
      <c r="D3944" s="8" t="s">
        <v>21248</v>
      </c>
      <c r="E3944" s="8" t="s">
        <v>21249</v>
      </c>
      <c r="F3944" s="8" t="s">
        <v>21214</v>
      </c>
      <c r="G3944" s="8" t="s">
        <v>21250</v>
      </c>
      <c r="H3944" s="8" t="s">
        <v>21229</v>
      </c>
      <c r="I3944" s="8" t="str">
        <f>HYPERLINK("http://www.valentinipantaloni.it/","www.valentinipantaloni.it")</f>
        <v>www.valentinipantaloni.it</v>
      </c>
      <c r="J3944" s="10">
        <v>685.78099999999995</v>
      </c>
      <c r="K3944" s="10">
        <v>685.78099999999995</v>
      </c>
      <c r="L3944" s="10">
        <v>377.35599999999999</v>
      </c>
      <c r="M3944" s="10">
        <v>2.4289999999999998</v>
      </c>
      <c r="N3944" s="10">
        <v>2.4289999999999998</v>
      </c>
      <c r="O3944" s="10">
        <v>2.5830000000000002</v>
      </c>
      <c r="P3944" s="15" t="s">
        <v>21217</v>
      </c>
      <c r="Q3944" s="15" t="s">
        <v>21217</v>
      </c>
      <c r="R3944" s="10">
        <v>1</v>
      </c>
    </row>
    <row r="3945" spans="1:18" ht="29.5" customHeight="1" x14ac:dyDescent="0.15">
      <c r="A3945" s="11" t="s">
        <v>21251</v>
      </c>
      <c r="B3945" s="1" t="s">
        <v>21252</v>
      </c>
      <c r="C3945" s="11" t="s">
        <v>21253</v>
      </c>
      <c r="D3945" s="11" t="s">
        <v>21253</v>
      </c>
      <c r="E3945" s="11" t="s">
        <v>21254</v>
      </c>
      <c r="F3945" s="11" t="s">
        <v>21222</v>
      </c>
      <c r="G3945" s="11" t="s">
        <v>21250</v>
      </c>
      <c r="H3945" s="11" t="s">
        <v>21229</v>
      </c>
      <c r="I3945" s="11" t="str">
        <f>HYPERLINK("http://www.bambiniinfattoria.it/","www.bambiniinfattoria.it")</f>
        <v>www.bambiniinfattoria.it</v>
      </c>
      <c r="J3945" s="12">
        <v>334.07400000000001</v>
      </c>
      <c r="K3945" s="12">
        <v>334.07400000000001</v>
      </c>
      <c r="L3945" s="13">
        <v>377.238</v>
      </c>
      <c r="M3945" s="12">
        <v>-6.2830000000000004</v>
      </c>
      <c r="N3945" s="12">
        <v>-6.2830000000000004</v>
      </c>
      <c r="O3945" s="12">
        <v>11.6</v>
      </c>
      <c r="P3945" s="12">
        <v>3</v>
      </c>
      <c r="Q3945" s="12">
        <v>3</v>
      </c>
      <c r="R3945" s="12">
        <v>3</v>
      </c>
    </row>
    <row r="3946" spans="1:18" ht="17" customHeight="1" x14ac:dyDescent="0.15">
      <c r="A3946" s="8" t="s">
        <v>21255</v>
      </c>
      <c r="B3946" s="9" t="s">
        <v>21256</v>
      </c>
      <c r="C3946" s="8" t="s">
        <v>21257</v>
      </c>
      <c r="D3946" s="8" t="s">
        <v>21257</v>
      </c>
      <c r="E3946" s="8" t="s">
        <v>21258</v>
      </c>
      <c r="F3946" s="8" t="s">
        <v>21214</v>
      </c>
      <c r="G3946" s="8" t="s">
        <v>21259</v>
      </c>
      <c r="H3946" s="8" t="s">
        <v>21229</v>
      </c>
      <c r="I3946" s="8" t="str">
        <f>HYPERLINK("http://www.givens.it/","www.givens.it")</f>
        <v>www.givens.it</v>
      </c>
      <c r="J3946" s="10">
        <v>331.55900000000003</v>
      </c>
      <c r="K3946" s="10">
        <v>331.55900000000003</v>
      </c>
      <c r="L3946" s="10">
        <v>377.05799999999999</v>
      </c>
      <c r="M3946" s="10">
        <v>7.5449999999999999</v>
      </c>
      <c r="N3946" s="10">
        <v>7.5449999999999999</v>
      </c>
      <c r="O3946" s="10">
        <v>2.1429999999999998</v>
      </c>
      <c r="P3946" s="10">
        <v>1</v>
      </c>
      <c r="Q3946" s="10">
        <v>1</v>
      </c>
      <c r="R3946" s="10">
        <v>2</v>
      </c>
    </row>
    <row r="3947" spans="1:18" ht="17" customHeight="1" x14ac:dyDescent="0.15">
      <c r="A3947" s="11" t="s">
        <v>21260</v>
      </c>
      <c r="B3947" s="1" t="s">
        <v>21261</v>
      </c>
      <c r="C3947" s="11" t="s">
        <v>21262</v>
      </c>
      <c r="D3947" s="11" t="s">
        <v>21262</v>
      </c>
      <c r="E3947" s="11" t="s">
        <v>21263</v>
      </c>
      <c r="F3947" s="11" t="s">
        <v>21264</v>
      </c>
      <c r="G3947" s="11" t="s">
        <v>21265</v>
      </c>
      <c r="H3947" s="11" t="s">
        <v>21240</v>
      </c>
      <c r="I3947" s="11" t="str">
        <f>HYPERLINK("http://www.centrotaglioessepi.it/","www.centrotaglioessepi.it")</f>
        <v>www.centrotaglioessepi.it</v>
      </c>
      <c r="J3947" s="12">
        <v>666.85500000000002</v>
      </c>
      <c r="K3947" s="12">
        <v>666.85500000000002</v>
      </c>
      <c r="L3947" s="13">
        <v>376.70299999999997</v>
      </c>
      <c r="M3947" s="12">
        <v>92.876000000000005</v>
      </c>
      <c r="N3947" s="12">
        <v>92.876000000000005</v>
      </c>
      <c r="O3947" s="12">
        <v>38.328000000000003</v>
      </c>
      <c r="P3947" s="12">
        <v>10</v>
      </c>
      <c r="Q3947" s="12">
        <v>10</v>
      </c>
      <c r="R3947" s="12">
        <v>6</v>
      </c>
    </row>
    <row r="3948" spans="1:18" ht="17" customHeight="1" x14ac:dyDescent="0.15">
      <c r="A3948" s="8" t="s">
        <v>21266</v>
      </c>
      <c r="B3948" s="9" t="s">
        <v>21267</v>
      </c>
      <c r="C3948" s="8" t="s">
        <v>21268</v>
      </c>
      <c r="D3948" s="8" t="s">
        <v>21268</v>
      </c>
      <c r="E3948" s="8" t="s">
        <v>21269</v>
      </c>
      <c r="F3948" s="8" t="s">
        <v>21270</v>
      </c>
      <c r="G3948" s="8" t="s">
        <v>21271</v>
      </c>
      <c r="H3948" s="8" t="s">
        <v>21272</v>
      </c>
      <c r="I3948" s="8" t="str">
        <f>HYPERLINK("http://marpelatelier.com/","marpelatelier.com")</f>
        <v>marpelatelier.com</v>
      </c>
      <c r="J3948" s="10">
        <v>240.524</v>
      </c>
      <c r="K3948" s="10">
        <v>240.524</v>
      </c>
      <c r="L3948" s="10">
        <v>376.06799999999998</v>
      </c>
      <c r="M3948" s="10">
        <v>2.899</v>
      </c>
      <c r="N3948" s="10">
        <v>2.899</v>
      </c>
      <c r="O3948" s="10">
        <v>-37.728999999999999</v>
      </c>
      <c r="P3948" s="15" t="s">
        <v>21217</v>
      </c>
      <c r="Q3948" s="15" t="s">
        <v>21217</v>
      </c>
      <c r="R3948" s="10">
        <v>10</v>
      </c>
    </row>
    <row r="3949" spans="1:18" ht="17" customHeight="1" x14ac:dyDescent="0.15">
      <c r="A3949" s="11" t="s">
        <v>21273</v>
      </c>
      <c r="B3949" s="1" t="s">
        <v>21274</v>
      </c>
      <c r="C3949" s="11" t="s">
        <v>21275</v>
      </c>
      <c r="D3949" s="11" t="s">
        <v>21275</v>
      </c>
      <c r="E3949" s="11" t="s">
        <v>21276</v>
      </c>
      <c r="F3949" s="11" t="s">
        <v>21214</v>
      </c>
      <c r="G3949" s="11" t="s">
        <v>21277</v>
      </c>
      <c r="H3949" s="11" t="s">
        <v>21278</v>
      </c>
      <c r="I3949" s="11" t="str">
        <f>HYPERLINK("http://www.doubleeight.it/","www.doubleeight.it")</f>
        <v>www.doubleeight.it</v>
      </c>
      <c r="J3949" s="12">
        <v>301.48899999999998</v>
      </c>
      <c r="K3949" s="12">
        <v>301.48899999999998</v>
      </c>
      <c r="L3949" s="13">
        <v>375.572</v>
      </c>
      <c r="M3949" s="12">
        <v>-33.097000000000001</v>
      </c>
      <c r="N3949" s="12">
        <v>-33.097000000000001</v>
      </c>
      <c r="O3949" s="12">
        <v>93.82</v>
      </c>
      <c r="P3949" s="12">
        <v>3</v>
      </c>
      <c r="Q3949" s="12">
        <v>3</v>
      </c>
      <c r="R3949" s="12">
        <v>2</v>
      </c>
    </row>
    <row r="3950" spans="1:18" ht="17" customHeight="1" x14ac:dyDescent="0.15">
      <c r="A3950" s="8" t="s">
        <v>21279</v>
      </c>
      <c r="B3950" s="9" t="s">
        <v>21280</v>
      </c>
      <c r="C3950" s="8" t="s">
        <v>21281</v>
      </c>
      <c r="D3950" s="8" t="s">
        <v>21281</v>
      </c>
      <c r="E3950" s="8" t="s">
        <v>21282</v>
      </c>
      <c r="F3950" s="8" t="s">
        <v>21283</v>
      </c>
      <c r="G3950" s="8" t="s">
        <v>21284</v>
      </c>
      <c r="H3950" s="8" t="s">
        <v>21285</v>
      </c>
      <c r="I3950" s="8" t="str">
        <f>HYPERLINK("http://www.lambertoconti.it/","www.lambertoconti.it")</f>
        <v>www.lambertoconti.it</v>
      </c>
      <c r="J3950" s="10">
        <v>365.51900000000001</v>
      </c>
      <c r="K3950" s="10">
        <v>365.51900000000001</v>
      </c>
      <c r="L3950" s="10">
        <v>375.47300000000001</v>
      </c>
      <c r="M3950" s="10">
        <v>-45.993000000000002</v>
      </c>
      <c r="N3950" s="10">
        <v>-45.993000000000002</v>
      </c>
      <c r="O3950" s="10">
        <v>-23.702999999999999</v>
      </c>
      <c r="P3950" s="10">
        <v>3</v>
      </c>
      <c r="Q3950" s="10">
        <v>3</v>
      </c>
      <c r="R3950" s="10">
        <v>3</v>
      </c>
    </row>
    <row r="3951" spans="1:18" ht="17" customHeight="1" x14ac:dyDescent="0.15">
      <c r="A3951" s="11" t="s">
        <v>21286</v>
      </c>
      <c r="B3951" s="1" t="s">
        <v>21287</v>
      </c>
      <c r="C3951" s="11" t="s">
        <v>21288</v>
      </c>
      <c r="D3951" s="11" t="s">
        <v>21288</v>
      </c>
      <c r="E3951" s="11" t="s">
        <v>21289</v>
      </c>
      <c r="F3951" s="11" t="s">
        <v>21290</v>
      </c>
      <c r="G3951" s="11" t="s">
        <v>21291</v>
      </c>
      <c r="H3951" s="11" t="s">
        <v>21240</v>
      </c>
      <c r="I3951" s="11" t="str">
        <f>HYPERLINK("http://www.sorellebaldi.it/","www.sorellebaldi.it")</f>
        <v>www.sorellebaldi.it</v>
      </c>
      <c r="J3951" s="12">
        <v>487.93900000000002</v>
      </c>
      <c r="K3951" s="12">
        <v>487.93900000000002</v>
      </c>
      <c r="L3951" s="13">
        <v>375.40199999999999</v>
      </c>
      <c r="M3951" s="12">
        <v>13.272</v>
      </c>
      <c r="N3951" s="12">
        <v>13.272</v>
      </c>
      <c r="O3951" s="12">
        <v>21.239000000000001</v>
      </c>
      <c r="P3951" s="12">
        <v>1</v>
      </c>
      <c r="Q3951" s="12">
        <v>1</v>
      </c>
      <c r="R3951" s="12">
        <v>1</v>
      </c>
    </row>
    <row r="3952" spans="1:18" ht="17" customHeight="1" x14ac:dyDescent="0.15">
      <c r="A3952" s="8" t="s">
        <v>21292</v>
      </c>
      <c r="B3952" s="9" t="s">
        <v>21293</v>
      </c>
      <c r="C3952" s="8" t="s">
        <v>21294</v>
      </c>
      <c r="D3952" s="8" t="s">
        <v>21294</v>
      </c>
      <c r="E3952" s="8" t="s">
        <v>21295</v>
      </c>
      <c r="F3952" s="8" t="s">
        <v>21222</v>
      </c>
      <c r="G3952" s="8" t="s">
        <v>21265</v>
      </c>
      <c r="H3952" s="8" t="s">
        <v>21240</v>
      </c>
      <c r="I3952" s="8" t="str">
        <f>HYPERLINK("http://sanisoftitalia.it/","sanisoftitalia.it")</f>
        <v>sanisoftitalia.it</v>
      </c>
      <c r="J3952" s="10">
        <v>295.822</v>
      </c>
      <c r="K3952" s="10">
        <v>295.822</v>
      </c>
      <c r="L3952" s="10">
        <v>374.81099999999998</v>
      </c>
      <c r="M3952" s="10">
        <v>-60.488999999999997</v>
      </c>
      <c r="N3952" s="10">
        <v>-60.488999999999997</v>
      </c>
      <c r="O3952" s="10">
        <v>17.702999999999999</v>
      </c>
      <c r="P3952" s="10">
        <v>6</v>
      </c>
      <c r="Q3952" s="10">
        <v>6</v>
      </c>
      <c r="R3952" s="10">
        <v>6</v>
      </c>
    </row>
    <row r="3953" spans="1:18" ht="17" customHeight="1" x14ac:dyDescent="0.15">
      <c r="A3953" s="11" t="s">
        <v>21296</v>
      </c>
      <c r="B3953" s="1" t="s">
        <v>21297</v>
      </c>
      <c r="C3953" s="11" t="s">
        <v>21298</v>
      </c>
      <c r="D3953" s="11" t="s">
        <v>21298</v>
      </c>
      <c r="E3953" s="11" t="s">
        <v>21299</v>
      </c>
      <c r="F3953" s="11" t="s">
        <v>21300</v>
      </c>
      <c r="G3953" s="11" t="s">
        <v>21301</v>
      </c>
      <c r="H3953" s="11" t="s">
        <v>21229</v>
      </c>
      <c r="I3953" s="11" t="str">
        <f>HYPERLINK("http://trevisrl.com/","trevisrl.com")</f>
        <v>trevisrl.com</v>
      </c>
      <c r="J3953" s="12">
        <v>273.34399999999999</v>
      </c>
      <c r="K3953" s="12">
        <v>344.31700000000001</v>
      </c>
      <c r="L3953" s="13">
        <v>374.36200000000002</v>
      </c>
      <c r="M3953" s="12">
        <v>-36.927</v>
      </c>
      <c r="N3953" s="12">
        <v>-15.069000000000001</v>
      </c>
      <c r="O3953" s="12">
        <v>-14.664</v>
      </c>
      <c r="P3953" s="12">
        <v>4</v>
      </c>
      <c r="Q3953" s="12">
        <v>5</v>
      </c>
      <c r="R3953" s="12">
        <v>5</v>
      </c>
    </row>
    <row r="3954" spans="1:18" ht="17" customHeight="1" x14ac:dyDescent="0.15">
      <c r="A3954" s="8" t="s">
        <v>21302</v>
      </c>
      <c r="B3954" s="9" t="s">
        <v>21303</v>
      </c>
      <c r="C3954" s="8" t="s">
        <v>21304</v>
      </c>
      <c r="D3954" s="8" t="s">
        <v>21304</v>
      </c>
      <c r="E3954" s="8" t="s">
        <v>21305</v>
      </c>
      <c r="F3954" s="8" t="s">
        <v>21270</v>
      </c>
      <c r="G3954" s="8" t="s">
        <v>21306</v>
      </c>
      <c r="H3954" s="8" t="s">
        <v>21209</v>
      </c>
      <c r="I3954" s="8" t="str">
        <f>HYPERLINK("http://www.shop-pioneerhorseline.com/","www.shop-pioneerhorseline.com")</f>
        <v>www.shop-pioneerhorseline.com</v>
      </c>
      <c r="J3954" s="10">
        <v>318.70800000000003</v>
      </c>
      <c r="K3954" s="10">
        <v>318.70800000000003</v>
      </c>
      <c r="L3954" s="10">
        <v>373.56099999999998</v>
      </c>
      <c r="M3954" s="10">
        <v>2.2320000000000002</v>
      </c>
      <c r="N3954" s="10">
        <v>2.2320000000000002</v>
      </c>
      <c r="O3954" s="10">
        <v>1.3080000000000001</v>
      </c>
      <c r="P3954" s="15" t="s">
        <v>21217</v>
      </c>
      <c r="Q3954" s="15" t="s">
        <v>21217</v>
      </c>
      <c r="R3954" s="10">
        <v>13</v>
      </c>
    </row>
    <row r="3955" spans="1:18" ht="17" customHeight="1" x14ac:dyDescent="0.15">
      <c r="A3955" s="11" t="s">
        <v>21307</v>
      </c>
      <c r="B3955" s="1" t="s">
        <v>21308</v>
      </c>
      <c r="C3955" s="11" t="s">
        <v>21309</v>
      </c>
      <c r="D3955" s="11" t="s">
        <v>21309</v>
      </c>
      <c r="E3955" s="11" t="s">
        <v>21310</v>
      </c>
      <c r="F3955" s="11" t="s">
        <v>21222</v>
      </c>
      <c r="G3955" s="11" t="s">
        <v>21223</v>
      </c>
      <c r="H3955" s="11" t="s">
        <v>21216</v>
      </c>
      <c r="I3955" s="11" t="str">
        <f>HYPERLINK("http://www.modishoes.com/","www.modishoes.com")</f>
        <v>www.modishoes.com</v>
      </c>
      <c r="J3955" s="12">
        <v>962.54600000000005</v>
      </c>
      <c r="K3955" s="12">
        <v>962.54600000000005</v>
      </c>
      <c r="L3955" s="13">
        <v>373.10599999999999</v>
      </c>
      <c r="M3955" s="12">
        <v>24.366</v>
      </c>
      <c r="N3955" s="12">
        <v>24.366</v>
      </c>
      <c r="O3955" s="12">
        <v>22.995999999999999</v>
      </c>
      <c r="P3955" s="12">
        <v>3</v>
      </c>
      <c r="Q3955" s="12">
        <v>3</v>
      </c>
      <c r="R3955" s="12">
        <v>3</v>
      </c>
    </row>
    <row r="3956" spans="1:18" ht="29.5" customHeight="1" x14ac:dyDescent="0.15">
      <c r="A3956" s="8" t="s">
        <v>21311</v>
      </c>
      <c r="B3956" s="9" t="s">
        <v>21312</v>
      </c>
      <c r="C3956" s="8" t="s">
        <v>21313</v>
      </c>
      <c r="D3956" s="8" t="s">
        <v>21313</v>
      </c>
      <c r="E3956" s="8" t="s">
        <v>21314</v>
      </c>
      <c r="F3956" s="8" t="s">
        <v>21315</v>
      </c>
      <c r="G3956" s="8" t="s">
        <v>21316</v>
      </c>
      <c r="H3956" s="8" t="s">
        <v>21285</v>
      </c>
      <c r="I3956" s="8" t="str">
        <f>HYPERLINK("http://www.cherimax.com/","www.cherimax.com")</f>
        <v>www.cherimax.com</v>
      </c>
      <c r="J3956" s="10">
        <v>314.32799999999997</v>
      </c>
      <c r="K3956" s="10">
        <v>369.31900000000002</v>
      </c>
      <c r="L3956" s="10">
        <v>373.08300000000003</v>
      </c>
      <c r="M3956" s="10">
        <v>5.5410000000000004</v>
      </c>
      <c r="N3956" s="10">
        <v>13.127000000000001</v>
      </c>
      <c r="O3956" s="10">
        <v>1.2909999999999999</v>
      </c>
      <c r="P3956" s="10">
        <v>1</v>
      </c>
      <c r="Q3956" s="10">
        <v>1</v>
      </c>
      <c r="R3956" s="10">
        <v>1</v>
      </c>
    </row>
    <row r="3957" spans="1:18" ht="29.5" customHeight="1" x14ac:dyDescent="0.15">
      <c r="A3957" s="11" t="s">
        <v>21317</v>
      </c>
      <c r="B3957" s="1" t="s">
        <v>21318</v>
      </c>
      <c r="C3957" s="11" t="s">
        <v>21319</v>
      </c>
      <c r="D3957" s="11" t="s">
        <v>21319</v>
      </c>
      <c r="E3957" s="11" t="s">
        <v>21320</v>
      </c>
      <c r="F3957" s="11" t="s">
        <v>21290</v>
      </c>
      <c r="G3957" s="11" t="s">
        <v>21316</v>
      </c>
      <c r="H3957" s="11" t="s">
        <v>21285</v>
      </c>
      <c r="I3957" s="11" t="str">
        <f>HYPERLINK("http://notforresale.it/","notforresale.it")</f>
        <v>notforresale.it</v>
      </c>
      <c r="J3957" s="12">
        <v>372.952</v>
      </c>
      <c r="K3957" s="14" t="s">
        <v>21217</v>
      </c>
      <c r="L3957" s="13">
        <v>372.952</v>
      </c>
      <c r="M3957" s="12">
        <v>-1.038</v>
      </c>
      <c r="N3957" s="14" t="s">
        <v>21217</v>
      </c>
      <c r="O3957" s="12">
        <v>-1.038</v>
      </c>
      <c r="P3957" s="12">
        <v>0</v>
      </c>
      <c r="Q3957" s="14" t="s">
        <v>21217</v>
      </c>
      <c r="R3957" s="12">
        <v>0</v>
      </c>
    </row>
    <row r="3958" spans="1:18" ht="29.5" customHeight="1" x14ac:dyDescent="0.15">
      <c r="A3958" s="8" t="s">
        <v>21321</v>
      </c>
      <c r="B3958" s="9" t="s">
        <v>21322</v>
      </c>
      <c r="C3958" s="8" t="s">
        <v>21323</v>
      </c>
      <c r="D3958" s="8" t="s">
        <v>21323</v>
      </c>
      <c r="E3958" s="8" t="s">
        <v>21324</v>
      </c>
      <c r="F3958" s="8" t="s">
        <v>21270</v>
      </c>
      <c r="G3958" s="8" t="s">
        <v>21325</v>
      </c>
      <c r="H3958" s="8" t="s">
        <v>21229</v>
      </c>
      <c r="I3958" s="8" t="str">
        <f>HYPERLINK("http://francesca-srl-societ-unipersonale-03645810122.quantofattura.com/","francesca-srl-societ-unipersonale-03645810122.quantofattura.com")</f>
        <v>francesca-srl-societ-unipersonale-03645810122.quantofattura.com</v>
      </c>
      <c r="J3958" s="10">
        <v>392.858</v>
      </c>
      <c r="K3958" s="10">
        <v>392.858</v>
      </c>
      <c r="L3958" s="10">
        <v>372.55700000000002</v>
      </c>
      <c r="M3958" s="10">
        <v>10.622999999999999</v>
      </c>
      <c r="N3958" s="10">
        <v>10.622999999999999</v>
      </c>
      <c r="O3958" s="10">
        <v>14.279</v>
      </c>
      <c r="P3958" s="15" t="s">
        <v>21217</v>
      </c>
      <c r="Q3958" s="15" t="s">
        <v>21217</v>
      </c>
      <c r="R3958" s="10">
        <v>6</v>
      </c>
    </row>
    <row r="3959" spans="1:18" ht="17" customHeight="1" x14ac:dyDescent="0.15">
      <c r="A3959" s="11" t="s">
        <v>21326</v>
      </c>
      <c r="B3959" s="1" t="s">
        <v>21327</v>
      </c>
      <c r="C3959" s="11" t="s">
        <v>21328</v>
      </c>
      <c r="D3959" s="11" t="s">
        <v>21328</v>
      </c>
      <c r="E3959" s="11" t="s">
        <v>21329</v>
      </c>
      <c r="F3959" s="11" t="s">
        <v>21264</v>
      </c>
      <c r="G3959" s="11" t="s">
        <v>21330</v>
      </c>
      <c r="H3959" s="11" t="s">
        <v>21331</v>
      </c>
      <c r="I3959" s="11" t="str">
        <f>HYPERLINK("http://www.naturaleather.it/","www.naturaleather.it")</f>
        <v>www.naturaleather.it</v>
      </c>
      <c r="J3959" s="12">
        <v>205.35400000000001</v>
      </c>
      <c r="K3959" s="12">
        <v>205.35400000000001</v>
      </c>
      <c r="L3959" s="13">
        <v>372.44900000000001</v>
      </c>
      <c r="M3959" s="12">
        <v>1.329</v>
      </c>
      <c r="N3959" s="12">
        <v>1.329</v>
      </c>
      <c r="O3959" s="12">
        <v>6.2770000000000001</v>
      </c>
      <c r="P3959" s="12">
        <v>0</v>
      </c>
      <c r="Q3959" s="12">
        <v>0</v>
      </c>
      <c r="R3959" s="12">
        <v>0</v>
      </c>
    </row>
    <row r="3960" spans="1:18" ht="17" customHeight="1" x14ac:dyDescent="0.15">
      <c r="A3960" s="8" t="s">
        <v>21332</v>
      </c>
      <c r="B3960" s="9" t="s">
        <v>21333</v>
      </c>
      <c r="C3960" s="8" t="s">
        <v>21334</v>
      </c>
      <c r="D3960" s="8" t="s">
        <v>21334</v>
      </c>
      <c r="E3960" s="8" t="s">
        <v>21335</v>
      </c>
      <c r="F3960" s="8" t="s">
        <v>21290</v>
      </c>
      <c r="G3960" s="8" t="s">
        <v>21250</v>
      </c>
      <c r="H3960" s="8" t="s">
        <v>21229</v>
      </c>
      <c r="I3960" s="8" t="str">
        <f>HYPERLINK("http://4uattro.com/","4uattro.com")</f>
        <v>4uattro.com</v>
      </c>
      <c r="J3960" s="10">
        <v>366.76</v>
      </c>
      <c r="K3960" s="10">
        <v>366.76</v>
      </c>
      <c r="L3960" s="10">
        <v>372.32299999999998</v>
      </c>
      <c r="M3960" s="10">
        <v>7.3209999999999997</v>
      </c>
      <c r="N3960" s="10">
        <v>7.3209999999999997</v>
      </c>
      <c r="O3960" s="10">
        <v>-10.071</v>
      </c>
      <c r="P3960" s="10">
        <v>1</v>
      </c>
      <c r="Q3960" s="10">
        <v>1</v>
      </c>
      <c r="R3960" s="10">
        <v>0</v>
      </c>
    </row>
    <row r="3961" spans="1:18" ht="17" customHeight="1" x14ac:dyDescent="0.15">
      <c r="A3961" s="11" t="s">
        <v>21336</v>
      </c>
      <c r="B3961" s="1" t="s">
        <v>21337</v>
      </c>
      <c r="C3961" s="11" t="s">
        <v>21338</v>
      </c>
      <c r="D3961" s="11" t="s">
        <v>21338</v>
      </c>
      <c r="E3961" s="11" t="s">
        <v>21339</v>
      </c>
      <c r="F3961" s="11" t="s">
        <v>21300</v>
      </c>
      <c r="G3961" s="11" t="s">
        <v>21265</v>
      </c>
      <c r="H3961" s="11" t="s">
        <v>21240</v>
      </c>
      <c r="I3961" s="11" t="str">
        <f>HYPERLINK("http://www.tacchificioanna.com/","www.tacchificioanna.com")</f>
        <v>www.tacchificioanna.com</v>
      </c>
      <c r="J3961" s="12">
        <v>394.70400000000001</v>
      </c>
      <c r="K3961" s="12">
        <v>394.70400000000001</v>
      </c>
      <c r="L3961" s="13">
        <v>372.21600000000001</v>
      </c>
      <c r="M3961" s="12">
        <v>3.6320000000000001</v>
      </c>
      <c r="N3961" s="12">
        <v>3.6320000000000001</v>
      </c>
      <c r="O3961" s="12">
        <v>3.6360000000000001</v>
      </c>
      <c r="P3961" s="12">
        <v>3</v>
      </c>
      <c r="Q3961" s="12">
        <v>3</v>
      </c>
      <c r="R3961" s="12">
        <v>3</v>
      </c>
    </row>
    <row r="3962" spans="1:18" ht="17" customHeight="1" x14ac:dyDescent="0.15">
      <c r="A3962" s="8" t="s">
        <v>21340</v>
      </c>
      <c r="B3962" s="9" t="s">
        <v>21341</v>
      </c>
      <c r="C3962" s="8" t="s">
        <v>21342</v>
      </c>
      <c r="D3962" s="8" t="s">
        <v>21342</v>
      </c>
      <c r="E3962" s="8" t="s">
        <v>21343</v>
      </c>
      <c r="F3962" s="8" t="s">
        <v>21214</v>
      </c>
      <c r="G3962" s="8" t="s">
        <v>21344</v>
      </c>
      <c r="H3962" s="8" t="s">
        <v>21345</v>
      </c>
      <c r="I3962" s="8" t="str">
        <f>HYPERLINK("http://www.gioelesrl.com/","www.gioelesrl.com")</f>
        <v>www.gioelesrl.com</v>
      </c>
      <c r="J3962" s="10">
        <v>527.83900000000006</v>
      </c>
      <c r="K3962" s="10">
        <v>527.83900000000006</v>
      </c>
      <c r="L3962" s="10">
        <v>371.863</v>
      </c>
      <c r="M3962" s="10">
        <v>19.605</v>
      </c>
      <c r="N3962" s="10">
        <v>19.605</v>
      </c>
      <c r="O3962" s="10">
        <v>14.26</v>
      </c>
      <c r="P3962" s="10">
        <v>2</v>
      </c>
      <c r="Q3962" s="10">
        <v>2</v>
      </c>
      <c r="R3962" s="10">
        <v>2</v>
      </c>
    </row>
    <row r="3963" spans="1:18" ht="17" customHeight="1" x14ac:dyDescent="0.15">
      <c r="A3963" s="11" t="s">
        <v>21346</v>
      </c>
      <c r="B3963" s="1" t="s">
        <v>21347</v>
      </c>
      <c r="C3963" s="11" t="s">
        <v>21348</v>
      </c>
      <c r="D3963" s="11" t="s">
        <v>21348</v>
      </c>
      <c r="E3963" s="11" t="s">
        <v>21349</v>
      </c>
      <c r="F3963" s="11" t="s">
        <v>21350</v>
      </c>
      <c r="G3963" s="11" t="s">
        <v>21271</v>
      </c>
      <c r="H3963" s="11" t="s">
        <v>21272</v>
      </c>
      <c r="I3963" s="11" t="str">
        <f>HYPERLINK("http://www.atelierannaferrillo.it/","www.atelierannaferrillo.it")</f>
        <v>www.atelierannaferrillo.it</v>
      </c>
      <c r="J3963" s="12">
        <v>428.471</v>
      </c>
      <c r="K3963" s="12">
        <v>428.471</v>
      </c>
      <c r="L3963" s="13">
        <v>371.053</v>
      </c>
      <c r="M3963" s="12">
        <v>3.649</v>
      </c>
      <c r="N3963" s="12">
        <v>3.649</v>
      </c>
      <c r="O3963" s="12">
        <v>8.7590000000000003</v>
      </c>
      <c r="P3963" s="12">
        <v>4</v>
      </c>
      <c r="Q3963" s="12">
        <v>4</v>
      </c>
      <c r="R3963" s="12">
        <v>3</v>
      </c>
    </row>
    <row r="3964" spans="1:18" ht="17" customHeight="1" x14ac:dyDescent="0.15">
      <c r="A3964" s="8" t="s">
        <v>21351</v>
      </c>
      <c r="B3964" s="9" t="s">
        <v>21352</v>
      </c>
      <c r="C3964" s="8" t="s">
        <v>21353</v>
      </c>
      <c r="D3964" s="8" t="s">
        <v>21353</v>
      </c>
      <c r="E3964" s="8" t="s">
        <v>21354</v>
      </c>
      <c r="F3964" s="8" t="s">
        <v>21214</v>
      </c>
      <c r="G3964" s="8" t="s">
        <v>21355</v>
      </c>
      <c r="H3964" s="8" t="s">
        <v>21345</v>
      </c>
      <c r="I3964" s="8" t="str">
        <f>HYPERLINK("http://www.maglificiosabrina.it/","www.maglificiosabrina.it")</f>
        <v>www.maglificiosabrina.it</v>
      </c>
      <c r="J3964" s="10">
        <v>406.99400000000003</v>
      </c>
      <c r="K3964" s="10">
        <v>406.99400000000003</v>
      </c>
      <c r="L3964" s="10">
        <v>370.90899999999999</v>
      </c>
      <c r="M3964" s="10">
        <v>2.7130000000000001</v>
      </c>
      <c r="N3964" s="10">
        <v>2.7130000000000001</v>
      </c>
      <c r="O3964" s="10">
        <v>1.3460000000000001</v>
      </c>
      <c r="P3964" s="10">
        <v>6</v>
      </c>
      <c r="Q3964" s="10">
        <v>6</v>
      </c>
      <c r="R3964" s="10">
        <v>6</v>
      </c>
    </row>
    <row r="3965" spans="1:18" ht="17" customHeight="1" x14ac:dyDescent="0.15">
      <c r="A3965" s="11" t="s">
        <v>21356</v>
      </c>
      <c r="B3965" s="1" t="s">
        <v>21357</v>
      </c>
      <c r="C3965" s="11" t="s">
        <v>21358</v>
      </c>
      <c r="D3965" s="11" t="s">
        <v>21358</v>
      </c>
      <c r="E3965" s="11" t="s">
        <v>21359</v>
      </c>
      <c r="F3965" s="11" t="s">
        <v>21222</v>
      </c>
      <c r="G3965" s="11" t="s">
        <v>21223</v>
      </c>
      <c r="H3965" s="11" t="s">
        <v>21216</v>
      </c>
      <c r="I3965" s="11" t="str">
        <f>HYPERLINK("http://yorkcalzature.net/","yorkcalzature.net")</f>
        <v>yorkcalzature.net</v>
      </c>
      <c r="J3965" s="12">
        <v>346.10700000000003</v>
      </c>
      <c r="K3965" s="12">
        <v>346.10700000000003</v>
      </c>
      <c r="L3965" s="13">
        <v>369.77300000000002</v>
      </c>
      <c r="M3965" s="12">
        <v>1.9279999999999999</v>
      </c>
      <c r="N3965" s="12">
        <v>1.9279999999999999</v>
      </c>
      <c r="O3965" s="12">
        <v>0.39</v>
      </c>
      <c r="P3965" s="14" t="s">
        <v>21217</v>
      </c>
      <c r="Q3965" s="14" t="s">
        <v>21217</v>
      </c>
      <c r="R3965" s="12">
        <v>5</v>
      </c>
    </row>
    <row r="3966" spans="1:18" ht="17" customHeight="1" x14ac:dyDescent="0.15">
      <c r="A3966" s="8" t="s">
        <v>21360</v>
      </c>
      <c r="B3966" s="9" t="s">
        <v>21361</v>
      </c>
      <c r="C3966" s="8" t="s">
        <v>21362</v>
      </c>
      <c r="D3966" s="8" t="s">
        <v>21362</v>
      </c>
      <c r="E3966" s="8" t="s">
        <v>21363</v>
      </c>
      <c r="F3966" s="8" t="s">
        <v>21214</v>
      </c>
      <c r="G3966" s="8" t="s">
        <v>21364</v>
      </c>
      <c r="H3966" s="8" t="s">
        <v>21345</v>
      </c>
      <c r="I3966" s="8" t="str">
        <f>HYPERLINK("http://www.sartigiani.it/","www.sartigiani.it")</f>
        <v>www.sartigiani.it</v>
      </c>
      <c r="J3966" s="10">
        <v>321.25400000000002</v>
      </c>
      <c r="K3966" s="10">
        <v>321.25400000000002</v>
      </c>
      <c r="L3966" s="10">
        <v>369.80099999999999</v>
      </c>
      <c r="M3966" s="10">
        <v>4.2069999999999999</v>
      </c>
      <c r="N3966" s="10">
        <v>4.2069999999999999</v>
      </c>
      <c r="O3966" s="10">
        <v>0.21</v>
      </c>
      <c r="P3966" s="15" t="s">
        <v>21217</v>
      </c>
      <c r="Q3966" s="15" t="s">
        <v>21217</v>
      </c>
      <c r="R3966" s="10">
        <v>12</v>
      </c>
    </row>
    <row r="3967" spans="1:18" ht="43" customHeight="1" x14ac:dyDescent="0.15">
      <c r="A3967" s="11" t="s">
        <v>21365</v>
      </c>
      <c r="B3967" s="1" t="s">
        <v>21366</v>
      </c>
      <c r="C3967" s="11" t="s">
        <v>21367</v>
      </c>
      <c r="D3967" s="11" t="s">
        <v>21367</v>
      </c>
      <c r="E3967" s="11" t="s">
        <v>21368</v>
      </c>
      <c r="F3967" s="11" t="s">
        <v>21222</v>
      </c>
      <c r="G3967" s="11" t="s">
        <v>21369</v>
      </c>
      <c r="H3967" s="11" t="s">
        <v>21370</v>
      </c>
      <c r="I3967" s="11" t="str">
        <f>HYPERLINK("http://www.caltavuturese.it/","www.caltavuturese.it")</f>
        <v>www.caltavuturese.it</v>
      </c>
      <c r="J3967" s="12">
        <v>600.495</v>
      </c>
      <c r="K3967" s="12">
        <v>600.495</v>
      </c>
      <c r="L3967" s="13">
        <v>369.70100000000002</v>
      </c>
      <c r="M3967" s="12">
        <v>20.481999999999999</v>
      </c>
      <c r="N3967" s="12">
        <v>20.481999999999999</v>
      </c>
      <c r="O3967" s="12">
        <v>-100.50700000000001</v>
      </c>
      <c r="P3967" s="12">
        <v>4</v>
      </c>
      <c r="Q3967" s="12">
        <v>4</v>
      </c>
      <c r="R3967" s="12">
        <v>5</v>
      </c>
    </row>
    <row r="3968" spans="1:18" ht="17" customHeight="1" x14ac:dyDescent="0.15">
      <c r="A3968" s="8" t="s">
        <v>21371</v>
      </c>
      <c r="B3968" s="9" t="s">
        <v>21372</v>
      </c>
      <c r="C3968" s="8" t="s">
        <v>21373</v>
      </c>
      <c r="D3968" s="8" t="s">
        <v>21373</v>
      </c>
      <c r="E3968" s="8" t="s">
        <v>21374</v>
      </c>
      <c r="F3968" s="8" t="s">
        <v>21207</v>
      </c>
      <c r="G3968" s="8" t="s">
        <v>21375</v>
      </c>
      <c r="H3968" s="8" t="s">
        <v>21370</v>
      </c>
      <c r="I3968" s="8" t="str">
        <f>HYPERLINK("http://www.ameliacasablanca.com/","www.ameliacasablanca.com")</f>
        <v>www.ameliacasablanca.com</v>
      </c>
      <c r="J3968" s="10">
        <v>317.26</v>
      </c>
      <c r="K3968" s="10">
        <v>317.26</v>
      </c>
      <c r="L3968" s="10">
        <v>369.53899999999999</v>
      </c>
      <c r="M3968" s="10">
        <v>-9.3510000000000009</v>
      </c>
      <c r="N3968" s="10">
        <v>-9.3510000000000009</v>
      </c>
      <c r="O3968" s="10">
        <v>0.31900000000000001</v>
      </c>
      <c r="P3968" s="15" t="s">
        <v>21217</v>
      </c>
      <c r="Q3968" s="15" t="s">
        <v>21217</v>
      </c>
      <c r="R3968" s="10">
        <v>7</v>
      </c>
    </row>
    <row r="3969" spans="1:18" ht="43" customHeight="1" x14ac:dyDescent="0.15">
      <c r="A3969" s="11" t="s">
        <v>21376</v>
      </c>
      <c r="B3969" s="1" t="s">
        <v>21377</v>
      </c>
      <c r="C3969" s="11" t="s">
        <v>21378</v>
      </c>
      <c r="D3969" s="11" t="s">
        <v>21378</v>
      </c>
      <c r="E3969" s="11" t="s">
        <v>21379</v>
      </c>
      <c r="F3969" s="11" t="s">
        <v>21380</v>
      </c>
      <c r="G3969" s="11" t="s">
        <v>21381</v>
      </c>
      <c r="H3969" s="11" t="s">
        <v>21382</v>
      </c>
      <c r="I3969" s="11" t="str">
        <f>HYPERLINK("http://www.almaramoda.it/","www.almaramoda.it")</f>
        <v>www.almaramoda.it</v>
      </c>
      <c r="J3969" s="12">
        <v>374.46100000000001</v>
      </c>
      <c r="K3969" s="12">
        <v>374.46100000000001</v>
      </c>
      <c r="L3969" s="13">
        <v>369.17</v>
      </c>
      <c r="M3969" s="12">
        <v>57.887</v>
      </c>
      <c r="N3969" s="12">
        <v>57.887</v>
      </c>
      <c r="O3969" s="12">
        <v>71.081999999999994</v>
      </c>
      <c r="P3969" s="12">
        <v>3</v>
      </c>
      <c r="Q3969" s="12">
        <v>3</v>
      </c>
      <c r="R3969" s="12">
        <v>9</v>
      </c>
    </row>
    <row r="3970" spans="1:18" ht="17" customHeight="1" x14ac:dyDescent="0.15">
      <c r="A3970" s="8" t="s">
        <v>21383</v>
      </c>
      <c r="B3970" s="9" t="s">
        <v>21384</v>
      </c>
      <c r="C3970" s="8" t="s">
        <v>21385</v>
      </c>
      <c r="D3970" s="8" t="s">
        <v>21385</v>
      </c>
      <c r="E3970" s="8" t="s">
        <v>21386</v>
      </c>
      <c r="F3970" s="8" t="s">
        <v>21387</v>
      </c>
      <c r="G3970" s="8" t="s">
        <v>21388</v>
      </c>
      <c r="H3970" s="8" t="s">
        <v>21389</v>
      </c>
      <c r="I3970" s="8" t="str">
        <f>HYPERLINK("http://esseti-service.com/","esseti-service.com")</f>
        <v>esseti-service.com</v>
      </c>
      <c r="J3970" s="10">
        <v>667.827</v>
      </c>
      <c r="K3970" s="10">
        <v>667.827</v>
      </c>
      <c r="L3970" s="10">
        <v>368.26</v>
      </c>
      <c r="M3970" s="10">
        <v>9.2899999999999991</v>
      </c>
      <c r="N3970" s="10">
        <v>9.2899999999999991</v>
      </c>
      <c r="O3970" s="10">
        <v>-531.65599999999995</v>
      </c>
      <c r="P3970" s="15" t="s">
        <v>21390</v>
      </c>
      <c r="Q3970" s="15" t="s">
        <v>21390</v>
      </c>
      <c r="R3970" s="10">
        <v>23</v>
      </c>
    </row>
    <row r="3971" spans="1:18" ht="17" customHeight="1" x14ac:dyDescent="0.15">
      <c r="A3971" s="11" t="s">
        <v>21391</v>
      </c>
      <c r="B3971" s="1" t="s">
        <v>21392</v>
      </c>
      <c r="C3971" s="11" t="s">
        <v>21393</v>
      </c>
      <c r="D3971" s="11" t="s">
        <v>21393</v>
      </c>
      <c r="E3971" s="11" t="s">
        <v>21394</v>
      </c>
      <c r="F3971" s="11" t="s">
        <v>21395</v>
      </c>
      <c r="G3971" s="11" t="s">
        <v>21396</v>
      </c>
      <c r="H3971" s="11" t="s">
        <v>21397</v>
      </c>
      <c r="I3971" s="11" t="str">
        <f>HYPERLINK("http://www.koitalia.it/","www.koitalia.it")</f>
        <v>www.koitalia.it</v>
      </c>
      <c r="J3971" s="12">
        <v>444.71300000000002</v>
      </c>
      <c r="K3971" s="12">
        <v>444.71300000000002</v>
      </c>
      <c r="L3971" s="13">
        <v>368.28300000000002</v>
      </c>
      <c r="M3971" s="12">
        <v>18.103000000000002</v>
      </c>
      <c r="N3971" s="12">
        <v>18.103000000000002</v>
      </c>
      <c r="O3971" s="12">
        <v>14.638</v>
      </c>
      <c r="P3971" s="12">
        <v>6</v>
      </c>
      <c r="Q3971" s="12">
        <v>6</v>
      </c>
      <c r="R3971" s="12">
        <v>9</v>
      </c>
    </row>
    <row r="3972" spans="1:18" ht="17" customHeight="1" x14ac:dyDescent="0.15">
      <c r="A3972" s="8" t="s">
        <v>21398</v>
      </c>
      <c r="B3972" s="9" t="s">
        <v>21399</v>
      </c>
      <c r="C3972" s="8" t="s">
        <v>21400</v>
      </c>
      <c r="D3972" s="8" t="s">
        <v>21400</v>
      </c>
      <c r="E3972" s="8" t="s">
        <v>21401</v>
      </c>
      <c r="F3972" s="8" t="s">
        <v>21402</v>
      </c>
      <c r="G3972" s="8" t="s">
        <v>21403</v>
      </c>
      <c r="H3972" s="8" t="s">
        <v>21404</v>
      </c>
      <c r="I3972" s="8" t="str">
        <f>HYPERLINK("http://tabaronicashmere.com/","tabaronicashmere.com")</f>
        <v>tabaronicashmere.com</v>
      </c>
      <c r="J3972" s="10">
        <v>438.17399999999998</v>
      </c>
      <c r="K3972" s="10">
        <v>438.17399999999998</v>
      </c>
      <c r="L3972" s="10">
        <v>368.10199999999998</v>
      </c>
      <c r="M3972" s="10">
        <v>-47.198</v>
      </c>
      <c r="N3972" s="10">
        <v>-47.198</v>
      </c>
      <c r="O3972" s="10">
        <v>4.2869999999999999</v>
      </c>
      <c r="P3972" s="10">
        <v>0</v>
      </c>
      <c r="Q3972" s="10">
        <v>0</v>
      </c>
      <c r="R3972" s="10">
        <v>0</v>
      </c>
    </row>
    <row r="3973" spans="1:18" ht="43" customHeight="1" x14ac:dyDescent="0.15">
      <c r="A3973" s="11" t="s">
        <v>21405</v>
      </c>
      <c r="B3973" s="1" t="s">
        <v>21406</v>
      </c>
      <c r="C3973" s="11" t="s">
        <v>21407</v>
      </c>
      <c r="D3973" s="11" t="s">
        <v>21407</v>
      </c>
      <c r="E3973" s="11" t="s">
        <v>21408</v>
      </c>
      <c r="F3973" s="11" t="s">
        <v>21409</v>
      </c>
      <c r="G3973" s="11" t="s">
        <v>21396</v>
      </c>
      <c r="H3973" s="11" t="s">
        <v>21397</v>
      </c>
      <c r="I3973" s="11" t="str">
        <f>HYPERLINK("http://maglificiomottola.it/","maglificiomottola.it")</f>
        <v>maglificiomottola.it</v>
      </c>
      <c r="J3973" s="12">
        <v>367.916</v>
      </c>
      <c r="K3973" s="14" t="s">
        <v>21390</v>
      </c>
      <c r="L3973" s="13">
        <v>367.916</v>
      </c>
      <c r="M3973" s="12">
        <v>16.608000000000001</v>
      </c>
      <c r="N3973" s="14" t="s">
        <v>21390</v>
      </c>
      <c r="O3973" s="12">
        <v>16.608000000000001</v>
      </c>
      <c r="P3973" s="12">
        <v>11</v>
      </c>
      <c r="Q3973" s="14" t="s">
        <v>21390</v>
      </c>
      <c r="R3973" s="12">
        <v>11</v>
      </c>
    </row>
    <row r="3974" spans="1:18" ht="17" customHeight="1" x14ac:dyDescent="0.15">
      <c r="A3974" s="8" t="s">
        <v>21410</v>
      </c>
      <c r="B3974" s="9" t="s">
        <v>21411</v>
      </c>
      <c r="C3974" s="8" t="s">
        <v>21412</v>
      </c>
      <c r="D3974" s="8" t="s">
        <v>21412</v>
      </c>
      <c r="E3974" s="8" t="s">
        <v>21413</v>
      </c>
      <c r="F3974" s="8" t="s">
        <v>21387</v>
      </c>
      <c r="G3974" s="8" t="s">
        <v>21388</v>
      </c>
      <c r="H3974" s="8" t="s">
        <v>21389</v>
      </c>
      <c r="I3974" s="8" t="str">
        <f>HYPERLINK("http://wandasdress.it/","wandasdress.it")</f>
        <v>wandasdress.it</v>
      </c>
      <c r="J3974" s="10">
        <v>461.61099999999999</v>
      </c>
      <c r="K3974" s="10">
        <v>461.61099999999999</v>
      </c>
      <c r="L3974" s="10">
        <v>367.46</v>
      </c>
      <c r="M3974" s="10">
        <v>7.9589999999999996</v>
      </c>
      <c r="N3974" s="10">
        <v>7.9589999999999996</v>
      </c>
      <c r="O3974" s="10">
        <v>1.3069999999999999</v>
      </c>
      <c r="P3974" s="10">
        <v>4</v>
      </c>
      <c r="Q3974" s="10">
        <v>4</v>
      </c>
      <c r="R3974" s="10">
        <v>7</v>
      </c>
    </row>
    <row r="3975" spans="1:18" ht="43" customHeight="1" x14ac:dyDescent="0.15">
      <c r="A3975" s="11" t="s">
        <v>21414</v>
      </c>
      <c r="B3975" s="1" t="s">
        <v>21415</v>
      </c>
      <c r="C3975" s="11" t="s">
        <v>21416</v>
      </c>
      <c r="D3975" s="11" t="s">
        <v>21416</v>
      </c>
      <c r="E3975" s="11" t="s">
        <v>21417</v>
      </c>
      <c r="F3975" s="11" t="s">
        <v>21409</v>
      </c>
      <c r="G3975" s="11" t="s">
        <v>21418</v>
      </c>
      <c r="H3975" s="11" t="s">
        <v>21389</v>
      </c>
      <c r="I3975" s="11" t="str">
        <f>HYPERLINK("http://maria-lampo-societa-a-responsabilita-limitata-03876380654.quantofattura.com/","maria-lampo-societa-a-responsabilita-limitata-03876380654.quantofattura.com")</f>
        <v>maria-lampo-societa-a-responsabilita-limitata-03876380654.quantofattura.com</v>
      </c>
      <c r="J3975" s="12">
        <v>580.46100000000001</v>
      </c>
      <c r="K3975" s="12">
        <v>580.46100000000001</v>
      </c>
      <c r="L3975" s="13">
        <v>365.55</v>
      </c>
      <c r="M3975" s="12">
        <v>152.36199999999999</v>
      </c>
      <c r="N3975" s="12">
        <v>152.36199999999999</v>
      </c>
      <c r="O3975" s="12">
        <v>61.948999999999998</v>
      </c>
      <c r="P3975" s="12">
        <v>4</v>
      </c>
      <c r="Q3975" s="12">
        <v>4</v>
      </c>
      <c r="R3975" s="12">
        <v>3</v>
      </c>
    </row>
    <row r="3976" spans="1:18" ht="43" customHeight="1" x14ac:dyDescent="0.15">
      <c r="A3976" s="8" t="s">
        <v>21419</v>
      </c>
      <c r="B3976" s="9" t="s">
        <v>21420</v>
      </c>
      <c r="C3976" s="8" t="s">
        <v>21421</v>
      </c>
      <c r="D3976" s="8" t="s">
        <v>21421</v>
      </c>
      <c r="E3976" s="8" t="s">
        <v>21422</v>
      </c>
      <c r="F3976" s="8" t="s">
        <v>21423</v>
      </c>
      <c r="G3976" s="8" t="s">
        <v>21424</v>
      </c>
      <c r="H3976" s="8" t="s">
        <v>21425</v>
      </c>
      <c r="I3976" s="8" t="str">
        <f>HYPERLINK("http://www.alexanderstone.it/","www.alexanderstone.it")</f>
        <v>www.alexanderstone.it</v>
      </c>
      <c r="J3976" s="10">
        <v>375.54599999999999</v>
      </c>
      <c r="K3976" s="10">
        <v>375.54599999999999</v>
      </c>
      <c r="L3976" s="10">
        <v>365.52699999999999</v>
      </c>
      <c r="M3976" s="10">
        <v>0.21099999999999999</v>
      </c>
      <c r="N3976" s="10">
        <v>0.21099999999999999</v>
      </c>
      <c r="O3976" s="10">
        <v>4.0940000000000003</v>
      </c>
      <c r="P3976" s="10">
        <v>7</v>
      </c>
      <c r="Q3976" s="10">
        <v>7</v>
      </c>
      <c r="R3976" s="10">
        <v>2</v>
      </c>
    </row>
    <row r="3977" spans="1:18" ht="17" customHeight="1" x14ac:dyDescent="0.15">
      <c r="A3977" s="11" t="s">
        <v>21426</v>
      </c>
      <c r="B3977" s="1" t="s">
        <v>21427</v>
      </c>
      <c r="C3977" s="11" t="s">
        <v>21428</v>
      </c>
      <c r="D3977" s="11" t="s">
        <v>21428</v>
      </c>
      <c r="E3977" s="11" t="s">
        <v>21429</v>
      </c>
      <c r="F3977" s="11" t="s">
        <v>21387</v>
      </c>
      <c r="G3977" s="11" t="s">
        <v>21430</v>
      </c>
      <c r="H3977" s="11" t="s">
        <v>21425</v>
      </c>
      <c r="I3977" s="11" t="str">
        <f>HYPERLINK("http://www.emiliodeluca.com/","www.emiliodeluca.com")</f>
        <v>www.emiliodeluca.com</v>
      </c>
      <c r="J3977" s="12">
        <v>2952.433</v>
      </c>
      <c r="K3977" s="12">
        <v>1331.758</v>
      </c>
      <c r="L3977" s="13">
        <v>364.98399999999998</v>
      </c>
      <c r="M3977" s="12">
        <v>294.71499999999997</v>
      </c>
      <c r="N3977" s="12">
        <v>240.46899999999999</v>
      </c>
      <c r="O3977" s="12">
        <v>74.426000000000002</v>
      </c>
      <c r="P3977" s="14" t="s">
        <v>21390</v>
      </c>
      <c r="Q3977" s="14" t="s">
        <v>21390</v>
      </c>
      <c r="R3977" s="12">
        <v>3</v>
      </c>
    </row>
    <row r="3978" spans="1:18" ht="17" customHeight="1" x14ac:dyDescent="0.15">
      <c r="A3978" s="8" t="s">
        <v>21431</v>
      </c>
      <c r="B3978" s="9" t="s">
        <v>21432</v>
      </c>
      <c r="C3978" s="8" t="s">
        <v>21433</v>
      </c>
      <c r="D3978" s="8" t="s">
        <v>21433</v>
      </c>
      <c r="E3978" s="8" t="s">
        <v>21434</v>
      </c>
      <c r="F3978" s="8" t="s">
        <v>21380</v>
      </c>
      <c r="G3978" s="8" t="s">
        <v>21435</v>
      </c>
      <c r="H3978" s="8" t="s">
        <v>21436</v>
      </c>
      <c r="I3978" s="8" t="str">
        <f>HYPERLINK("http://www.confezioni3torri.com/","www.confezioni3torri.com")</f>
        <v>www.confezioni3torri.com</v>
      </c>
      <c r="J3978" s="10">
        <v>356.423</v>
      </c>
      <c r="K3978" s="10">
        <v>356.423</v>
      </c>
      <c r="L3978" s="10">
        <v>364.55900000000003</v>
      </c>
      <c r="M3978" s="10">
        <v>2.86</v>
      </c>
      <c r="N3978" s="10">
        <v>2.86</v>
      </c>
      <c r="O3978" s="10">
        <v>0.89900000000000002</v>
      </c>
      <c r="P3978" s="10">
        <v>0</v>
      </c>
      <c r="Q3978" s="10">
        <v>0</v>
      </c>
      <c r="R3978" s="10">
        <v>0</v>
      </c>
    </row>
    <row r="3979" spans="1:18" ht="29.5" customHeight="1" x14ac:dyDescent="0.15">
      <c r="A3979" s="11" t="s">
        <v>21437</v>
      </c>
      <c r="B3979" s="1" t="s">
        <v>21438</v>
      </c>
      <c r="C3979" s="11" t="s">
        <v>21439</v>
      </c>
      <c r="D3979" s="11" t="s">
        <v>21439</v>
      </c>
      <c r="E3979" s="11" t="s">
        <v>21440</v>
      </c>
      <c r="F3979" s="11" t="s">
        <v>21423</v>
      </c>
      <c r="G3979" s="11" t="s">
        <v>21403</v>
      </c>
      <c r="H3979" s="11" t="s">
        <v>21404</v>
      </c>
      <c r="I3979" s="11" t="str">
        <f>HYPERLINK("http://www.migor.it/","www.migor.it")</f>
        <v>www.migor.it</v>
      </c>
      <c r="J3979" s="12">
        <v>0</v>
      </c>
      <c r="K3979" s="12">
        <v>0</v>
      </c>
      <c r="L3979" s="13">
        <v>363.53100000000001</v>
      </c>
      <c r="M3979" s="12">
        <v>3407.8159999999998</v>
      </c>
      <c r="N3979" s="12">
        <v>3407.8159999999998</v>
      </c>
      <c r="O3979" s="12">
        <v>-1066.0899999999999</v>
      </c>
      <c r="P3979" s="14" t="s">
        <v>21390</v>
      </c>
      <c r="Q3979" s="14" t="s">
        <v>21390</v>
      </c>
      <c r="R3979" s="12">
        <v>30</v>
      </c>
    </row>
    <row r="3980" spans="1:18" ht="17" customHeight="1" x14ac:dyDescent="0.15">
      <c r="A3980" s="8" t="s">
        <v>21441</v>
      </c>
      <c r="B3980" s="9" t="s">
        <v>21442</v>
      </c>
      <c r="C3980" s="8" t="s">
        <v>21443</v>
      </c>
      <c r="D3980" s="8" t="s">
        <v>21443</v>
      </c>
      <c r="E3980" s="8" t="s">
        <v>21444</v>
      </c>
      <c r="F3980" s="8" t="s">
        <v>21445</v>
      </c>
      <c r="G3980" s="8" t="s">
        <v>21446</v>
      </c>
      <c r="H3980" s="8" t="s">
        <v>21447</v>
      </c>
      <c r="I3980" s="8" t="str">
        <f>HYPERLINK("http://desantisalvarez.com/","desantisalvarez.com")</f>
        <v>desantisalvarez.com</v>
      </c>
      <c r="J3980" s="10">
        <v>421.73599999999999</v>
      </c>
      <c r="K3980" s="10">
        <v>421.73599999999999</v>
      </c>
      <c r="L3980" s="10">
        <v>363.34100000000001</v>
      </c>
      <c r="M3980" s="10">
        <v>-33.603999999999999</v>
      </c>
      <c r="N3980" s="10">
        <v>-33.603999999999999</v>
      </c>
      <c r="O3980" s="10">
        <v>4.202</v>
      </c>
      <c r="P3980" s="10">
        <v>7</v>
      </c>
      <c r="Q3980" s="10">
        <v>7</v>
      </c>
      <c r="R3980" s="10">
        <v>7</v>
      </c>
    </row>
    <row r="3981" spans="1:18" ht="29.5" customHeight="1" x14ac:dyDescent="0.15">
      <c r="A3981" s="11" t="s">
        <v>21448</v>
      </c>
      <c r="B3981" s="1" t="s">
        <v>21449</v>
      </c>
      <c r="C3981" s="11" t="s">
        <v>21450</v>
      </c>
      <c r="D3981" s="11" t="s">
        <v>21450</v>
      </c>
      <c r="E3981" s="11" t="s">
        <v>21451</v>
      </c>
      <c r="F3981" s="11" t="s">
        <v>21387</v>
      </c>
      <c r="G3981" s="11" t="s">
        <v>21452</v>
      </c>
      <c r="H3981" s="11" t="s">
        <v>21447</v>
      </c>
      <c r="I3981" s="11" t="str">
        <f>HYPERLINK("http://andresromo.it/","andresromo.it")</f>
        <v>andresromo.it</v>
      </c>
      <c r="J3981" s="12">
        <v>317.01400000000001</v>
      </c>
      <c r="K3981" s="12">
        <v>317.01400000000001</v>
      </c>
      <c r="L3981" s="13">
        <v>363.26</v>
      </c>
      <c r="M3981" s="12">
        <v>8.3309999999999995</v>
      </c>
      <c r="N3981" s="12">
        <v>8.3309999999999995</v>
      </c>
      <c r="O3981" s="12">
        <v>7.9969999999999999</v>
      </c>
      <c r="P3981" s="14" t="s">
        <v>21390</v>
      </c>
      <c r="Q3981" s="14" t="s">
        <v>21390</v>
      </c>
      <c r="R3981" s="12">
        <v>8</v>
      </c>
    </row>
    <row r="3982" spans="1:18" ht="17" customHeight="1" x14ac:dyDescent="0.15">
      <c r="A3982" s="8" t="s">
        <v>21453</v>
      </c>
      <c r="B3982" s="9" t="s">
        <v>21454</v>
      </c>
      <c r="C3982" s="8" t="s">
        <v>21455</v>
      </c>
      <c r="D3982" s="8" t="s">
        <v>21455</v>
      </c>
      <c r="E3982" s="8" t="s">
        <v>21456</v>
      </c>
      <c r="F3982" s="8" t="s">
        <v>21457</v>
      </c>
      <c r="G3982" s="8" t="s">
        <v>21458</v>
      </c>
      <c r="H3982" s="8" t="s">
        <v>21436</v>
      </c>
      <c r="I3982" s="8" t="str">
        <f>HYPERLINK("http://latinifashion.com/","latinifashion.com")</f>
        <v>latinifashion.com</v>
      </c>
      <c r="J3982" s="10">
        <v>610.88</v>
      </c>
      <c r="K3982" s="10">
        <v>610.88</v>
      </c>
      <c r="L3982" s="10">
        <v>362.97800000000001</v>
      </c>
      <c r="M3982" s="10">
        <v>3.3159999999999998</v>
      </c>
      <c r="N3982" s="10">
        <v>3.3159999999999998</v>
      </c>
      <c r="O3982" s="10">
        <v>8.9700000000000006</v>
      </c>
      <c r="P3982" s="10">
        <v>8</v>
      </c>
      <c r="Q3982" s="10">
        <v>8</v>
      </c>
      <c r="R3982" s="10">
        <v>5</v>
      </c>
    </row>
    <row r="3983" spans="1:18" ht="43" customHeight="1" x14ac:dyDescent="0.15">
      <c r="A3983" s="11" t="s">
        <v>21459</v>
      </c>
      <c r="B3983" s="1" t="s">
        <v>21460</v>
      </c>
      <c r="C3983" s="11" t="s">
        <v>21461</v>
      </c>
      <c r="D3983" s="11" t="s">
        <v>21461</v>
      </c>
      <c r="E3983" s="11" t="s">
        <v>21462</v>
      </c>
      <c r="F3983" s="11" t="s">
        <v>21387</v>
      </c>
      <c r="G3983" s="11" t="s">
        <v>21430</v>
      </c>
      <c r="H3983" s="11" t="s">
        <v>21425</v>
      </c>
      <c r="I3983" s="11" t="str">
        <f>HYPERLINK("http://www.scalella.it/","www.scalella.it")</f>
        <v>www.scalella.it</v>
      </c>
      <c r="J3983" s="12">
        <v>353.52499999999998</v>
      </c>
      <c r="K3983" s="12">
        <v>353.52499999999998</v>
      </c>
      <c r="L3983" s="13">
        <v>362.14400000000001</v>
      </c>
      <c r="M3983" s="12">
        <v>18.72</v>
      </c>
      <c r="N3983" s="12">
        <v>18.72</v>
      </c>
      <c r="O3983" s="12">
        <v>2.097</v>
      </c>
      <c r="P3983" s="14" t="s">
        <v>21390</v>
      </c>
      <c r="Q3983" s="14" t="s">
        <v>21390</v>
      </c>
      <c r="R3983" s="12">
        <v>2</v>
      </c>
    </row>
    <row r="3984" spans="1:18" ht="17" customHeight="1" x14ac:dyDescent="0.15">
      <c r="A3984" s="8" t="s">
        <v>21463</v>
      </c>
      <c r="B3984" s="9" t="s">
        <v>21464</v>
      </c>
      <c r="C3984" s="8" t="s">
        <v>21465</v>
      </c>
      <c r="D3984" s="8" t="s">
        <v>21465</v>
      </c>
      <c r="E3984" s="8" t="s">
        <v>21466</v>
      </c>
      <c r="F3984" s="8" t="s">
        <v>21402</v>
      </c>
      <c r="G3984" s="8" t="s">
        <v>21467</v>
      </c>
      <c r="H3984" s="8" t="s">
        <v>21404</v>
      </c>
      <c r="I3984" s="8" t="str">
        <f>HYPERLINK("http://puntomaglia.it/","puntomaglia.it")</f>
        <v>puntomaglia.it</v>
      </c>
      <c r="J3984" s="10">
        <v>302.67700000000002</v>
      </c>
      <c r="K3984" s="10">
        <v>302.67700000000002</v>
      </c>
      <c r="L3984" s="10">
        <v>361.22399999999999</v>
      </c>
      <c r="M3984" s="10">
        <v>89.581999999999994</v>
      </c>
      <c r="N3984" s="10">
        <v>89.581999999999994</v>
      </c>
      <c r="O3984" s="10">
        <v>141.53200000000001</v>
      </c>
      <c r="P3984" s="10">
        <v>0</v>
      </c>
      <c r="Q3984" s="10">
        <v>0</v>
      </c>
      <c r="R3984" s="10">
        <v>0</v>
      </c>
    </row>
    <row r="3985" spans="1:18" ht="17" customHeight="1" x14ac:dyDescent="0.15">
      <c r="A3985" s="11" t="s">
        <v>21468</v>
      </c>
      <c r="B3985" s="1" t="s">
        <v>21469</v>
      </c>
      <c r="C3985" s="11" t="s">
        <v>21470</v>
      </c>
      <c r="D3985" s="11" t="s">
        <v>21470</v>
      </c>
      <c r="E3985" s="11" t="s">
        <v>21471</v>
      </c>
      <c r="F3985" s="11" t="s">
        <v>21472</v>
      </c>
      <c r="G3985" s="11" t="s">
        <v>21473</v>
      </c>
      <c r="H3985" s="11" t="s">
        <v>21474</v>
      </c>
      <c r="I3985" s="11" t="str">
        <f>HYPERLINK("http://www.blitzincisioni.com/","www.blitzincisioni.com")</f>
        <v>www.blitzincisioni.com</v>
      </c>
      <c r="J3985" s="12">
        <v>335.31299999999999</v>
      </c>
      <c r="K3985" s="12">
        <v>335.31299999999999</v>
      </c>
      <c r="L3985" s="13">
        <v>361.09199999999998</v>
      </c>
      <c r="M3985" s="12">
        <v>-19.815999999999999</v>
      </c>
      <c r="N3985" s="12">
        <v>-19.815999999999999</v>
      </c>
      <c r="O3985" s="12">
        <v>-22.24</v>
      </c>
      <c r="P3985" s="12">
        <v>5</v>
      </c>
      <c r="Q3985" s="12">
        <v>5</v>
      </c>
      <c r="R3985" s="12">
        <v>6</v>
      </c>
    </row>
    <row r="3986" spans="1:18" ht="17" customHeight="1" x14ac:dyDescent="0.15">
      <c r="A3986" s="8" t="s">
        <v>21475</v>
      </c>
      <c r="B3986" s="9" t="s">
        <v>21476</v>
      </c>
      <c r="C3986" s="8" t="s">
        <v>21477</v>
      </c>
      <c r="D3986" s="8" t="s">
        <v>21477</v>
      </c>
      <c r="E3986" s="8" t="s">
        <v>21478</v>
      </c>
      <c r="F3986" s="8" t="s">
        <v>21479</v>
      </c>
      <c r="G3986" s="8" t="s">
        <v>21473</v>
      </c>
      <c r="H3986" s="8" t="s">
        <v>21474</v>
      </c>
      <c r="I3986" s="8" t="str">
        <f>HYPERLINK("http://www.apunis.it/","www.apunis.it")</f>
        <v>www.apunis.it</v>
      </c>
      <c r="J3986" s="10">
        <v>162.14599999999999</v>
      </c>
      <c r="K3986" s="10">
        <v>162.14599999999999</v>
      </c>
      <c r="L3986" s="10">
        <v>361.08100000000002</v>
      </c>
      <c r="M3986" s="10">
        <v>10.372999999999999</v>
      </c>
      <c r="N3986" s="10">
        <v>10.372999999999999</v>
      </c>
      <c r="O3986" s="10">
        <v>-153.33799999999999</v>
      </c>
      <c r="P3986" s="10">
        <v>1</v>
      </c>
      <c r="Q3986" s="10">
        <v>1</v>
      </c>
      <c r="R3986" s="10">
        <v>6</v>
      </c>
    </row>
    <row r="3987" spans="1:18" ht="43" customHeight="1" x14ac:dyDescent="0.15">
      <c r="A3987" s="11" t="s">
        <v>21480</v>
      </c>
      <c r="B3987" s="1" t="s">
        <v>21481</v>
      </c>
      <c r="C3987" s="11" t="s">
        <v>21482</v>
      </c>
      <c r="D3987" s="11" t="s">
        <v>21482</v>
      </c>
      <c r="E3987" s="11" t="s">
        <v>21483</v>
      </c>
      <c r="F3987" s="11" t="s">
        <v>21409</v>
      </c>
      <c r="G3987" s="11" t="s">
        <v>21452</v>
      </c>
      <c r="H3987" s="11" t="s">
        <v>21447</v>
      </c>
      <c r="I3987" s="11" t="str">
        <f>HYPERLINK("http://dionisos.it/","dionisos.it")</f>
        <v>dionisos.it</v>
      </c>
      <c r="J3987" s="12">
        <v>355.25599999999997</v>
      </c>
      <c r="K3987" s="12">
        <v>355.25599999999997</v>
      </c>
      <c r="L3987" s="13">
        <v>360.97199999999998</v>
      </c>
      <c r="M3987" s="12">
        <v>7.0620000000000003</v>
      </c>
      <c r="N3987" s="12">
        <v>7.0620000000000003</v>
      </c>
      <c r="O3987" s="12">
        <v>4.3010000000000002</v>
      </c>
      <c r="P3987" s="12">
        <v>5</v>
      </c>
      <c r="Q3987" s="12">
        <v>5</v>
      </c>
      <c r="R3987" s="12">
        <v>4</v>
      </c>
    </row>
    <row r="3988" spans="1:18" ht="17" customHeight="1" x14ac:dyDescent="0.15">
      <c r="A3988" s="8" t="s">
        <v>21484</v>
      </c>
      <c r="B3988" s="9" t="s">
        <v>21485</v>
      </c>
      <c r="C3988" s="8" t="s">
        <v>21486</v>
      </c>
      <c r="D3988" s="8" t="s">
        <v>21486</v>
      </c>
      <c r="E3988" s="8" t="s">
        <v>21487</v>
      </c>
      <c r="F3988" s="8" t="s">
        <v>21380</v>
      </c>
      <c r="G3988" s="8" t="s">
        <v>21396</v>
      </c>
      <c r="H3988" s="8" t="s">
        <v>21397</v>
      </c>
      <c r="I3988" s="8" t="str">
        <f>HYPERLINK("http://www.mysecretsposa.it/","www.mysecretsposa.it")</f>
        <v>www.mysecretsposa.it</v>
      </c>
      <c r="J3988" s="10">
        <v>370.18200000000002</v>
      </c>
      <c r="K3988" s="10">
        <v>370.18200000000002</v>
      </c>
      <c r="L3988" s="10">
        <v>360.738</v>
      </c>
      <c r="M3988" s="10">
        <v>48.066000000000003</v>
      </c>
      <c r="N3988" s="10">
        <v>48.066000000000003</v>
      </c>
      <c r="O3988" s="10">
        <v>102.023</v>
      </c>
      <c r="P3988" s="10">
        <v>3</v>
      </c>
      <c r="Q3988" s="10">
        <v>3</v>
      </c>
      <c r="R3988" s="10">
        <v>4</v>
      </c>
    </row>
    <row r="3989" spans="1:18" ht="17" customHeight="1" x14ac:dyDescent="0.15">
      <c r="A3989" s="11" t="s">
        <v>21488</v>
      </c>
      <c r="B3989" s="1" t="s">
        <v>21489</v>
      </c>
      <c r="C3989" s="11" t="s">
        <v>21490</v>
      </c>
      <c r="D3989" s="11" t="s">
        <v>21490</v>
      </c>
      <c r="E3989" s="11" t="s">
        <v>21491</v>
      </c>
      <c r="F3989" s="11" t="s">
        <v>21402</v>
      </c>
      <c r="G3989" s="11" t="s">
        <v>21492</v>
      </c>
      <c r="H3989" s="11" t="s">
        <v>21382</v>
      </c>
      <c r="I3989" s="11" t="str">
        <f>HYPERLINK("http://www.maglificiomiccoli.it/","www.maglificiomiccoli.it")</f>
        <v>www.maglificiomiccoli.it</v>
      </c>
      <c r="J3989" s="12">
        <v>355.81599999999997</v>
      </c>
      <c r="K3989" s="12">
        <v>355.81599999999997</v>
      </c>
      <c r="L3989" s="13">
        <v>359.98899999999998</v>
      </c>
      <c r="M3989" s="12">
        <v>9.3379999999999992</v>
      </c>
      <c r="N3989" s="12">
        <v>9.3379999999999992</v>
      </c>
      <c r="O3989" s="12">
        <v>13.834</v>
      </c>
      <c r="P3989" s="12">
        <v>3</v>
      </c>
      <c r="Q3989" s="12">
        <v>3</v>
      </c>
      <c r="R3989" s="12">
        <v>3</v>
      </c>
    </row>
    <row r="3990" spans="1:18" ht="17" customHeight="1" x14ac:dyDescent="0.15">
      <c r="A3990" s="8" t="s">
        <v>21493</v>
      </c>
      <c r="B3990" s="9" t="s">
        <v>21494</v>
      </c>
      <c r="C3990" s="8" t="s">
        <v>21495</v>
      </c>
      <c r="D3990" s="8" t="s">
        <v>21495</v>
      </c>
      <c r="E3990" s="8" t="s">
        <v>21496</v>
      </c>
      <c r="F3990" s="8" t="s">
        <v>21497</v>
      </c>
      <c r="G3990" s="8" t="s">
        <v>21498</v>
      </c>
      <c r="H3990" s="8" t="s">
        <v>21499</v>
      </c>
      <c r="I3990" s="8" t="str">
        <f>HYPERLINK("http://www.hags.it/","www.hags.it")</f>
        <v>www.hags.it</v>
      </c>
      <c r="J3990" s="10">
        <v>432.334</v>
      </c>
      <c r="K3990" s="10">
        <v>432.334</v>
      </c>
      <c r="L3990" s="10">
        <v>359.00799999999998</v>
      </c>
      <c r="M3990" s="10">
        <v>3.6680000000000001</v>
      </c>
      <c r="N3990" s="10">
        <v>3.6680000000000001</v>
      </c>
      <c r="O3990" s="10">
        <v>8.4789999999999992</v>
      </c>
      <c r="P3990" s="10">
        <v>1</v>
      </c>
      <c r="Q3990" s="10">
        <v>1</v>
      </c>
      <c r="R3990" s="10">
        <v>1</v>
      </c>
    </row>
    <row r="3991" spans="1:18" ht="17" customHeight="1" x14ac:dyDescent="0.15">
      <c r="A3991" s="11" t="s">
        <v>21500</v>
      </c>
      <c r="B3991" s="1" t="s">
        <v>21501</v>
      </c>
      <c r="C3991" s="11" t="s">
        <v>21502</v>
      </c>
      <c r="D3991" s="11" t="s">
        <v>21502</v>
      </c>
      <c r="E3991" s="11" t="s">
        <v>21503</v>
      </c>
      <c r="F3991" s="11" t="s">
        <v>21423</v>
      </c>
      <c r="G3991" s="11" t="s">
        <v>21504</v>
      </c>
      <c r="H3991" s="11" t="s">
        <v>21447</v>
      </c>
      <c r="I3991" s="11" t="str">
        <f>HYPERLINK("http://www.erosveneziani.it/","www.erosveneziani.it")</f>
        <v>www.erosveneziani.it</v>
      </c>
      <c r="J3991" s="12">
        <v>424.57499999999999</v>
      </c>
      <c r="K3991" s="12">
        <v>424.57499999999999</v>
      </c>
      <c r="L3991" s="13">
        <v>358.72</v>
      </c>
      <c r="M3991" s="12">
        <v>-4.5439999999999996</v>
      </c>
      <c r="N3991" s="12">
        <v>-4.5439999999999996</v>
      </c>
      <c r="O3991" s="12">
        <v>-1.006</v>
      </c>
      <c r="P3991" s="12">
        <v>8</v>
      </c>
      <c r="Q3991" s="12">
        <v>8</v>
      </c>
      <c r="R3991" s="12">
        <v>8</v>
      </c>
    </row>
    <row r="3992" spans="1:18" ht="17" customHeight="1" x14ac:dyDescent="0.15">
      <c r="A3992" s="8" t="s">
        <v>21505</v>
      </c>
      <c r="B3992" s="9" t="s">
        <v>21506</v>
      </c>
      <c r="C3992" s="8" t="s">
        <v>21507</v>
      </c>
      <c r="D3992" s="8" t="s">
        <v>21507</v>
      </c>
      <c r="E3992" s="8" t="s">
        <v>21508</v>
      </c>
      <c r="F3992" s="8" t="s">
        <v>21472</v>
      </c>
      <c r="G3992" s="8" t="s">
        <v>21473</v>
      </c>
      <c r="H3992" s="8" t="s">
        <v>21474</v>
      </c>
      <c r="I3992" s="8" t="str">
        <f>HYPERLINK("http://www.manusrl.it/","www.manusrl.it")</f>
        <v>www.manusrl.it</v>
      </c>
      <c r="J3992" s="10">
        <v>858.10900000000004</v>
      </c>
      <c r="K3992" s="10">
        <v>858.10900000000004</v>
      </c>
      <c r="L3992" s="10">
        <v>357.61599999999999</v>
      </c>
      <c r="M3992" s="10">
        <v>109.803</v>
      </c>
      <c r="N3992" s="10">
        <v>109.803</v>
      </c>
      <c r="O3992" s="10">
        <v>13.388999999999999</v>
      </c>
      <c r="P3992" s="10">
        <v>1</v>
      </c>
      <c r="Q3992" s="10">
        <v>1</v>
      </c>
      <c r="R3992" s="10">
        <v>1</v>
      </c>
    </row>
    <row r="3993" spans="1:18" ht="17" customHeight="1" x14ac:dyDescent="0.15">
      <c r="A3993" s="11" t="s">
        <v>21509</v>
      </c>
      <c r="B3993" s="1" t="s">
        <v>21510</v>
      </c>
      <c r="C3993" s="11" t="s">
        <v>21511</v>
      </c>
      <c r="D3993" s="11" t="s">
        <v>21511</v>
      </c>
      <c r="E3993" s="11" t="s">
        <v>21512</v>
      </c>
      <c r="F3993" s="11" t="s">
        <v>21387</v>
      </c>
      <c r="G3993" s="11" t="s">
        <v>21513</v>
      </c>
      <c r="H3993" s="11" t="s">
        <v>21436</v>
      </c>
      <c r="I3993" s="11" t="str">
        <f>HYPERLINK("http://www.senserini.it/","www.senserini.it")</f>
        <v>www.senserini.it</v>
      </c>
      <c r="J3993" s="12">
        <v>481.04899999999998</v>
      </c>
      <c r="K3993" s="12">
        <v>481.04899999999998</v>
      </c>
      <c r="L3993" s="13">
        <v>357.565</v>
      </c>
      <c r="M3993" s="12">
        <v>1.83</v>
      </c>
      <c r="N3993" s="12">
        <v>1.83</v>
      </c>
      <c r="O3993" s="12">
        <v>0.25</v>
      </c>
      <c r="P3993" s="14" t="s">
        <v>21390</v>
      </c>
      <c r="Q3993" s="14" t="s">
        <v>21390</v>
      </c>
      <c r="R3993" s="12">
        <v>4</v>
      </c>
    </row>
    <row r="3994" spans="1:18" ht="17" customHeight="1" x14ac:dyDescent="0.15">
      <c r="A3994" s="8" t="s">
        <v>21514</v>
      </c>
      <c r="B3994" s="9" t="s">
        <v>21515</v>
      </c>
      <c r="C3994" s="8" t="s">
        <v>21516</v>
      </c>
      <c r="D3994" s="8" t="s">
        <v>21516</v>
      </c>
      <c r="E3994" s="8" t="s">
        <v>21517</v>
      </c>
      <c r="F3994" s="8" t="s">
        <v>21380</v>
      </c>
      <c r="G3994" s="8" t="s">
        <v>21418</v>
      </c>
      <c r="H3994" s="8" t="s">
        <v>21389</v>
      </c>
      <c r="I3994" s="8" t="str">
        <f>HYPERLINK("http://vincenzodelauziers.com/","vincenzodelauziers.com")</f>
        <v>vincenzodelauziers.com</v>
      </c>
      <c r="J3994" s="10">
        <v>573.89099999999996</v>
      </c>
      <c r="K3994" s="10">
        <v>573.89099999999996</v>
      </c>
      <c r="L3994" s="10">
        <v>356.959</v>
      </c>
      <c r="M3994" s="10">
        <v>-1.0209999999999999</v>
      </c>
      <c r="N3994" s="10">
        <v>-1.0209999999999999</v>
      </c>
      <c r="O3994" s="10">
        <v>30.562999999999999</v>
      </c>
      <c r="P3994" s="10">
        <v>12</v>
      </c>
      <c r="Q3994" s="10">
        <v>12</v>
      </c>
      <c r="R3994" s="10">
        <v>6</v>
      </c>
    </row>
    <row r="3995" spans="1:18" ht="17" customHeight="1" x14ac:dyDescent="0.15">
      <c r="A3995" s="11" t="s">
        <v>21518</v>
      </c>
      <c r="B3995" s="1" t="s">
        <v>21519</v>
      </c>
      <c r="C3995" s="11" t="s">
        <v>21520</v>
      </c>
      <c r="D3995" s="11" t="s">
        <v>21520</v>
      </c>
      <c r="E3995" s="11" t="s">
        <v>21521</v>
      </c>
      <c r="F3995" s="11" t="s">
        <v>21479</v>
      </c>
      <c r="G3995" s="11" t="s">
        <v>21522</v>
      </c>
      <c r="H3995" s="11" t="s">
        <v>21389</v>
      </c>
      <c r="I3995" s="11" t="str">
        <f>HYPERLINK("http://omegasrl.com/","omegasrl.com")</f>
        <v>omegasrl.com</v>
      </c>
      <c r="J3995" s="12">
        <v>603.28099999999995</v>
      </c>
      <c r="K3995" s="12">
        <v>603.28099999999995</v>
      </c>
      <c r="L3995" s="13">
        <v>356.36</v>
      </c>
      <c r="M3995" s="12">
        <v>3.7010000000000001</v>
      </c>
      <c r="N3995" s="12">
        <v>3.7010000000000001</v>
      </c>
      <c r="O3995" s="12">
        <v>5.2770000000000001</v>
      </c>
      <c r="P3995" s="12">
        <v>6</v>
      </c>
      <c r="Q3995" s="12">
        <v>6</v>
      </c>
      <c r="R3995" s="12">
        <v>5</v>
      </c>
    </row>
    <row r="3996" spans="1:18" ht="29.5" customHeight="1" x14ac:dyDescent="0.15">
      <c r="A3996" s="8" t="s">
        <v>21523</v>
      </c>
      <c r="B3996" s="9" t="s">
        <v>21524</v>
      </c>
      <c r="C3996" s="8" t="s">
        <v>21525</v>
      </c>
      <c r="D3996" s="8" t="s">
        <v>21525</v>
      </c>
      <c r="E3996" s="8" t="s">
        <v>21526</v>
      </c>
      <c r="F3996" s="8" t="s">
        <v>21527</v>
      </c>
      <c r="G3996" s="8" t="s">
        <v>21528</v>
      </c>
      <c r="H3996" s="8" t="s">
        <v>21397</v>
      </c>
      <c r="I3996" s="8" t="str">
        <f>HYPERLINK("http://www.potenzasocks.com/","www.potenzasocks.com")</f>
        <v>www.potenzasocks.com</v>
      </c>
      <c r="J3996" s="10">
        <v>983.09199999999998</v>
      </c>
      <c r="K3996" s="10">
        <v>983.09199999999998</v>
      </c>
      <c r="L3996" s="10">
        <v>355.97899999999998</v>
      </c>
      <c r="M3996" s="10">
        <v>9.4009999999999998</v>
      </c>
      <c r="N3996" s="10">
        <v>9.4009999999999998</v>
      </c>
      <c r="O3996" s="10">
        <v>20.827000000000002</v>
      </c>
      <c r="P3996" s="15" t="s">
        <v>21390</v>
      </c>
      <c r="Q3996" s="15" t="s">
        <v>21390</v>
      </c>
      <c r="R3996" s="15" t="s">
        <v>21390</v>
      </c>
    </row>
    <row r="3997" spans="1:18" ht="17" customHeight="1" x14ac:dyDescent="0.15">
      <c r="A3997" s="11" t="s">
        <v>21529</v>
      </c>
      <c r="B3997" s="1" t="s">
        <v>21530</v>
      </c>
      <c r="C3997" s="11" t="s">
        <v>21531</v>
      </c>
      <c r="D3997" s="11" t="s">
        <v>21531</v>
      </c>
      <c r="E3997" s="11" t="s">
        <v>21532</v>
      </c>
      <c r="F3997" s="11" t="s">
        <v>21380</v>
      </c>
      <c r="G3997" s="11" t="s">
        <v>21533</v>
      </c>
      <c r="H3997" s="11" t="s">
        <v>21499</v>
      </c>
      <c r="I3997" s="11" t="str">
        <f>HYPERLINK("http://cdm-service.com/","cdm-service.com")</f>
        <v>cdm-service.com</v>
      </c>
      <c r="J3997" s="12">
        <v>359.697</v>
      </c>
      <c r="K3997" s="12">
        <v>359.697</v>
      </c>
      <c r="L3997" s="13">
        <v>355.86</v>
      </c>
      <c r="M3997" s="12">
        <v>2.9430000000000001</v>
      </c>
      <c r="N3997" s="12">
        <v>2.9430000000000001</v>
      </c>
      <c r="O3997" s="12">
        <v>5.5129999999999999</v>
      </c>
      <c r="P3997" s="14" t="s">
        <v>21390</v>
      </c>
      <c r="Q3997" s="14" t="s">
        <v>21390</v>
      </c>
      <c r="R3997" s="12">
        <v>5</v>
      </c>
    </row>
    <row r="3998" spans="1:18" ht="17" customHeight="1" x14ac:dyDescent="0.15">
      <c r="A3998" s="8" t="s">
        <v>21534</v>
      </c>
      <c r="B3998" s="9" t="s">
        <v>21535</v>
      </c>
      <c r="C3998" s="8" t="s">
        <v>21536</v>
      </c>
      <c r="D3998" s="8" t="s">
        <v>21536</v>
      </c>
      <c r="E3998" s="8" t="s">
        <v>21537</v>
      </c>
      <c r="F3998" s="8" t="s">
        <v>21538</v>
      </c>
      <c r="G3998" s="8" t="s">
        <v>21539</v>
      </c>
      <c r="H3998" s="8" t="s">
        <v>21436</v>
      </c>
      <c r="I3998" s="8" t="str">
        <f>HYPERLINK("http://lowhite.com/","lowhite.com")</f>
        <v>lowhite.com</v>
      </c>
      <c r="J3998" s="10">
        <v>428.74</v>
      </c>
      <c r="K3998" s="10">
        <v>428.74</v>
      </c>
      <c r="L3998" s="10">
        <v>354.88099999999997</v>
      </c>
      <c r="M3998" s="10">
        <v>0.41699999999999998</v>
      </c>
      <c r="N3998" s="10">
        <v>0.41699999999999998</v>
      </c>
      <c r="O3998" s="10">
        <v>4.2809999999999997</v>
      </c>
      <c r="P3998" s="10">
        <v>1</v>
      </c>
      <c r="Q3998" s="10">
        <v>1</v>
      </c>
      <c r="R3998" s="10">
        <v>1</v>
      </c>
    </row>
    <row r="3999" spans="1:18" ht="29.5" customHeight="1" x14ac:dyDescent="0.15">
      <c r="A3999" s="11" t="s">
        <v>21540</v>
      </c>
      <c r="B3999" s="1" t="s">
        <v>21541</v>
      </c>
      <c r="C3999" s="11" t="s">
        <v>21542</v>
      </c>
      <c r="D3999" s="11" t="s">
        <v>21542</v>
      </c>
      <c r="E3999" s="11" t="s">
        <v>21543</v>
      </c>
      <c r="F3999" s="11" t="s">
        <v>21497</v>
      </c>
      <c r="G3999" s="11" t="s">
        <v>21544</v>
      </c>
      <c r="H3999" s="11" t="s">
        <v>21436</v>
      </c>
      <c r="I3999" s="11" t="str">
        <f>HYPERLINK("http://nicogiani.com/","nicogiani.com")</f>
        <v>nicogiani.com</v>
      </c>
      <c r="J3999" s="12">
        <v>354.56599999999997</v>
      </c>
      <c r="K3999" s="14" t="s">
        <v>21390</v>
      </c>
      <c r="L3999" s="13">
        <v>354.56599999999997</v>
      </c>
      <c r="M3999" s="12">
        <v>-168.81899999999999</v>
      </c>
      <c r="N3999" s="14" t="s">
        <v>21390</v>
      </c>
      <c r="O3999" s="12">
        <v>-168.81899999999999</v>
      </c>
      <c r="P3999" s="12">
        <v>3</v>
      </c>
      <c r="Q3999" s="14" t="s">
        <v>21390</v>
      </c>
      <c r="R3999" s="12">
        <v>3</v>
      </c>
    </row>
    <row r="4000" spans="1:18" ht="17" customHeight="1" x14ac:dyDescent="0.15">
      <c r="A4000" s="8" t="s">
        <v>21545</v>
      </c>
      <c r="B4000" s="9" t="s">
        <v>21546</v>
      </c>
      <c r="C4000" s="8" t="s">
        <v>21547</v>
      </c>
      <c r="D4000" s="8" t="s">
        <v>21547</v>
      </c>
      <c r="E4000" s="8" t="s">
        <v>21548</v>
      </c>
      <c r="F4000" s="8" t="s">
        <v>21387</v>
      </c>
      <c r="G4000" s="8" t="s">
        <v>21549</v>
      </c>
      <c r="H4000" s="8" t="s">
        <v>21550</v>
      </c>
      <c r="I4000" s="8" t="str">
        <f>HYPERLINK("http://www.brandapg.it/","www.brandapg.it")</f>
        <v>www.brandapg.it</v>
      </c>
      <c r="J4000" s="10">
        <v>268.91899999999998</v>
      </c>
      <c r="K4000" s="10">
        <v>268.91899999999998</v>
      </c>
      <c r="L4000" s="10">
        <v>354.11799999999999</v>
      </c>
      <c r="M4000" s="10">
        <v>2.2040000000000002</v>
      </c>
      <c r="N4000" s="10">
        <v>2.2040000000000002</v>
      </c>
      <c r="O4000" s="10">
        <v>54.921999999999997</v>
      </c>
      <c r="P4000" s="10">
        <v>5</v>
      </c>
      <c r="Q4000" s="10">
        <v>5</v>
      </c>
      <c r="R4000" s="10">
        <v>6</v>
      </c>
    </row>
    <row r="4001" spans="1:18" ht="17" customHeight="1" x14ac:dyDescent="0.15">
      <c r="A4001" s="11" t="s">
        <v>21551</v>
      </c>
      <c r="B4001" s="1" t="s">
        <v>21552</v>
      </c>
      <c r="C4001" s="11" t="s">
        <v>21553</v>
      </c>
      <c r="D4001" s="11" t="s">
        <v>21554</v>
      </c>
      <c r="E4001" s="11" t="s">
        <v>21555</v>
      </c>
      <c r="F4001" s="11" t="s">
        <v>21556</v>
      </c>
      <c r="G4001" s="11" t="s">
        <v>21557</v>
      </c>
      <c r="H4001" s="11" t="s">
        <v>21558</v>
      </c>
      <c r="I4001" s="11" t="str">
        <f>HYPERLINK("http://www.sf-italia.it/","www.sf-italia.it")</f>
        <v>www.sf-italia.it</v>
      </c>
      <c r="J4001" s="12">
        <v>322.00900000000001</v>
      </c>
      <c r="K4001" s="12">
        <v>322.00900000000001</v>
      </c>
      <c r="L4001" s="13">
        <v>353.10899999999998</v>
      </c>
      <c r="M4001" s="12">
        <v>0.79600000000000004</v>
      </c>
      <c r="N4001" s="12">
        <v>0.79600000000000004</v>
      </c>
      <c r="O4001" s="12">
        <v>6.1769999999999996</v>
      </c>
      <c r="P4001" s="12">
        <v>8</v>
      </c>
      <c r="Q4001" s="12">
        <v>8</v>
      </c>
      <c r="R4001" s="12">
        <v>7</v>
      </c>
    </row>
    <row r="4002" spans="1:18" ht="17" customHeight="1" x14ac:dyDescent="0.15">
      <c r="A4002" s="8" t="s">
        <v>21559</v>
      </c>
      <c r="B4002" s="9" t="s">
        <v>21560</v>
      </c>
      <c r="C4002" s="8" t="s">
        <v>21561</v>
      </c>
      <c r="D4002" s="8" t="s">
        <v>21561</v>
      </c>
      <c r="E4002" s="8" t="s">
        <v>21562</v>
      </c>
      <c r="F4002" s="8" t="s">
        <v>21563</v>
      </c>
      <c r="G4002" s="8" t="s">
        <v>21564</v>
      </c>
      <c r="H4002" s="8" t="s">
        <v>21558</v>
      </c>
      <c r="I4002" s="8" t="str">
        <f>HYPERLINK("http://www.mgmbrand.it/","www.mgmbrand.it")</f>
        <v>www.mgmbrand.it</v>
      </c>
      <c r="J4002" s="10">
        <v>503.31200000000001</v>
      </c>
      <c r="K4002" s="10">
        <v>503.31200000000001</v>
      </c>
      <c r="L4002" s="10">
        <v>352.48399999999998</v>
      </c>
      <c r="M4002" s="10">
        <v>0.628</v>
      </c>
      <c r="N4002" s="10">
        <v>0.628</v>
      </c>
      <c r="O4002" s="10">
        <v>3.1179999999999999</v>
      </c>
      <c r="P4002" s="10">
        <v>3</v>
      </c>
      <c r="Q4002" s="10">
        <v>3</v>
      </c>
      <c r="R4002" s="10">
        <v>3</v>
      </c>
    </row>
    <row r="4003" spans="1:18" ht="17" customHeight="1" x14ac:dyDescent="0.15">
      <c r="A4003" s="11" t="s">
        <v>21565</v>
      </c>
      <c r="B4003" s="1" t="s">
        <v>21566</v>
      </c>
      <c r="C4003" s="11" t="s">
        <v>21567</v>
      </c>
      <c r="D4003" s="11" t="s">
        <v>21567</v>
      </c>
      <c r="E4003" s="11" t="s">
        <v>21568</v>
      </c>
      <c r="F4003" s="11" t="s">
        <v>21569</v>
      </c>
      <c r="G4003" s="11" t="s">
        <v>21570</v>
      </c>
      <c r="H4003" s="11" t="s">
        <v>21571</v>
      </c>
      <c r="I4003" s="11" t="str">
        <f>HYPERLINK("http://www.lineapelle499.it/","www.lineapelle499.it")</f>
        <v>www.lineapelle499.it</v>
      </c>
      <c r="J4003" s="12">
        <v>415.52100000000002</v>
      </c>
      <c r="K4003" s="12">
        <v>415.52100000000002</v>
      </c>
      <c r="L4003" s="13">
        <v>352.28199999999998</v>
      </c>
      <c r="M4003" s="12">
        <v>53.12</v>
      </c>
      <c r="N4003" s="12">
        <v>53.12</v>
      </c>
      <c r="O4003" s="12">
        <v>2.4550000000000001</v>
      </c>
      <c r="P4003" s="14" t="s">
        <v>21572</v>
      </c>
      <c r="Q4003" s="14" t="s">
        <v>21572</v>
      </c>
      <c r="R4003" s="12">
        <v>9</v>
      </c>
    </row>
    <row r="4004" spans="1:18" ht="17" customHeight="1" x14ac:dyDescent="0.15">
      <c r="A4004" s="8" t="s">
        <v>21573</v>
      </c>
      <c r="B4004" s="9" t="s">
        <v>21574</v>
      </c>
      <c r="C4004" s="8" t="s">
        <v>21575</v>
      </c>
      <c r="D4004" s="8" t="s">
        <v>21575</v>
      </c>
      <c r="E4004" s="8" t="s">
        <v>21576</v>
      </c>
      <c r="F4004" s="8" t="s">
        <v>21577</v>
      </c>
      <c r="G4004" s="8" t="s">
        <v>21578</v>
      </c>
      <c r="H4004" s="8" t="s">
        <v>21579</v>
      </c>
      <c r="I4004" s="8" t="str">
        <f>HYPERLINK("http://www.yoon.it/","www.yoon.it")</f>
        <v>www.yoon.it</v>
      </c>
      <c r="J4004" s="10">
        <v>258.18299999999999</v>
      </c>
      <c r="K4004" s="10">
        <v>258.18299999999999</v>
      </c>
      <c r="L4004" s="10">
        <v>351.97</v>
      </c>
      <c r="M4004" s="10">
        <v>28.542000000000002</v>
      </c>
      <c r="N4004" s="10">
        <v>28.542000000000002</v>
      </c>
      <c r="O4004" s="10">
        <v>17.687999999999999</v>
      </c>
      <c r="P4004" s="15" t="s">
        <v>21572</v>
      </c>
      <c r="Q4004" s="15" t="s">
        <v>21572</v>
      </c>
      <c r="R4004" s="10">
        <v>7</v>
      </c>
    </row>
    <row r="4005" spans="1:18" ht="17" customHeight="1" x14ac:dyDescent="0.15">
      <c r="A4005" s="11" t="s">
        <v>21580</v>
      </c>
      <c r="B4005" s="1" t="s">
        <v>21581</v>
      </c>
      <c r="C4005" s="11" t="s">
        <v>21582</v>
      </c>
      <c r="D4005" s="11" t="s">
        <v>21582</v>
      </c>
      <c r="E4005" s="11" t="s">
        <v>21583</v>
      </c>
      <c r="F4005" s="11" t="s">
        <v>21584</v>
      </c>
      <c r="G4005" s="11" t="s">
        <v>21585</v>
      </c>
      <c r="H4005" s="11" t="s">
        <v>21558</v>
      </c>
      <c r="I4005" s="11" t="str">
        <f>HYPERLINK("http://www.folignisrl.com/","www.folignisrl.com")</f>
        <v>www.folignisrl.com</v>
      </c>
      <c r="J4005" s="12">
        <v>349.21</v>
      </c>
      <c r="K4005" s="12">
        <v>349.21</v>
      </c>
      <c r="L4005" s="13">
        <v>351.553</v>
      </c>
      <c r="M4005" s="12">
        <v>3.5419999999999998</v>
      </c>
      <c r="N4005" s="12">
        <v>3.5419999999999998</v>
      </c>
      <c r="O4005" s="12">
        <v>3.4470000000000001</v>
      </c>
      <c r="P4005" s="12">
        <v>6</v>
      </c>
      <c r="Q4005" s="12">
        <v>6</v>
      </c>
      <c r="R4005" s="12">
        <v>5</v>
      </c>
    </row>
    <row r="4006" spans="1:18" ht="29.5" customHeight="1" x14ac:dyDescent="0.15">
      <c r="A4006" s="8" t="s">
        <v>21586</v>
      </c>
      <c r="B4006" s="9" t="s">
        <v>21587</v>
      </c>
      <c r="C4006" s="8" t="s">
        <v>21588</v>
      </c>
      <c r="D4006" s="8" t="s">
        <v>21588</v>
      </c>
      <c r="E4006" s="8" t="s">
        <v>21589</v>
      </c>
      <c r="F4006" s="8" t="s">
        <v>21556</v>
      </c>
      <c r="G4006" s="8" t="s">
        <v>21590</v>
      </c>
      <c r="H4006" s="8" t="s">
        <v>21591</v>
      </c>
      <c r="I4006" s="8" t="str">
        <f>HYPERLINK("http://www.accessoribpm.it/","www.accessoribpm.it")</f>
        <v>www.accessoribpm.it</v>
      </c>
      <c r="J4006" s="10">
        <v>432.31900000000002</v>
      </c>
      <c r="K4006" s="10">
        <v>432.31900000000002</v>
      </c>
      <c r="L4006" s="10">
        <v>351.04700000000003</v>
      </c>
      <c r="M4006" s="10">
        <v>17.617999999999999</v>
      </c>
      <c r="N4006" s="10">
        <v>17.617999999999999</v>
      </c>
      <c r="O4006" s="10">
        <v>13.291</v>
      </c>
      <c r="P4006" s="10">
        <v>3</v>
      </c>
      <c r="Q4006" s="10">
        <v>3</v>
      </c>
      <c r="R4006" s="10">
        <v>3</v>
      </c>
    </row>
    <row r="4007" spans="1:18" ht="17" customHeight="1" x14ac:dyDescent="0.15">
      <c r="A4007" s="11" t="s">
        <v>21592</v>
      </c>
      <c r="B4007" s="1" t="s">
        <v>21593</v>
      </c>
      <c r="C4007" s="11" t="s">
        <v>21594</v>
      </c>
      <c r="D4007" s="11" t="s">
        <v>21594</v>
      </c>
      <c r="E4007" s="11" t="s">
        <v>21595</v>
      </c>
      <c r="F4007" s="11" t="s">
        <v>21584</v>
      </c>
      <c r="G4007" s="11" t="s">
        <v>21596</v>
      </c>
      <c r="H4007" s="11" t="s">
        <v>21597</v>
      </c>
      <c r="I4007" s="11" t="str">
        <f>HYPERLINK("http://www.move-beachwear.it/","www.move-beachwear.it")</f>
        <v>www.move-beachwear.it</v>
      </c>
      <c r="J4007" s="12">
        <v>430.803</v>
      </c>
      <c r="K4007" s="12">
        <v>430.803</v>
      </c>
      <c r="L4007" s="13">
        <v>350.39800000000002</v>
      </c>
      <c r="M4007" s="12">
        <v>-4.5359999999999996</v>
      </c>
      <c r="N4007" s="12">
        <v>-4.5359999999999996</v>
      </c>
      <c r="O4007" s="12">
        <v>27.568000000000001</v>
      </c>
      <c r="P4007" s="12">
        <v>4</v>
      </c>
      <c r="Q4007" s="12">
        <v>4</v>
      </c>
      <c r="R4007" s="12">
        <v>6</v>
      </c>
    </row>
    <row r="4008" spans="1:18" ht="17" customHeight="1" x14ac:dyDescent="0.15">
      <c r="A4008" s="8" t="s">
        <v>21598</v>
      </c>
      <c r="B4008" s="9" t="s">
        <v>21599</v>
      </c>
      <c r="C4008" s="8" t="s">
        <v>21600</v>
      </c>
      <c r="D4008" s="8" t="s">
        <v>21600</v>
      </c>
      <c r="E4008" s="8" t="s">
        <v>21601</v>
      </c>
      <c r="F4008" s="8" t="s">
        <v>21602</v>
      </c>
      <c r="G4008" s="8" t="s">
        <v>21570</v>
      </c>
      <c r="H4008" s="8" t="s">
        <v>21571</v>
      </c>
      <c r="I4008" s="8" t="str">
        <f>HYPERLINK("http://www.alunni.net/","www.alunni.net")</f>
        <v>www.alunni.net</v>
      </c>
      <c r="J4008" s="10">
        <v>362.58499999999998</v>
      </c>
      <c r="K4008" s="10">
        <v>362.58499999999998</v>
      </c>
      <c r="L4008" s="10">
        <v>350.36900000000003</v>
      </c>
      <c r="M4008" s="10">
        <v>0.53600000000000003</v>
      </c>
      <c r="N4008" s="10">
        <v>0.53600000000000003</v>
      </c>
      <c r="O4008" s="10">
        <v>13.077</v>
      </c>
      <c r="P4008" s="10">
        <v>4</v>
      </c>
      <c r="Q4008" s="10">
        <v>4</v>
      </c>
      <c r="R4008" s="10">
        <v>3</v>
      </c>
    </row>
    <row r="4009" spans="1:18" ht="17" customHeight="1" x14ac:dyDescent="0.15">
      <c r="A4009" s="11" t="s">
        <v>21603</v>
      </c>
      <c r="B4009" s="1" t="s">
        <v>21604</v>
      </c>
      <c r="C4009" s="11" t="s">
        <v>21605</v>
      </c>
      <c r="D4009" s="11" t="s">
        <v>21605</v>
      </c>
      <c r="E4009" s="11" t="s">
        <v>21606</v>
      </c>
      <c r="F4009" s="11" t="s">
        <v>21607</v>
      </c>
      <c r="G4009" s="11" t="s">
        <v>21608</v>
      </c>
      <c r="H4009" s="11" t="s">
        <v>21609</v>
      </c>
      <c r="I4009" s="11" t="str">
        <f>HYPERLINK("http://cashmeretogo.it/","cashmeretogo.it")</f>
        <v>cashmeretogo.it</v>
      </c>
      <c r="J4009" s="12">
        <v>515.63499999999999</v>
      </c>
      <c r="K4009" s="12">
        <v>515.63499999999999</v>
      </c>
      <c r="L4009" s="13">
        <v>349.24299999999999</v>
      </c>
      <c r="M4009" s="12">
        <v>95.963999999999999</v>
      </c>
      <c r="N4009" s="12">
        <v>95.963999999999999</v>
      </c>
      <c r="O4009" s="12">
        <v>75.358000000000004</v>
      </c>
      <c r="P4009" s="14" t="s">
        <v>21572</v>
      </c>
      <c r="Q4009" s="14" t="s">
        <v>21572</v>
      </c>
      <c r="R4009" s="12">
        <v>0</v>
      </c>
    </row>
    <row r="4010" spans="1:18" ht="17" customHeight="1" x14ac:dyDescent="0.15">
      <c r="A4010" s="8" t="s">
        <v>21610</v>
      </c>
      <c r="B4010" s="9" t="s">
        <v>21611</v>
      </c>
      <c r="C4010" s="8" t="s">
        <v>21612</v>
      </c>
      <c r="D4010" s="8" t="s">
        <v>21612</v>
      </c>
      <c r="E4010" s="8" t="s">
        <v>21613</v>
      </c>
      <c r="F4010" s="8" t="s">
        <v>21614</v>
      </c>
      <c r="G4010" s="8" t="s">
        <v>21615</v>
      </c>
      <c r="H4010" s="8" t="s">
        <v>21579</v>
      </c>
      <c r="I4010" s="8" t="str">
        <f>HYPERLINK("http://www.tomaificiopoker.it/","www.tomaificiopoker.it")</f>
        <v>www.tomaificiopoker.it</v>
      </c>
      <c r="J4010" s="10">
        <v>296.58199999999999</v>
      </c>
      <c r="K4010" s="10">
        <v>296.58199999999999</v>
      </c>
      <c r="L4010" s="10">
        <v>349.21800000000002</v>
      </c>
      <c r="M4010" s="10">
        <v>-10.961</v>
      </c>
      <c r="N4010" s="10">
        <v>-10.961</v>
      </c>
      <c r="O4010" s="10">
        <v>0.28999999999999998</v>
      </c>
      <c r="P4010" s="15" t="s">
        <v>21572</v>
      </c>
      <c r="Q4010" s="15" t="s">
        <v>21572</v>
      </c>
      <c r="R4010" s="10">
        <v>9</v>
      </c>
    </row>
    <row r="4011" spans="1:18" ht="29.5" customHeight="1" x14ac:dyDescent="0.15">
      <c r="A4011" s="11" t="s">
        <v>21616</v>
      </c>
      <c r="B4011" s="1" t="s">
        <v>21617</v>
      </c>
      <c r="C4011" s="11" t="s">
        <v>21618</v>
      </c>
      <c r="D4011" s="11" t="s">
        <v>21619</v>
      </c>
      <c r="E4011" s="11" t="s">
        <v>21620</v>
      </c>
      <c r="F4011" s="11" t="s">
        <v>21621</v>
      </c>
      <c r="G4011" s="11" t="s">
        <v>21564</v>
      </c>
      <c r="H4011" s="11" t="s">
        <v>21558</v>
      </c>
      <c r="I4011" s="11" t="str">
        <f>HYPERLINK("http://www.texfildonna.com/","www.texfildonna.com")</f>
        <v>www.texfildonna.com</v>
      </c>
      <c r="J4011" s="12">
        <v>354.48700000000002</v>
      </c>
      <c r="K4011" s="12">
        <v>354.48700000000002</v>
      </c>
      <c r="L4011" s="13">
        <v>348.55799999999999</v>
      </c>
      <c r="M4011" s="12">
        <v>3.9660000000000002</v>
      </c>
      <c r="N4011" s="12">
        <v>3.9660000000000002</v>
      </c>
      <c r="O4011" s="12">
        <v>3.0110000000000001</v>
      </c>
      <c r="P4011" s="12">
        <v>0</v>
      </c>
      <c r="Q4011" s="12">
        <v>0</v>
      </c>
      <c r="R4011" s="12">
        <v>0</v>
      </c>
    </row>
    <row r="4012" spans="1:18" ht="17" customHeight="1" x14ac:dyDescent="0.15">
      <c r="A4012" s="8" t="s">
        <v>21622</v>
      </c>
      <c r="B4012" s="9" t="s">
        <v>21623</v>
      </c>
      <c r="C4012" s="8" t="s">
        <v>21624</v>
      </c>
      <c r="D4012" s="8" t="s">
        <v>21624</v>
      </c>
      <c r="E4012" s="8" t="s">
        <v>21625</v>
      </c>
      <c r="F4012" s="8" t="s">
        <v>21563</v>
      </c>
      <c r="G4012" s="8" t="s">
        <v>21596</v>
      </c>
      <c r="H4012" s="8" t="s">
        <v>21597</v>
      </c>
      <c r="I4012" s="8" t="str">
        <f>HYPERLINK("http://www.ilcamicestore.it/","www.ilcamicestore.it")</f>
        <v>www.ilcamicestore.it</v>
      </c>
      <c r="J4012" s="10">
        <v>401.82100000000003</v>
      </c>
      <c r="K4012" s="10">
        <v>401.82100000000003</v>
      </c>
      <c r="L4012" s="10">
        <v>348.50299999999999</v>
      </c>
      <c r="M4012" s="10">
        <v>18.289000000000001</v>
      </c>
      <c r="N4012" s="10">
        <v>18.289000000000001</v>
      </c>
      <c r="O4012" s="10">
        <v>14.425000000000001</v>
      </c>
      <c r="P4012" s="10">
        <v>3</v>
      </c>
      <c r="Q4012" s="10">
        <v>3</v>
      </c>
      <c r="R4012" s="10">
        <v>4</v>
      </c>
    </row>
    <row r="4013" spans="1:18" ht="17" customHeight="1" x14ac:dyDescent="0.15">
      <c r="A4013" s="11" t="s">
        <v>21626</v>
      </c>
      <c r="B4013" s="1" t="s">
        <v>21627</v>
      </c>
      <c r="C4013" s="11" t="s">
        <v>21628</v>
      </c>
      <c r="D4013" s="11" t="s">
        <v>21628</v>
      </c>
      <c r="E4013" s="11" t="s">
        <v>21629</v>
      </c>
      <c r="F4013" s="11" t="s">
        <v>21584</v>
      </c>
      <c r="G4013" s="11" t="s">
        <v>21630</v>
      </c>
      <c r="H4013" s="11" t="s">
        <v>21597</v>
      </c>
      <c r="I4013" s="11" t="str">
        <f>HYPERLINK("http://www.menacinque.it/","www.menacinque.it")</f>
        <v>www.menacinque.it</v>
      </c>
      <c r="J4013" s="12">
        <v>373.65100000000001</v>
      </c>
      <c r="K4013" s="12">
        <v>373.65100000000001</v>
      </c>
      <c r="L4013" s="13">
        <v>347.59100000000001</v>
      </c>
      <c r="M4013" s="12">
        <v>21.620999999999999</v>
      </c>
      <c r="N4013" s="12">
        <v>21.620999999999999</v>
      </c>
      <c r="O4013" s="12">
        <v>61.92</v>
      </c>
      <c r="P4013" s="12">
        <v>3</v>
      </c>
      <c r="Q4013" s="12">
        <v>3</v>
      </c>
      <c r="R4013" s="12">
        <v>4</v>
      </c>
    </row>
    <row r="4014" spans="1:18" ht="17" customHeight="1" x14ac:dyDescent="0.15">
      <c r="A4014" s="8" t="s">
        <v>21631</v>
      </c>
      <c r="B4014" s="9" t="s">
        <v>21632</v>
      </c>
      <c r="C4014" s="8" t="s">
        <v>21633</v>
      </c>
      <c r="D4014" s="8" t="s">
        <v>21633</v>
      </c>
      <c r="E4014" s="8" t="s">
        <v>21634</v>
      </c>
      <c r="F4014" s="8" t="s">
        <v>21621</v>
      </c>
      <c r="G4014" s="8" t="s">
        <v>21635</v>
      </c>
      <c r="H4014" s="8" t="s">
        <v>21558</v>
      </c>
      <c r="I4014" s="8" t="str">
        <f>HYPERLINK("http://www.2ellecucituracollant.it/","www.2ellecucituracollant.it")</f>
        <v>www.2ellecucituracollant.it</v>
      </c>
      <c r="J4014" s="10">
        <v>291.47300000000001</v>
      </c>
      <c r="K4014" s="10">
        <v>291.47300000000001</v>
      </c>
      <c r="L4014" s="10">
        <v>347.58699999999999</v>
      </c>
      <c r="M4014" s="10">
        <v>3.633</v>
      </c>
      <c r="N4014" s="10">
        <v>3.633</v>
      </c>
      <c r="O4014" s="10">
        <v>0.627</v>
      </c>
      <c r="P4014" s="15" t="s">
        <v>21572</v>
      </c>
      <c r="Q4014" s="15" t="s">
        <v>21572</v>
      </c>
      <c r="R4014" s="10">
        <v>8</v>
      </c>
    </row>
    <row r="4015" spans="1:18" ht="17" customHeight="1" x14ac:dyDescent="0.15">
      <c r="A4015" s="11" t="s">
        <v>21636</v>
      </c>
      <c r="B4015" s="1" t="s">
        <v>21637</v>
      </c>
      <c r="C4015" s="11" t="s">
        <v>21638</v>
      </c>
      <c r="D4015" s="11" t="s">
        <v>21638</v>
      </c>
      <c r="E4015" s="11" t="s">
        <v>21639</v>
      </c>
      <c r="F4015" s="11" t="s">
        <v>21640</v>
      </c>
      <c r="G4015" s="11" t="s">
        <v>21641</v>
      </c>
      <c r="H4015" s="11" t="s">
        <v>21642</v>
      </c>
      <c r="I4015" s="11" t="str">
        <f>HYPERLINK("http://www.carli1937.it/","www.carli1937.it")</f>
        <v>www.carli1937.it</v>
      </c>
      <c r="J4015" s="12">
        <v>500.92599999999999</v>
      </c>
      <c r="K4015" s="12">
        <v>500.92599999999999</v>
      </c>
      <c r="L4015" s="13">
        <v>346.71899999999999</v>
      </c>
      <c r="M4015" s="12">
        <v>34.091999999999999</v>
      </c>
      <c r="N4015" s="12">
        <v>34.091999999999999</v>
      </c>
      <c r="O4015" s="12">
        <v>-74.778999999999996</v>
      </c>
      <c r="P4015" s="14" t="s">
        <v>21572</v>
      </c>
      <c r="Q4015" s="14" t="s">
        <v>21572</v>
      </c>
      <c r="R4015" s="12">
        <v>7</v>
      </c>
    </row>
    <row r="4016" spans="1:18" ht="17" customHeight="1" x14ac:dyDescent="0.15">
      <c r="A4016" s="8" t="s">
        <v>21643</v>
      </c>
      <c r="B4016" s="9" t="s">
        <v>21644</v>
      </c>
      <c r="C4016" s="8" t="s">
        <v>21645</v>
      </c>
      <c r="D4016" s="8" t="s">
        <v>21645</v>
      </c>
      <c r="E4016" s="8" t="s">
        <v>21646</v>
      </c>
      <c r="F4016" s="8" t="s">
        <v>21607</v>
      </c>
      <c r="G4016" s="8" t="s">
        <v>21647</v>
      </c>
      <c r="H4016" s="8" t="s">
        <v>21591</v>
      </c>
      <c r="I4016" s="8" t="str">
        <f>HYPERLINK("http://www.vicolotrivelli.com/","www.vicolotrivelli.com")</f>
        <v>www.vicolotrivelli.com</v>
      </c>
      <c r="J4016" s="10">
        <v>349.75400000000002</v>
      </c>
      <c r="K4016" s="10">
        <v>349.75400000000002</v>
      </c>
      <c r="L4016" s="10">
        <v>345.14100000000002</v>
      </c>
      <c r="M4016" s="10">
        <v>-102.729</v>
      </c>
      <c r="N4016" s="10">
        <v>-102.729</v>
      </c>
      <c r="O4016" s="10">
        <v>46.546999999999997</v>
      </c>
      <c r="P4016" s="10">
        <v>2</v>
      </c>
      <c r="Q4016" s="10">
        <v>2</v>
      </c>
      <c r="R4016" s="10">
        <v>2</v>
      </c>
    </row>
    <row r="4017" spans="1:18" ht="17" customHeight="1" x14ac:dyDescent="0.15">
      <c r="A4017" s="11" t="s">
        <v>21648</v>
      </c>
      <c r="B4017" s="1" t="s">
        <v>21649</v>
      </c>
      <c r="C4017" s="11" t="s">
        <v>21650</v>
      </c>
      <c r="D4017" s="11" t="s">
        <v>21650</v>
      </c>
      <c r="E4017" s="11" t="s">
        <v>21651</v>
      </c>
      <c r="F4017" s="11" t="s">
        <v>21652</v>
      </c>
      <c r="G4017" s="11" t="s">
        <v>21653</v>
      </c>
      <c r="H4017" s="11" t="s">
        <v>21558</v>
      </c>
      <c r="I4017" s="11" t="str">
        <f>HYPERLINK("http://liod.mobi/","liod.mobi")</f>
        <v>liod.mobi</v>
      </c>
      <c r="J4017" s="12">
        <v>338.33</v>
      </c>
      <c r="K4017" s="12">
        <v>338.33</v>
      </c>
      <c r="L4017" s="13">
        <v>344.67700000000002</v>
      </c>
      <c r="M4017" s="12">
        <v>57.095999999999997</v>
      </c>
      <c r="N4017" s="12">
        <v>57.095999999999997</v>
      </c>
      <c r="O4017" s="12">
        <v>41.935000000000002</v>
      </c>
      <c r="P4017" s="12">
        <v>2</v>
      </c>
      <c r="Q4017" s="12">
        <v>2</v>
      </c>
      <c r="R4017" s="12">
        <v>3</v>
      </c>
    </row>
    <row r="4018" spans="1:18" ht="17" customHeight="1" x14ac:dyDescent="0.15">
      <c r="A4018" s="8" t="s">
        <v>21654</v>
      </c>
      <c r="B4018" s="9" t="s">
        <v>21655</v>
      </c>
      <c r="C4018" s="8" t="s">
        <v>21656</v>
      </c>
      <c r="D4018" s="8" t="s">
        <v>21656</v>
      </c>
      <c r="E4018" s="8" t="s">
        <v>21657</v>
      </c>
      <c r="F4018" s="8" t="s">
        <v>21658</v>
      </c>
      <c r="G4018" s="8" t="s">
        <v>21659</v>
      </c>
      <c r="H4018" s="8" t="s">
        <v>21660</v>
      </c>
      <c r="I4018" s="8" t="str">
        <f>HYPERLINK("http://romeoabbigliamento.it/","romeoabbigliamento.it")</f>
        <v>romeoabbigliamento.it</v>
      </c>
      <c r="J4018" s="10">
        <v>386.387</v>
      </c>
      <c r="K4018" s="10">
        <v>386.387</v>
      </c>
      <c r="L4018" s="10">
        <v>344.61</v>
      </c>
      <c r="M4018" s="10">
        <v>-64.658000000000001</v>
      </c>
      <c r="N4018" s="10">
        <v>-64.658000000000001</v>
      </c>
      <c r="O4018" s="10">
        <v>-78.296999999999997</v>
      </c>
      <c r="P4018" s="10">
        <v>2</v>
      </c>
      <c r="Q4018" s="10">
        <v>2</v>
      </c>
      <c r="R4018" s="10">
        <v>2</v>
      </c>
    </row>
    <row r="4019" spans="1:18" ht="17" customHeight="1" x14ac:dyDescent="0.15">
      <c r="A4019" s="11" t="s">
        <v>21661</v>
      </c>
      <c r="B4019" s="1" t="s">
        <v>21662</v>
      </c>
      <c r="C4019" s="11" t="s">
        <v>21663</v>
      </c>
      <c r="D4019" s="11" t="s">
        <v>21663</v>
      </c>
      <c r="E4019" s="11" t="s">
        <v>21664</v>
      </c>
      <c r="F4019" s="11" t="s">
        <v>21584</v>
      </c>
      <c r="G4019" s="11" t="s">
        <v>21665</v>
      </c>
      <c r="H4019" s="11" t="s">
        <v>21558</v>
      </c>
      <c r="I4019" s="11" t="str">
        <f>HYPERLINK("http://www.giorgiazamponi.com/","www.giorgiazamponi.com")</f>
        <v>www.giorgiazamponi.com</v>
      </c>
      <c r="J4019" s="12">
        <v>393.197</v>
      </c>
      <c r="K4019" s="12">
        <v>393.197</v>
      </c>
      <c r="L4019" s="13">
        <v>343.52600000000001</v>
      </c>
      <c r="M4019" s="12">
        <v>3.5339999999999998</v>
      </c>
      <c r="N4019" s="12">
        <v>3.5339999999999998</v>
      </c>
      <c r="O4019" s="12">
        <v>2.17</v>
      </c>
      <c r="P4019" s="12">
        <v>2</v>
      </c>
      <c r="Q4019" s="12">
        <v>2</v>
      </c>
      <c r="R4019" s="12">
        <v>3</v>
      </c>
    </row>
    <row r="4020" spans="1:18" ht="17" customHeight="1" x14ac:dyDescent="0.15">
      <c r="A4020" s="8" t="s">
        <v>21666</v>
      </c>
      <c r="B4020" s="9" t="s">
        <v>21667</v>
      </c>
      <c r="C4020" s="8" t="s">
        <v>21668</v>
      </c>
      <c r="D4020" s="8" t="s">
        <v>21668</v>
      </c>
      <c r="E4020" s="8" t="s">
        <v>21669</v>
      </c>
      <c r="F4020" s="8" t="s">
        <v>21577</v>
      </c>
      <c r="G4020" s="8" t="s">
        <v>21630</v>
      </c>
      <c r="H4020" s="8" t="s">
        <v>21597</v>
      </c>
      <c r="I4020" s="8" t="str">
        <f>HYPERLINK("http://www.hallop.it/","www.hallop.it")</f>
        <v>www.hallop.it</v>
      </c>
      <c r="J4020" s="10">
        <v>531.19799999999998</v>
      </c>
      <c r="K4020" s="10">
        <v>531.19799999999998</v>
      </c>
      <c r="L4020" s="10">
        <v>343.44900000000001</v>
      </c>
      <c r="M4020" s="10">
        <v>1.179</v>
      </c>
      <c r="N4020" s="10">
        <v>1.179</v>
      </c>
      <c r="O4020" s="10">
        <v>0.27400000000000002</v>
      </c>
      <c r="P4020" s="10">
        <v>5</v>
      </c>
      <c r="Q4020" s="10">
        <v>5</v>
      </c>
      <c r="R4020" s="10">
        <v>3</v>
      </c>
    </row>
    <row r="4021" spans="1:18" ht="17" customHeight="1" x14ac:dyDescent="0.15">
      <c r="A4021" s="11" t="s">
        <v>21670</v>
      </c>
      <c r="B4021" s="1" t="s">
        <v>21671</v>
      </c>
      <c r="C4021" s="11" t="s">
        <v>21672</v>
      </c>
      <c r="D4021" s="11" t="s">
        <v>21672</v>
      </c>
      <c r="E4021" s="11" t="s">
        <v>21673</v>
      </c>
      <c r="F4021" s="11" t="s">
        <v>21674</v>
      </c>
      <c r="G4021" s="11" t="s">
        <v>21675</v>
      </c>
      <c r="H4021" s="11" t="s">
        <v>21676</v>
      </c>
      <c r="I4021" s="11" t="str">
        <f>HYPERLINK("http://www.plastiman.it/","www.plastiman.it")</f>
        <v>www.plastiman.it</v>
      </c>
      <c r="J4021" s="12">
        <v>274.55900000000003</v>
      </c>
      <c r="K4021" s="12">
        <v>274.55900000000003</v>
      </c>
      <c r="L4021" s="13">
        <v>342.49299999999999</v>
      </c>
      <c r="M4021" s="12">
        <v>-90.200999999999993</v>
      </c>
      <c r="N4021" s="12">
        <v>-90.200999999999993</v>
      </c>
      <c r="O4021" s="12">
        <v>1.2969999999999999</v>
      </c>
      <c r="P4021" s="12">
        <v>8</v>
      </c>
      <c r="Q4021" s="12">
        <v>8</v>
      </c>
      <c r="R4021" s="12">
        <v>4</v>
      </c>
    </row>
    <row r="4022" spans="1:18" ht="17" customHeight="1" x14ac:dyDescent="0.15">
      <c r="A4022" s="8" t="s">
        <v>21677</v>
      </c>
      <c r="B4022" s="9" t="s">
        <v>21678</v>
      </c>
      <c r="C4022" s="8" t="s">
        <v>21679</v>
      </c>
      <c r="D4022" s="8" t="s">
        <v>21679</v>
      </c>
      <c r="E4022" s="8" t="s">
        <v>21680</v>
      </c>
      <c r="F4022" s="8" t="s">
        <v>21614</v>
      </c>
      <c r="G4022" s="8" t="s">
        <v>21615</v>
      </c>
      <c r="H4022" s="8" t="s">
        <v>21579</v>
      </c>
      <c r="I4022" s="8" t="str">
        <f>HYPERLINK("http://www.orazi-lavorazioni.com/","www.orazi-lavorazioni.com")</f>
        <v>www.orazi-lavorazioni.com</v>
      </c>
      <c r="J4022" s="10">
        <v>416.37200000000001</v>
      </c>
      <c r="K4022" s="10">
        <v>416.37200000000001</v>
      </c>
      <c r="L4022" s="10">
        <v>341.80200000000002</v>
      </c>
      <c r="M4022" s="10">
        <v>-6.7110000000000003</v>
      </c>
      <c r="N4022" s="10">
        <v>-6.7110000000000003</v>
      </c>
      <c r="O4022" s="10">
        <v>-45.929000000000002</v>
      </c>
      <c r="P4022" s="10">
        <v>1</v>
      </c>
      <c r="Q4022" s="10">
        <v>1</v>
      </c>
      <c r="R4022" s="10">
        <v>1</v>
      </c>
    </row>
    <row r="4023" spans="1:18" ht="43" customHeight="1" x14ac:dyDescent="0.15">
      <c r="A4023" s="11" t="s">
        <v>21681</v>
      </c>
      <c r="B4023" s="1" t="s">
        <v>21682</v>
      </c>
      <c r="C4023" s="11" t="s">
        <v>21683</v>
      </c>
      <c r="D4023" s="11" t="s">
        <v>21683</v>
      </c>
      <c r="E4023" s="11" t="s">
        <v>21684</v>
      </c>
      <c r="F4023" s="11" t="s">
        <v>21584</v>
      </c>
      <c r="G4023" s="11" t="s">
        <v>21685</v>
      </c>
      <c r="H4023" s="11" t="s">
        <v>21686</v>
      </c>
      <c r="I4023" s="11" t="str">
        <f>HYPERLINK("http://www.onlyjeans.it/","www.onlyjeans.it")</f>
        <v>www.onlyjeans.it</v>
      </c>
      <c r="J4023" s="12">
        <v>519.36</v>
      </c>
      <c r="K4023" s="12">
        <v>519.36</v>
      </c>
      <c r="L4023" s="13">
        <v>341.346</v>
      </c>
      <c r="M4023" s="12">
        <v>-45.387</v>
      </c>
      <c r="N4023" s="12">
        <v>-45.387</v>
      </c>
      <c r="O4023" s="12">
        <v>-13.164999999999999</v>
      </c>
      <c r="P4023" s="12">
        <v>9</v>
      </c>
      <c r="Q4023" s="12">
        <v>9</v>
      </c>
      <c r="R4023" s="12">
        <v>5</v>
      </c>
    </row>
    <row r="4024" spans="1:18" ht="17" customHeight="1" x14ac:dyDescent="0.15">
      <c r="A4024" s="8" t="s">
        <v>21687</v>
      </c>
      <c r="B4024" s="9" t="s">
        <v>21688</v>
      </c>
      <c r="C4024" s="8" t="s">
        <v>21689</v>
      </c>
      <c r="D4024" s="8" t="s">
        <v>21689</v>
      </c>
      <c r="E4024" s="8" t="s">
        <v>21690</v>
      </c>
      <c r="F4024" s="8" t="s">
        <v>21556</v>
      </c>
      <c r="G4024" s="8" t="s">
        <v>21647</v>
      </c>
      <c r="H4024" s="8" t="s">
        <v>21591</v>
      </c>
      <c r="I4024" s="8" t="str">
        <f>HYPERLINK("http://www.fregoli.net/","www.fregoli.net")</f>
        <v>www.fregoli.net</v>
      </c>
      <c r="J4024" s="10">
        <v>554.04600000000005</v>
      </c>
      <c r="K4024" s="10">
        <v>554.04600000000005</v>
      </c>
      <c r="L4024" s="10">
        <v>339.83800000000002</v>
      </c>
      <c r="M4024" s="10">
        <v>-761.27099999999996</v>
      </c>
      <c r="N4024" s="10">
        <v>-761.27099999999996</v>
      </c>
      <c r="O4024" s="10">
        <v>-626.69299999999998</v>
      </c>
      <c r="P4024" s="10">
        <v>3</v>
      </c>
      <c r="Q4024" s="10">
        <v>3</v>
      </c>
      <c r="R4024" s="10">
        <v>3</v>
      </c>
    </row>
    <row r="4025" spans="1:18" ht="29.5" customHeight="1" x14ac:dyDescent="0.15">
      <c r="A4025" s="11" t="s">
        <v>21691</v>
      </c>
      <c r="B4025" s="1" t="s">
        <v>21692</v>
      </c>
      <c r="C4025" s="11" t="s">
        <v>21693</v>
      </c>
      <c r="D4025" s="11" t="s">
        <v>21693</v>
      </c>
      <c r="E4025" s="11" t="s">
        <v>21694</v>
      </c>
      <c r="F4025" s="11" t="s">
        <v>21695</v>
      </c>
      <c r="G4025" s="11" t="s">
        <v>21665</v>
      </c>
      <c r="H4025" s="11" t="s">
        <v>21558</v>
      </c>
      <c r="I4025" s="11" t="str">
        <f>HYPERLINK("http://ornellaprosperi.com/","ornellaprosperi.com")</f>
        <v>ornellaprosperi.com</v>
      </c>
      <c r="J4025" s="12">
        <v>322.16500000000002</v>
      </c>
      <c r="K4025" s="12">
        <v>322.16500000000002</v>
      </c>
      <c r="L4025" s="13">
        <v>339.69600000000003</v>
      </c>
      <c r="M4025" s="12">
        <v>-30.734000000000002</v>
      </c>
      <c r="N4025" s="12">
        <v>-30.734000000000002</v>
      </c>
      <c r="O4025" s="12">
        <v>-33.22</v>
      </c>
      <c r="P4025" s="12">
        <v>3</v>
      </c>
      <c r="Q4025" s="12">
        <v>3</v>
      </c>
      <c r="R4025" s="12">
        <v>3</v>
      </c>
    </row>
    <row r="4026" spans="1:18" ht="17" customHeight="1" x14ac:dyDescent="0.15">
      <c r="A4026" s="8" t="s">
        <v>21696</v>
      </c>
      <c r="B4026" s="9" t="s">
        <v>21697</v>
      </c>
      <c r="C4026" s="8" t="s">
        <v>21698</v>
      </c>
      <c r="D4026" s="8" t="s">
        <v>21698</v>
      </c>
      <c r="E4026" s="8" t="s">
        <v>21699</v>
      </c>
      <c r="F4026" s="8" t="s">
        <v>21652</v>
      </c>
      <c r="G4026" s="8" t="s">
        <v>21596</v>
      </c>
      <c r="H4026" s="8" t="s">
        <v>21597</v>
      </c>
      <c r="I4026" s="8" t="str">
        <f>HYPERLINK("http://francescomarinonapoli.it/","francescomarinonapoli.it")</f>
        <v>francescomarinonapoli.it</v>
      </c>
      <c r="J4026" s="10">
        <v>360.36399999999998</v>
      </c>
      <c r="K4026" s="10">
        <v>360.36399999999998</v>
      </c>
      <c r="L4026" s="10">
        <v>339.03399999999999</v>
      </c>
      <c r="M4026" s="10">
        <v>-2.5630000000000002</v>
      </c>
      <c r="N4026" s="10">
        <v>-2.5630000000000002</v>
      </c>
      <c r="O4026" s="10">
        <v>-1.89</v>
      </c>
      <c r="P4026" s="15" t="s">
        <v>21572</v>
      </c>
      <c r="Q4026" s="15" t="s">
        <v>21572</v>
      </c>
      <c r="R4026" s="10">
        <v>5</v>
      </c>
    </row>
    <row r="4027" spans="1:18" ht="17" customHeight="1" x14ac:dyDescent="0.15">
      <c r="A4027" s="11" t="s">
        <v>21700</v>
      </c>
      <c r="B4027" s="1" t="s">
        <v>21701</v>
      </c>
      <c r="C4027" s="11" t="s">
        <v>21702</v>
      </c>
      <c r="D4027" s="11" t="s">
        <v>21702</v>
      </c>
      <c r="E4027" s="11" t="s">
        <v>21703</v>
      </c>
      <c r="F4027" s="11" t="s">
        <v>21652</v>
      </c>
      <c r="G4027" s="11" t="s">
        <v>21704</v>
      </c>
      <c r="H4027" s="11" t="s">
        <v>21660</v>
      </c>
      <c r="I4027" s="11" t="str">
        <f>HYPERLINK("http://elevenplus.it/","elevenplus.it")</f>
        <v>elevenplus.it</v>
      </c>
      <c r="J4027" s="12">
        <v>375.84800000000001</v>
      </c>
      <c r="K4027" s="12">
        <v>375.84800000000001</v>
      </c>
      <c r="L4027" s="13">
        <v>338.798</v>
      </c>
      <c r="M4027" s="12">
        <v>-35.098999999999997</v>
      </c>
      <c r="N4027" s="12">
        <v>-35.098999999999997</v>
      </c>
      <c r="O4027" s="12">
        <v>-65.524000000000001</v>
      </c>
      <c r="P4027" s="12">
        <v>14</v>
      </c>
      <c r="Q4027" s="12">
        <v>14</v>
      </c>
      <c r="R4027" s="12">
        <v>14</v>
      </c>
    </row>
    <row r="4028" spans="1:18" ht="29.5" customHeight="1" x14ac:dyDescent="0.15">
      <c r="A4028" s="8" t="s">
        <v>21705</v>
      </c>
      <c r="B4028" s="9" t="s">
        <v>21706</v>
      </c>
      <c r="C4028" s="8" t="s">
        <v>21707</v>
      </c>
      <c r="D4028" s="8" t="s">
        <v>21707</v>
      </c>
      <c r="E4028" s="8" t="s">
        <v>21708</v>
      </c>
      <c r="F4028" s="8" t="s">
        <v>21652</v>
      </c>
      <c r="G4028" s="8" t="s">
        <v>21709</v>
      </c>
      <c r="H4028" s="8" t="s">
        <v>21660</v>
      </c>
      <c r="I4028" s="8" t="str">
        <f>HYPERLINK("http://www.ctwsport.com/","www.ctwsport.com")</f>
        <v>www.ctwsport.com</v>
      </c>
      <c r="J4028" s="10">
        <v>532.08199999999999</v>
      </c>
      <c r="K4028" s="10">
        <v>532.08199999999999</v>
      </c>
      <c r="L4028" s="10">
        <v>338.44</v>
      </c>
      <c r="M4028" s="10">
        <v>5.4820000000000002</v>
      </c>
      <c r="N4028" s="10">
        <v>5.4820000000000002</v>
      </c>
      <c r="O4028" s="10">
        <v>-0.24099999999999999</v>
      </c>
      <c r="P4028" s="10">
        <v>0</v>
      </c>
      <c r="Q4028" s="10">
        <v>0</v>
      </c>
      <c r="R4028" s="10">
        <v>0</v>
      </c>
    </row>
    <row r="4029" spans="1:18" ht="17" customHeight="1" x14ac:dyDescent="0.15">
      <c r="A4029" s="11" t="s">
        <v>21710</v>
      </c>
      <c r="B4029" s="1" t="s">
        <v>21711</v>
      </c>
      <c r="C4029" s="11" t="s">
        <v>21712</v>
      </c>
      <c r="D4029" s="11" t="s">
        <v>21712</v>
      </c>
      <c r="E4029" s="11" t="s">
        <v>21713</v>
      </c>
      <c r="F4029" s="11" t="s">
        <v>21714</v>
      </c>
      <c r="G4029" s="11" t="s">
        <v>21715</v>
      </c>
      <c r="H4029" s="11" t="s">
        <v>21686</v>
      </c>
      <c r="I4029" s="11" t="str">
        <f>HYPERLINK("http://www.giemmetisrl.it/","www.giemmetisrl.it")</f>
        <v>www.giemmetisrl.it</v>
      </c>
      <c r="J4029" s="12">
        <v>395.036</v>
      </c>
      <c r="K4029" s="12">
        <v>395.036</v>
      </c>
      <c r="L4029" s="13">
        <v>338.43700000000001</v>
      </c>
      <c r="M4029" s="12">
        <v>5.7569999999999997</v>
      </c>
      <c r="N4029" s="12">
        <v>5.7569999999999997</v>
      </c>
      <c r="O4029" s="12">
        <v>20.076000000000001</v>
      </c>
      <c r="P4029" s="12">
        <v>4</v>
      </c>
      <c r="Q4029" s="12">
        <v>4</v>
      </c>
      <c r="R4029" s="12">
        <v>3</v>
      </c>
    </row>
    <row r="4030" spans="1:18" ht="29.5" customHeight="1" x14ac:dyDescent="0.15">
      <c r="A4030" s="8" t="s">
        <v>21716</v>
      </c>
      <c r="B4030" s="9" t="s">
        <v>21717</v>
      </c>
      <c r="C4030" s="8" t="s">
        <v>21718</v>
      </c>
      <c r="D4030" s="8" t="s">
        <v>21718</v>
      </c>
      <c r="E4030" s="8" t="s">
        <v>21719</v>
      </c>
      <c r="F4030" s="8" t="s">
        <v>21577</v>
      </c>
      <c r="G4030" s="8" t="s">
        <v>21720</v>
      </c>
      <c r="H4030" s="8" t="s">
        <v>21642</v>
      </c>
      <c r="I4030" s="8" t="str">
        <f>HYPERLINK("http://www.cadini.com/","www.cadini.com")</f>
        <v>www.cadini.com</v>
      </c>
      <c r="J4030" s="10">
        <v>459.21199999999999</v>
      </c>
      <c r="K4030" s="10">
        <v>459.21199999999999</v>
      </c>
      <c r="L4030" s="10">
        <v>338.27199999999999</v>
      </c>
      <c r="M4030" s="10">
        <v>-29.276</v>
      </c>
      <c r="N4030" s="10">
        <v>-29.276</v>
      </c>
      <c r="O4030" s="10">
        <v>-126.685</v>
      </c>
      <c r="P4030" s="10">
        <v>2</v>
      </c>
      <c r="Q4030" s="10">
        <v>2</v>
      </c>
      <c r="R4030" s="10">
        <v>3</v>
      </c>
    </row>
    <row r="4031" spans="1:18" ht="17" customHeight="1" x14ac:dyDescent="0.15">
      <c r="A4031" s="11" t="s">
        <v>21721</v>
      </c>
      <c r="B4031" s="1" t="s">
        <v>21722</v>
      </c>
      <c r="C4031" s="11" t="s">
        <v>21723</v>
      </c>
      <c r="D4031" s="11" t="s">
        <v>21723</v>
      </c>
      <c r="E4031" s="11" t="s">
        <v>21724</v>
      </c>
      <c r="F4031" s="11" t="s">
        <v>21577</v>
      </c>
      <c r="G4031" s="11" t="s">
        <v>21685</v>
      </c>
      <c r="H4031" s="11" t="s">
        <v>21686</v>
      </c>
      <c r="I4031" s="11" t="str">
        <f>HYPERLINK("http://www.moodcoop.it/","http://www.moodcoop.it/")</f>
        <v>http://www.moodcoop.it/</v>
      </c>
      <c r="J4031" s="12">
        <v>331.76299999999998</v>
      </c>
      <c r="K4031" s="12">
        <v>331.76299999999998</v>
      </c>
      <c r="L4031" s="13">
        <v>337.74900000000002</v>
      </c>
      <c r="M4031" s="12">
        <v>0.69399999999999995</v>
      </c>
      <c r="N4031" s="12">
        <v>0.69399999999999995</v>
      </c>
      <c r="O4031" s="12">
        <v>0.40300000000000002</v>
      </c>
      <c r="P4031" s="14" t="s">
        <v>21572</v>
      </c>
      <c r="Q4031" s="14" t="s">
        <v>21572</v>
      </c>
      <c r="R4031" s="12">
        <v>8</v>
      </c>
    </row>
    <row r="4032" spans="1:18" ht="17" customHeight="1" x14ac:dyDescent="0.15">
      <c r="A4032" s="8" t="s">
        <v>21725</v>
      </c>
      <c r="B4032" s="9" t="s">
        <v>21726</v>
      </c>
      <c r="C4032" s="8" t="s">
        <v>21727</v>
      </c>
      <c r="D4032" s="8" t="s">
        <v>21727</v>
      </c>
      <c r="E4032" s="8" t="s">
        <v>21728</v>
      </c>
      <c r="F4032" s="8" t="s">
        <v>21556</v>
      </c>
      <c r="G4032" s="8" t="s">
        <v>21596</v>
      </c>
      <c r="H4032" s="8" t="s">
        <v>21597</v>
      </c>
      <c r="I4032" s="8" t="str">
        <f>HYPERLINK("http://miariviera.it/","miariviera.it")</f>
        <v>miariviera.it</v>
      </c>
      <c r="J4032" s="10">
        <v>572.97799999999995</v>
      </c>
      <c r="K4032" s="10">
        <v>572.97799999999995</v>
      </c>
      <c r="L4032" s="10">
        <v>337.29500000000002</v>
      </c>
      <c r="M4032" s="10">
        <v>72.730999999999995</v>
      </c>
      <c r="N4032" s="10">
        <v>72.730999999999995</v>
      </c>
      <c r="O4032" s="10">
        <v>32.271000000000001</v>
      </c>
      <c r="P4032" s="15" t="s">
        <v>21572</v>
      </c>
      <c r="Q4032" s="15" t="s">
        <v>21572</v>
      </c>
      <c r="R4032" s="10">
        <v>7</v>
      </c>
    </row>
    <row r="4033" spans="1:18" ht="17" customHeight="1" x14ac:dyDescent="0.15">
      <c r="A4033" s="11" t="s">
        <v>21729</v>
      </c>
      <c r="B4033" s="1" t="s">
        <v>21730</v>
      </c>
      <c r="C4033" s="11" t="s">
        <v>21731</v>
      </c>
      <c r="D4033" s="11" t="s">
        <v>21731</v>
      </c>
      <c r="E4033" s="11" t="s">
        <v>21732</v>
      </c>
      <c r="F4033" s="11" t="s">
        <v>21733</v>
      </c>
      <c r="G4033" s="11" t="s">
        <v>21734</v>
      </c>
      <c r="H4033" s="11" t="s">
        <v>21735</v>
      </c>
      <c r="I4033" s="11" t="str">
        <f>HYPERLINK("http://www.scuolainsrl.it/","www.scuolainsrl.it")</f>
        <v>www.scuolainsrl.it</v>
      </c>
      <c r="J4033" s="12">
        <v>304.15699999999998</v>
      </c>
      <c r="K4033" s="12">
        <v>304.15699999999998</v>
      </c>
      <c r="L4033" s="13">
        <v>337.26299999999998</v>
      </c>
      <c r="M4033" s="12">
        <v>53.378999999999998</v>
      </c>
      <c r="N4033" s="12">
        <v>53.378999999999998</v>
      </c>
      <c r="O4033" s="12">
        <v>3.7389999999999999</v>
      </c>
      <c r="P4033" s="14" t="s">
        <v>21736</v>
      </c>
      <c r="Q4033" s="14" t="s">
        <v>21736</v>
      </c>
      <c r="R4033" s="14" t="s">
        <v>21736</v>
      </c>
    </row>
    <row r="4034" spans="1:18" ht="17" customHeight="1" x14ac:dyDescent="0.15">
      <c r="A4034" s="8" t="s">
        <v>21737</v>
      </c>
      <c r="B4034" s="9" t="s">
        <v>21738</v>
      </c>
      <c r="C4034" s="8" t="s">
        <v>21739</v>
      </c>
      <c r="D4034" s="8" t="s">
        <v>21739</v>
      </c>
      <c r="E4034" s="8" t="s">
        <v>21740</v>
      </c>
      <c r="F4034" s="8" t="s">
        <v>21741</v>
      </c>
      <c r="G4034" s="8" t="s">
        <v>21734</v>
      </c>
      <c r="H4034" s="8" t="s">
        <v>21735</v>
      </c>
      <c r="I4034" s="8" t="str">
        <f>HYPERLINK("http://bocachesalvucci.com/","bocachesalvucci.com")</f>
        <v>bocachesalvucci.com</v>
      </c>
      <c r="J4034" s="10">
        <v>764.8</v>
      </c>
      <c r="K4034" s="10">
        <v>764.8</v>
      </c>
      <c r="L4034" s="10">
        <v>337.11900000000003</v>
      </c>
      <c r="M4034" s="10">
        <v>0.85199999999999998</v>
      </c>
      <c r="N4034" s="10">
        <v>0.85199999999999998</v>
      </c>
      <c r="O4034" s="10">
        <v>18.254000000000001</v>
      </c>
      <c r="P4034" s="10">
        <v>1</v>
      </c>
      <c r="Q4034" s="10">
        <v>1</v>
      </c>
      <c r="R4034" s="10">
        <v>2</v>
      </c>
    </row>
    <row r="4035" spans="1:18" ht="17" customHeight="1" x14ac:dyDescent="0.15">
      <c r="A4035" s="11" t="s">
        <v>21742</v>
      </c>
      <c r="B4035" s="1" t="s">
        <v>21743</v>
      </c>
      <c r="C4035" s="11" t="s">
        <v>21744</v>
      </c>
      <c r="D4035" s="11" t="s">
        <v>21744</v>
      </c>
      <c r="E4035" s="11" t="s">
        <v>21745</v>
      </c>
      <c r="F4035" s="11" t="s">
        <v>21746</v>
      </c>
      <c r="G4035" s="11" t="s">
        <v>21747</v>
      </c>
      <c r="H4035" s="11" t="s">
        <v>21748</v>
      </c>
      <c r="I4035" s="11" t="str">
        <f>HYPERLINK("http://agoefiloilpigiama.com/","agoefiloilpigiama.com")</f>
        <v>agoefiloilpigiama.com</v>
      </c>
      <c r="J4035" s="12">
        <v>325.12200000000001</v>
      </c>
      <c r="K4035" s="12">
        <v>325.12200000000001</v>
      </c>
      <c r="L4035" s="13">
        <v>336.93900000000002</v>
      </c>
      <c r="M4035" s="12">
        <v>-20.308</v>
      </c>
      <c r="N4035" s="12">
        <v>-20.308</v>
      </c>
      <c r="O4035" s="12">
        <v>-29.332000000000001</v>
      </c>
      <c r="P4035" s="12">
        <v>1</v>
      </c>
      <c r="Q4035" s="12">
        <v>1</v>
      </c>
      <c r="R4035" s="12">
        <v>1</v>
      </c>
    </row>
    <row r="4036" spans="1:18" ht="17" customHeight="1" x14ac:dyDescent="0.15">
      <c r="A4036" s="8" t="s">
        <v>21749</v>
      </c>
      <c r="B4036" s="9" t="s">
        <v>21750</v>
      </c>
      <c r="C4036" s="8" t="s">
        <v>21751</v>
      </c>
      <c r="D4036" s="8" t="s">
        <v>21751</v>
      </c>
      <c r="E4036" s="8" t="s">
        <v>21752</v>
      </c>
      <c r="F4036" s="8" t="s">
        <v>21753</v>
      </c>
      <c r="G4036" s="8" t="s">
        <v>21754</v>
      </c>
      <c r="H4036" s="8" t="s">
        <v>21755</v>
      </c>
      <c r="I4036" s="8" t="str">
        <f>HYPERLINK("http://www.dandyatelier.it/","www.dandyatelier.it")</f>
        <v>www.dandyatelier.it</v>
      </c>
      <c r="J4036" s="10">
        <v>365.82100000000003</v>
      </c>
      <c r="K4036" s="10">
        <v>365.82100000000003</v>
      </c>
      <c r="L4036" s="10">
        <v>336.83699999999999</v>
      </c>
      <c r="M4036" s="10">
        <v>56.201999999999998</v>
      </c>
      <c r="N4036" s="10">
        <v>56.201999999999998</v>
      </c>
      <c r="O4036" s="10">
        <v>47.911000000000001</v>
      </c>
      <c r="P4036" s="10">
        <v>0</v>
      </c>
      <c r="Q4036" s="10">
        <v>0</v>
      </c>
      <c r="R4036" s="10">
        <v>0</v>
      </c>
    </row>
    <row r="4037" spans="1:18" ht="17" customHeight="1" x14ac:dyDescent="0.15">
      <c r="A4037" s="11" t="s">
        <v>21756</v>
      </c>
      <c r="B4037" s="1" t="s">
        <v>21757</v>
      </c>
      <c r="C4037" s="11" t="s">
        <v>21758</v>
      </c>
      <c r="D4037" s="11" t="s">
        <v>21758</v>
      </c>
      <c r="E4037" s="11" t="s">
        <v>21759</v>
      </c>
      <c r="F4037" s="11" t="s">
        <v>21760</v>
      </c>
      <c r="G4037" s="11" t="s">
        <v>21761</v>
      </c>
      <c r="H4037" s="11" t="s">
        <v>21762</v>
      </c>
      <c r="I4037" s="11" t="str">
        <f>HYPERLINK("http://www.pro-press.it/","www.pro-press.it")</f>
        <v>www.pro-press.it</v>
      </c>
      <c r="J4037" s="12">
        <v>398.64600000000002</v>
      </c>
      <c r="K4037" s="12">
        <v>398.64600000000002</v>
      </c>
      <c r="L4037" s="13">
        <v>336.74400000000003</v>
      </c>
      <c r="M4037" s="12">
        <v>-10.792</v>
      </c>
      <c r="N4037" s="12">
        <v>-10.792</v>
      </c>
      <c r="O4037" s="12">
        <v>-34.262</v>
      </c>
      <c r="P4037" s="12">
        <v>6</v>
      </c>
      <c r="Q4037" s="12">
        <v>6</v>
      </c>
      <c r="R4037" s="12">
        <v>6</v>
      </c>
    </row>
    <row r="4038" spans="1:18" ht="29.5" customHeight="1" x14ac:dyDescent="0.15">
      <c r="A4038" s="8" t="s">
        <v>21763</v>
      </c>
      <c r="B4038" s="9" t="s">
        <v>21764</v>
      </c>
      <c r="C4038" s="8" t="s">
        <v>21765</v>
      </c>
      <c r="D4038" s="8" t="s">
        <v>21765</v>
      </c>
      <c r="E4038" s="8" t="s">
        <v>21766</v>
      </c>
      <c r="F4038" s="8" t="s">
        <v>21767</v>
      </c>
      <c r="G4038" s="8" t="s">
        <v>21768</v>
      </c>
      <c r="H4038" s="8" t="s">
        <v>21769</v>
      </c>
      <c r="I4038" s="8" t="str">
        <f>HYPERLINK("http://www.guardolificiomichetti.com/","www.guardolificiomichetti.com")</f>
        <v>www.guardolificiomichetti.com</v>
      </c>
      <c r="J4038" s="10">
        <v>308.084</v>
      </c>
      <c r="K4038" s="10">
        <v>308.084</v>
      </c>
      <c r="L4038" s="10">
        <v>335.65300000000002</v>
      </c>
      <c r="M4038" s="10">
        <v>-72.781999999999996</v>
      </c>
      <c r="N4038" s="10">
        <v>-72.781999999999996</v>
      </c>
      <c r="O4038" s="10">
        <v>-65.622</v>
      </c>
      <c r="P4038" s="10">
        <v>5</v>
      </c>
      <c r="Q4038" s="10">
        <v>5</v>
      </c>
      <c r="R4038" s="10">
        <v>6</v>
      </c>
    </row>
    <row r="4039" spans="1:18" ht="43" customHeight="1" x14ac:dyDescent="0.15">
      <c r="A4039" s="11" t="s">
        <v>21770</v>
      </c>
      <c r="B4039" s="1" t="s">
        <v>21771</v>
      </c>
      <c r="C4039" s="11" t="s">
        <v>21772</v>
      </c>
      <c r="D4039" s="11" t="s">
        <v>21772</v>
      </c>
      <c r="E4039" s="11" t="s">
        <v>21773</v>
      </c>
      <c r="F4039" s="11" t="s">
        <v>21774</v>
      </c>
      <c r="G4039" s="11" t="s">
        <v>21775</v>
      </c>
      <c r="H4039" s="11" t="s">
        <v>21776</v>
      </c>
      <c r="I4039" s="11" t="str">
        <f>HYPERLINK("http://www.bforabbigliamento.it/","www.bforabbigliamento.it")</f>
        <v>www.bforabbigliamento.it</v>
      </c>
      <c r="J4039" s="12">
        <v>331.04899999999998</v>
      </c>
      <c r="K4039" s="12">
        <v>331.04899999999998</v>
      </c>
      <c r="L4039" s="13">
        <v>334.541</v>
      </c>
      <c r="M4039" s="12">
        <v>-36.902999999999999</v>
      </c>
      <c r="N4039" s="12">
        <v>-36.902999999999999</v>
      </c>
      <c r="O4039" s="12">
        <v>1.857</v>
      </c>
      <c r="P4039" s="12">
        <v>1</v>
      </c>
      <c r="Q4039" s="12">
        <v>1</v>
      </c>
      <c r="R4039" s="12">
        <v>2</v>
      </c>
    </row>
    <row r="4040" spans="1:18" ht="29.5" customHeight="1" x14ac:dyDescent="0.15">
      <c r="A4040" s="8" t="s">
        <v>21777</v>
      </c>
      <c r="B4040" s="9" t="s">
        <v>21778</v>
      </c>
      <c r="C4040" s="8" t="s">
        <v>21779</v>
      </c>
      <c r="D4040" s="8" t="s">
        <v>21779</v>
      </c>
      <c r="E4040" s="8" t="s">
        <v>21780</v>
      </c>
      <c r="F4040" s="8" t="s">
        <v>21781</v>
      </c>
      <c r="G4040" s="8" t="s">
        <v>21782</v>
      </c>
      <c r="H4040" s="8" t="s">
        <v>21783</v>
      </c>
      <c r="I4040" s="8" t="str">
        <f>HYPERLINK("http://www.calzecollege.it/","www.calzecollege.it")</f>
        <v>www.calzecollege.it</v>
      </c>
      <c r="J4040" s="10">
        <v>441.56900000000002</v>
      </c>
      <c r="K4040" s="10">
        <v>441.56900000000002</v>
      </c>
      <c r="L4040" s="10">
        <v>333.76900000000001</v>
      </c>
      <c r="M4040" s="10">
        <v>3.6469999999999998</v>
      </c>
      <c r="N4040" s="10">
        <v>3.6469999999999998</v>
      </c>
      <c r="O4040" s="10">
        <v>6.86</v>
      </c>
      <c r="P4040" s="10">
        <v>4</v>
      </c>
      <c r="Q4040" s="10">
        <v>4</v>
      </c>
      <c r="R4040" s="10">
        <v>4</v>
      </c>
    </row>
    <row r="4041" spans="1:18" ht="17" customHeight="1" x14ac:dyDescent="0.15">
      <c r="A4041" s="11" t="s">
        <v>21784</v>
      </c>
      <c r="B4041" s="1" t="s">
        <v>21785</v>
      </c>
      <c r="C4041" s="11" t="s">
        <v>21786</v>
      </c>
      <c r="D4041" s="11" t="s">
        <v>21786</v>
      </c>
      <c r="E4041" s="11" t="s">
        <v>21787</v>
      </c>
      <c r="F4041" s="11" t="s">
        <v>21767</v>
      </c>
      <c r="G4041" s="11" t="s">
        <v>21788</v>
      </c>
      <c r="H4041" s="11" t="s">
        <v>21783</v>
      </c>
      <c r="I4041" s="11" t="str">
        <f>HYPERLINK("http://www.neclemi.it/","www.neclemi.it")</f>
        <v>www.neclemi.it</v>
      </c>
      <c r="J4041" s="12">
        <v>257.113</v>
      </c>
      <c r="K4041" s="12">
        <v>257.113</v>
      </c>
      <c r="L4041" s="13">
        <v>332.85399999999998</v>
      </c>
      <c r="M4041" s="12">
        <v>-5.1680000000000001</v>
      </c>
      <c r="N4041" s="12">
        <v>-5.1680000000000001</v>
      </c>
      <c r="O4041" s="12">
        <v>16.977</v>
      </c>
      <c r="P4041" s="12">
        <v>6</v>
      </c>
      <c r="Q4041" s="12">
        <v>6</v>
      </c>
      <c r="R4041" s="12">
        <v>10</v>
      </c>
    </row>
    <row r="4042" spans="1:18" ht="17" customHeight="1" x14ac:dyDescent="0.15">
      <c r="A4042" s="8" t="s">
        <v>21789</v>
      </c>
      <c r="B4042" s="9" t="s">
        <v>21790</v>
      </c>
      <c r="C4042" s="8" t="s">
        <v>21791</v>
      </c>
      <c r="D4042" s="8" t="s">
        <v>21791</v>
      </c>
      <c r="E4042" s="8" t="s">
        <v>21792</v>
      </c>
      <c r="F4042" s="8" t="s">
        <v>21753</v>
      </c>
      <c r="G4042" s="8" t="s">
        <v>21793</v>
      </c>
      <c r="H4042" s="8" t="s">
        <v>21794</v>
      </c>
      <c r="I4042" s="8" t="str">
        <f>HYPERLINK("http://shop.asciari.com/","shop.asciari.com")</f>
        <v>shop.asciari.com</v>
      </c>
      <c r="J4042" s="10">
        <v>320.34800000000001</v>
      </c>
      <c r="K4042" s="10">
        <v>320.34800000000001</v>
      </c>
      <c r="L4042" s="10">
        <v>332.536</v>
      </c>
      <c r="M4042" s="10">
        <v>28.675999999999998</v>
      </c>
      <c r="N4042" s="10">
        <v>28.675999999999998</v>
      </c>
      <c r="O4042" s="10">
        <v>63.085000000000001</v>
      </c>
      <c r="P4042" s="10">
        <v>1</v>
      </c>
      <c r="Q4042" s="10">
        <v>1</v>
      </c>
      <c r="R4042" s="10">
        <v>1</v>
      </c>
    </row>
    <row r="4043" spans="1:18" ht="17" customHeight="1" x14ac:dyDescent="0.15">
      <c r="A4043" s="11" t="s">
        <v>21795</v>
      </c>
      <c r="B4043" s="1" t="s">
        <v>21796</v>
      </c>
      <c r="C4043" s="11" t="s">
        <v>21797</v>
      </c>
      <c r="D4043" s="11" t="s">
        <v>21798</v>
      </c>
      <c r="E4043" s="11" t="s">
        <v>21799</v>
      </c>
      <c r="F4043" s="11" t="s">
        <v>21781</v>
      </c>
      <c r="G4043" s="11" t="s">
        <v>21800</v>
      </c>
      <c r="H4043" s="11" t="s">
        <v>21801</v>
      </c>
      <c r="I4043" s="11" t="str">
        <f>HYPERLINK("http://store.silviagrandi.com/","store.silviagrandi.com")</f>
        <v>store.silviagrandi.com</v>
      </c>
      <c r="J4043" s="12">
        <v>250.90700000000001</v>
      </c>
      <c r="K4043" s="12">
        <v>250.90700000000001</v>
      </c>
      <c r="L4043" s="13">
        <v>332.25299999999999</v>
      </c>
      <c r="M4043" s="12">
        <v>6.57</v>
      </c>
      <c r="N4043" s="12">
        <v>6.57</v>
      </c>
      <c r="O4043" s="12">
        <v>3.0430000000000001</v>
      </c>
      <c r="P4043" s="12">
        <v>2</v>
      </c>
      <c r="Q4043" s="12">
        <v>2</v>
      </c>
      <c r="R4043" s="12">
        <v>2</v>
      </c>
    </row>
    <row r="4044" spans="1:18" ht="29.5" customHeight="1" x14ac:dyDescent="0.15">
      <c r="A4044" s="8" t="s">
        <v>21802</v>
      </c>
      <c r="B4044" s="9" t="s">
        <v>21803</v>
      </c>
      <c r="C4044" s="8" t="s">
        <v>21804</v>
      </c>
      <c r="D4044" s="8" t="s">
        <v>21804</v>
      </c>
      <c r="E4044" s="8" t="s">
        <v>21805</v>
      </c>
      <c r="F4044" s="8" t="s">
        <v>21806</v>
      </c>
      <c r="G4044" s="8" t="s">
        <v>21807</v>
      </c>
      <c r="H4044" s="8" t="s">
        <v>21762</v>
      </c>
      <c r="I4044" s="8" t="str">
        <f>HYPERLINK("http://www.tabarro.it/","www.tabarro.it")</f>
        <v>www.tabarro.it</v>
      </c>
      <c r="J4044" s="10">
        <v>363.06400000000002</v>
      </c>
      <c r="K4044" s="10">
        <v>363.06400000000002</v>
      </c>
      <c r="L4044" s="10">
        <v>332.072</v>
      </c>
      <c r="M4044" s="10">
        <v>16.219000000000001</v>
      </c>
      <c r="N4044" s="10">
        <v>16.219000000000001</v>
      </c>
      <c r="O4044" s="10">
        <v>1.5369999999999999</v>
      </c>
      <c r="P4044" s="10">
        <v>1</v>
      </c>
      <c r="Q4044" s="10">
        <v>1</v>
      </c>
      <c r="R4044" s="10">
        <v>1</v>
      </c>
    </row>
    <row r="4045" spans="1:18" ht="17" customHeight="1" x14ac:dyDescent="0.15">
      <c r="A4045" s="11" t="s">
        <v>21808</v>
      </c>
      <c r="B4045" s="1" t="s">
        <v>21809</v>
      </c>
      <c r="C4045" s="11" t="s">
        <v>21810</v>
      </c>
      <c r="D4045" s="11" t="s">
        <v>21810</v>
      </c>
      <c r="E4045" s="11" t="s">
        <v>21811</v>
      </c>
      <c r="F4045" s="11" t="s">
        <v>21812</v>
      </c>
      <c r="G4045" s="11" t="s">
        <v>21813</v>
      </c>
      <c r="H4045" s="11" t="s">
        <v>21755</v>
      </c>
      <c r="I4045" s="11" t="str">
        <f>HYPERLINK("http://www.core-life.it/","www.core-life.it")</f>
        <v>www.core-life.it</v>
      </c>
      <c r="J4045" s="12">
        <v>472.18400000000003</v>
      </c>
      <c r="K4045" s="12">
        <v>472.18400000000003</v>
      </c>
      <c r="L4045" s="13">
        <v>332.01299999999998</v>
      </c>
      <c r="M4045" s="12">
        <v>2.8450000000000002</v>
      </c>
      <c r="N4045" s="12">
        <v>2.8450000000000002</v>
      </c>
      <c r="O4045" s="12">
        <v>-18.117999999999999</v>
      </c>
      <c r="P4045" s="12">
        <v>2</v>
      </c>
      <c r="Q4045" s="12">
        <v>2</v>
      </c>
      <c r="R4045" s="12">
        <v>2</v>
      </c>
    </row>
    <row r="4046" spans="1:18" ht="29.5" customHeight="1" x14ac:dyDescent="0.15">
      <c r="A4046" s="8" t="s">
        <v>21814</v>
      </c>
      <c r="B4046" s="9" t="s">
        <v>21815</v>
      </c>
      <c r="C4046" s="8" t="s">
        <v>21816</v>
      </c>
      <c r="D4046" s="8" t="s">
        <v>21816</v>
      </c>
      <c r="E4046" s="8" t="s">
        <v>21817</v>
      </c>
      <c r="F4046" s="8" t="s">
        <v>21818</v>
      </c>
      <c r="G4046" s="8" t="s">
        <v>21819</v>
      </c>
      <c r="H4046" s="8" t="s">
        <v>21794</v>
      </c>
      <c r="I4046" s="8" t="str">
        <f>HYPERLINK("http://www.camicieitalia.com/","www.camicieitalia.com")</f>
        <v>www.camicieitalia.com</v>
      </c>
      <c r="J4046" s="10">
        <v>411.85399999999998</v>
      </c>
      <c r="K4046" s="10">
        <v>411.85399999999998</v>
      </c>
      <c r="L4046" s="10">
        <v>331.971</v>
      </c>
      <c r="M4046" s="10">
        <v>12.311</v>
      </c>
      <c r="N4046" s="10">
        <v>12.311</v>
      </c>
      <c r="O4046" s="10">
        <v>-16.437999999999999</v>
      </c>
      <c r="P4046" s="10">
        <v>18</v>
      </c>
      <c r="Q4046" s="10">
        <v>18</v>
      </c>
      <c r="R4046" s="10">
        <v>19</v>
      </c>
    </row>
    <row r="4047" spans="1:18" ht="43" customHeight="1" x14ac:dyDescent="0.15">
      <c r="A4047" s="11" t="s">
        <v>21820</v>
      </c>
      <c r="B4047" s="1" t="s">
        <v>21821</v>
      </c>
      <c r="C4047" s="11" t="s">
        <v>21822</v>
      </c>
      <c r="D4047" s="11" t="s">
        <v>21822</v>
      </c>
      <c r="E4047" s="11" t="s">
        <v>21823</v>
      </c>
      <c r="F4047" s="11" t="s">
        <v>21824</v>
      </c>
      <c r="G4047" s="11" t="s">
        <v>21734</v>
      </c>
      <c r="H4047" s="11" t="s">
        <v>21735</v>
      </c>
      <c r="I4047" s="11" t="str">
        <f>HYPERLINK("http://mpsposa.com/","mpsposa.com")</f>
        <v>mpsposa.com</v>
      </c>
      <c r="J4047" s="12">
        <v>319.34800000000001</v>
      </c>
      <c r="K4047" s="12">
        <v>319.34800000000001</v>
      </c>
      <c r="L4047" s="13">
        <v>331.99</v>
      </c>
      <c r="M4047" s="12">
        <v>-0.71399999999999997</v>
      </c>
      <c r="N4047" s="12">
        <v>-0.71399999999999997</v>
      </c>
      <c r="O4047" s="12">
        <v>35.146999999999998</v>
      </c>
      <c r="P4047" s="12">
        <v>3</v>
      </c>
      <c r="Q4047" s="12">
        <v>3</v>
      </c>
      <c r="R4047" s="12">
        <v>3</v>
      </c>
    </row>
    <row r="4048" spans="1:18" ht="29.5" customHeight="1" x14ac:dyDescent="0.15">
      <c r="A4048" s="8" t="s">
        <v>21825</v>
      </c>
      <c r="B4048" s="9" t="s">
        <v>21826</v>
      </c>
      <c r="C4048" s="8" t="s">
        <v>21827</v>
      </c>
      <c r="D4048" s="8" t="s">
        <v>21827</v>
      </c>
      <c r="E4048" s="8" t="s">
        <v>21828</v>
      </c>
      <c r="F4048" s="8" t="s">
        <v>21829</v>
      </c>
      <c r="G4048" s="8" t="s">
        <v>21830</v>
      </c>
      <c r="H4048" s="8" t="s">
        <v>21831</v>
      </c>
      <c r="I4048" s="8" t="str">
        <f>HYPERLINK("http://www.2stricot.com/","www.2stricot.com")</f>
        <v>www.2stricot.com</v>
      </c>
      <c r="J4048" s="10">
        <v>357.34199999999998</v>
      </c>
      <c r="K4048" s="10">
        <v>357.34199999999998</v>
      </c>
      <c r="L4048" s="10">
        <v>330.57900000000001</v>
      </c>
      <c r="M4048" s="10">
        <v>-10.813000000000001</v>
      </c>
      <c r="N4048" s="10">
        <v>-10.813000000000001</v>
      </c>
      <c r="O4048" s="10">
        <v>42.253</v>
      </c>
      <c r="P4048" s="10">
        <v>6</v>
      </c>
      <c r="Q4048" s="10">
        <v>6</v>
      </c>
      <c r="R4048" s="10">
        <v>4</v>
      </c>
    </row>
    <row r="4049" spans="1:18" ht="17" customHeight="1" x14ac:dyDescent="0.15">
      <c r="A4049" s="11" t="s">
        <v>21832</v>
      </c>
      <c r="B4049" s="1" t="s">
        <v>21833</v>
      </c>
      <c r="C4049" s="11" t="s">
        <v>21834</v>
      </c>
      <c r="D4049" s="11" t="s">
        <v>21834</v>
      </c>
      <c r="E4049" s="11" t="s">
        <v>21835</v>
      </c>
      <c r="F4049" s="11" t="s">
        <v>21741</v>
      </c>
      <c r="G4049" s="11" t="s">
        <v>21836</v>
      </c>
      <c r="H4049" s="11" t="s">
        <v>21837</v>
      </c>
      <c r="I4049" s="11" t="str">
        <f>HYPERLINK("http://www.ishikawa.it/","www.ishikawa.it")</f>
        <v>www.ishikawa.it</v>
      </c>
      <c r="J4049" s="12">
        <v>330.51600000000002</v>
      </c>
      <c r="K4049" s="14" t="s">
        <v>21736</v>
      </c>
      <c r="L4049" s="13">
        <v>330.51600000000002</v>
      </c>
      <c r="M4049" s="12">
        <v>19.161999999999999</v>
      </c>
      <c r="N4049" s="14" t="s">
        <v>21736</v>
      </c>
      <c r="O4049" s="12">
        <v>19.161999999999999</v>
      </c>
      <c r="P4049" s="12">
        <v>2</v>
      </c>
      <c r="Q4049" s="14" t="s">
        <v>21736</v>
      </c>
      <c r="R4049" s="12">
        <v>2</v>
      </c>
    </row>
    <row r="4050" spans="1:18" ht="17" customHeight="1" x14ac:dyDescent="0.15">
      <c r="A4050" s="8" t="s">
        <v>21838</v>
      </c>
      <c r="B4050" s="9" t="s">
        <v>21839</v>
      </c>
      <c r="C4050" s="8" t="s">
        <v>21840</v>
      </c>
      <c r="D4050" s="8" t="s">
        <v>21840</v>
      </c>
      <c r="E4050" s="8" t="s">
        <v>21841</v>
      </c>
      <c r="F4050" s="8" t="s">
        <v>21741</v>
      </c>
      <c r="G4050" s="8" t="s">
        <v>21842</v>
      </c>
      <c r="H4050" s="8" t="s">
        <v>21776</v>
      </c>
      <c r="I4050" s="8" t="str">
        <f>HYPERLINK("http://www.gamsrl.net/","www.gamsrl.net")</f>
        <v>www.gamsrl.net</v>
      </c>
      <c r="J4050" s="10">
        <v>42</v>
      </c>
      <c r="K4050" s="10">
        <v>42</v>
      </c>
      <c r="L4050" s="10">
        <v>330.2</v>
      </c>
      <c r="M4050" s="10">
        <v>-25.327999999999999</v>
      </c>
      <c r="N4050" s="10">
        <v>-25.327999999999999</v>
      </c>
      <c r="O4050" s="10">
        <v>-94.787000000000006</v>
      </c>
      <c r="P4050" s="10">
        <v>0</v>
      </c>
      <c r="Q4050" s="10">
        <v>0</v>
      </c>
      <c r="R4050" s="10">
        <v>1</v>
      </c>
    </row>
    <row r="4051" spans="1:18" ht="17" customHeight="1" x14ac:dyDescent="0.15">
      <c r="A4051" s="11" t="s">
        <v>21843</v>
      </c>
      <c r="B4051" s="1" t="s">
        <v>21844</v>
      </c>
      <c r="C4051" s="11" t="s">
        <v>21845</v>
      </c>
      <c r="D4051" s="11" t="s">
        <v>21845</v>
      </c>
      <c r="E4051" s="11" t="s">
        <v>21846</v>
      </c>
      <c r="F4051" s="11" t="s">
        <v>21806</v>
      </c>
      <c r="G4051" s="11" t="s">
        <v>21847</v>
      </c>
      <c r="H4051" s="11" t="s">
        <v>21783</v>
      </c>
      <c r="I4051" s="11" t="str">
        <f>HYPERLINK("http://www.vezzoitalia.it/","www.vezzoitalia.it")</f>
        <v>www.vezzoitalia.it</v>
      </c>
      <c r="J4051" s="12">
        <v>377.43200000000002</v>
      </c>
      <c r="K4051" s="12">
        <v>377.43200000000002</v>
      </c>
      <c r="L4051" s="13">
        <v>329.887</v>
      </c>
      <c r="M4051" s="12">
        <v>3.4220000000000002</v>
      </c>
      <c r="N4051" s="12">
        <v>3.4220000000000002</v>
      </c>
      <c r="O4051" s="12">
        <v>2.2509999999999999</v>
      </c>
      <c r="P4051" s="14" t="s">
        <v>21736</v>
      </c>
      <c r="Q4051" s="14" t="s">
        <v>21736</v>
      </c>
      <c r="R4051" s="12">
        <v>4</v>
      </c>
    </row>
    <row r="4052" spans="1:18" ht="29.5" customHeight="1" x14ac:dyDescent="0.15">
      <c r="A4052" s="8" t="s">
        <v>21848</v>
      </c>
      <c r="B4052" s="9" t="s">
        <v>21849</v>
      </c>
      <c r="C4052" s="8" t="s">
        <v>21850</v>
      </c>
      <c r="D4052" s="8" t="s">
        <v>21850</v>
      </c>
      <c r="E4052" s="8" t="s">
        <v>21851</v>
      </c>
      <c r="F4052" s="8" t="s">
        <v>21806</v>
      </c>
      <c r="G4052" s="8" t="s">
        <v>21847</v>
      </c>
      <c r="H4052" s="8" t="s">
        <v>21783</v>
      </c>
      <c r="I4052" s="8" t="str">
        <f>HYPERLINK("http://www.pulitointernational.it/","www.pulitointernational.it")</f>
        <v>www.pulitointernational.it</v>
      </c>
      <c r="J4052" s="10">
        <v>202.238</v>
      </c>
      <c r="K4052" s="10">
        <v>202.238</v>
      </c>
      <c r="L4052" s="10">
        <v>328.98500000000001</v>
      </c>
      <c r="M4052" s="10">
        <v>-2.5870000000000002</v>
      </c>
      <c r="N4052" s="10">
        <v>-2.5870000000000002</v>
      </c>
      <c r="O4052" s="10">
        <v>7.7089999999999996</v>
      </c>
      <c r="P4052" s="15" t="s">
        <v>21736</v>
      </c>
      <c r="Q4052" s="15" t="s">
        <v>21736</v>
      </c>
      <c r="R4052" s="15" t="s">
        <v>21736</v>
      </c>
    </row>
    <row r="4053" spans="1:18" ht="17" customHeight="1" x14ac:dyDescent="0.15">
      <c r="A4053" s="11" t="s">
        <v>21852</v>
      </c>
      <c r="B4053" s="1" t="s">
        <v>21853</v>
      </c>
      <c r="C4053" s="11" t="s">
        <v>21854</v>
      </c>
      <c r="D4053" s="11" t="s">
        <v>21854</v>
      </c>
      <c r="E4053" s="11" t="s">
        <v>21855</v>
      </c>
      <c r="F4053" s="11" t="s">
        <v>21753</v>
      </c>
      <c r="G4053" s="11" t="s">
        <v>21856</v>
      </c>
      <c r="H4053" s="11" t="s">
        <v>21776</v>
      </c>
      <c r="I4053" s="11" t="str">
        <f>HYPERLINK("http://www.boncristiani.com/","www.boncristiani.com")</f>
        <v>www.boncristiani.com</v>
      </c>
      <c r="J4053" s="12">
        <v>497.73899999999998</v>
      </c>
      <c r="K4053" s="12">
        <v>497.73899999999998</v>
      </c>
      <c r="L4053" s="13">
        <v>328.87700000000001</v>
      </c>
      <c r="M4053" s="12">
        <v>12.694000000000001</v>
      </c>
      <c r="N4053" s="12">
        <v>12.694000000000001</v>
      </c>
      <c r="O4053" s="12">
        <v>2.234</v>
      </c>
      <c r="P4053" s="12">
        <v>2</v>
      </c>
      <c r="Q4053" s="12">
        <v>2</v>
      </c>
      <c r="R4053" s="12">
        <v>3</v>
      </c>
    </row>
    <row r="4054" spans="1:18" ht="17" customHeight="1" x14ac:dyDescent="0.15">
      <c r="A4054" s="8" t="s">
        <v>21857</v>
      </c>
      <c r="B4054" s="9" t="s">
        <v>21858</v>
      </c>
      <c r="C4054" s="8" t="s">
        <v>21859</v>
      </c>
      <c r="D4054" s="8" t="s">
        <v>21859</v>
      </c>
      <c r="E4054" s="8" t="s">
        <v>21860</v>
      </c>
      <c r="F4054" s="8" t="s">
        <v>21767</v>
      </c>
      <c r="G4054" s="8" t="s">
        <v>21768</v>
      </c>
      <c r="H4054" s="8" t="s">
        <v>21769</v>
      </c>
      <c r="I4054" s="8" t="str">
        <f>HYPERLINK("http://www.isosoles.net/","www.isosoles.net")</f>
        <v>www.isosoles.net</v>
      </c>
      <c r="J4054" s="10">
        <v>345.35199999999998</v>
      </c>
      <c r="K4054" s="10">
        <v>345.35199999999998</v>
      </c>
      <c r="L4054" s="10">
        <v>328.82299999999998</v>
      </c>
      <c r="M4054" s="10">
        <v>50.643999999999998</v>
      </c>
      <c r="N4054" s="10">
        <v>50.643999999999998</v>
      </c>
      <c r="O4054" s="10">
        <v>77.042000000000002</v>
      </c>
      <c r="P4054" s="10">
        <v>2</v>
      </c>
      <c r="Q4054" s="10">
        <v>2</v>
      </c>
      <c r="R4054" s="10">
        <v>2</v>
      </c>
    </row>
    <row r="4055" spans="1:18" ht="29.5" customHeight="1" x14ac:dyDescent="0.15">
      <c r="A4055" s="11" t="s">
        <v>21861</v>
      </c>
      <c r="B4055" s="1" t="s">
        <v>21862</v>
      </c>
      <c r="C4055" s="11" t="s">
        <v>21863</v>
      </c>
      <c r="D4055" s="11" t="s">
        <v>21863</v>
      </c>
      <c r="E4055" s="11" t="s">
        <v>21864</v>
      </c>
      <c r="F4055" s="11" t="s">
        <v>21741</v>
      </c>
      <c r="G4055" s="11" t="s">
        <v>21865</v>
      </c>
      <c r="H4055" s="11" t="s">
        <v>21776</v>
      </c>
      <c r="I4055" s="11" t="str">
        <f>HYPERLINK("http://calzaturificiogimar.it/","calzaturificiogimar.it")</f>
        <v>calzaturificiogimar.it</v>
      </c>
      <c r="J4055" s="12">
        <v>404.71800000000002</v>
      </c>
      <c r="K4055" s="12">
        <v>404.71800000000002</v>
      </c>
      <c r="L4055" s="13">
        <v>328.41899999999998</v>
      </c>
      <c r="M4055" s="12">
        <v>0.72799999999999998</v>
      </c>
      <c r="N4055" s="12">
        <v>0.72799999999999998</v>
      </c>
      <c r="O4055" s="12">
        <v>3.67</v>
      </c>
      <c r="P4055" s="12">
        <v>1</v>
      </c>
      <c r="Q4055" s="12">
        <v>1</v>
      </c>
      <c r="R4055" s="12">
        <v>0</v>
      </c>
    </row>
    <row r="4056" spans="1:18" ht="17" customHeight="1" x14ac:dyDescent="0.15">
      <c r="A4056" s="8" t="s">
        <v>21866</v>
      </c>
      <c r="B4056" s="9" t="s">
        <v>21867</v>
      </c>
      <c r="C4056" s="8" t="s">
        <v>21868</v>
      </c>
      <c r="D4056" s="8" t="s">
        <v>21868</v>
      </c>
      <c r="E4056" s="8" t="s">
        <v>21869</v>
      </c>
      <c r="F4056" s="8" t="s">
        <v>21760</v>
      </c>
      <c r="G4056" s="8" t="s">
        <v>21761</v>
      </c>
      <c r="H4056" s="8" t="s">
        <v>21762</v>
      </c>
      <c r="I4056" s="8" t="str">
        <f>HYPERLINK("http://www.newleathertecnology.it/","www.newleathertecnology.it")</f>
        <v>www.newleathertecnology.it</v>
      </c>
      <c r="J4056" s="10">
        <v>532.50099999999998</v>
      </c>
      <c r="K4056" s="10">
        <v>532.50099999999998</v>
      </c>
      <c r="L4056" s="10">
        <v>327.84699999999998</v>
      </c>
      <c r="M4056" s="10">
        <v>0.77300000000000002</v>
      </c>
      <c r="N4056" s="10">
        <v>0.77300000000000002</v>
      </c>
      <c r="O4056" s="10">
        <v>41.357999999999997</v>
      </c>
      <c r="P4056" s="10">
        <v>0</v>
      </c>
      <c r="Q4056" s="10">
        <v>0</v>
      </c>
      <c r="R4056" s="10">
        <v>0</v>
      </c>
    </row>
    <row r="4057" spans="1:18" ht="17" customHeight="1" x14ac:dyDescent="0.15">
      <c r="A4057" s="11" t="s">
        <v>21870</v>
      </c>
      <c r="B4057" s="1" t="s">
        <v>21871</v>
      </c>
      <c r="C4057" s="11" t="s">
        <v>21872</v>
      </c>
      <c r="D4057" s="11" t="s">
        <v>21872</v>
      </c>
      <c r="E4057" s="11" t="s">
        <v>21873</v>
      </c>
      <c r="F4057" s="11" t="s">
        <v>21753</v>
      </c>
      <c r="G4057" s="11" t="s">
        <v>21836</v>
      </c>
      <c r="H4057" s="11" t="s">
        <v>21837</v>
      </c>
      <c r="I4057" s="11" t="str">
        <f>HYPERLINK("http://www.cristinarocca.com/","www.cristinarocca.com")</f>
        <v>www.cristinarocca.com</v>
      </c>
      <c r="J4057" s="12">
        <v>329.61799999999999</v>
      </c>
      <c r="K4057" s="12">
        <v>329.61799999999999</v>
      </c>
      <c r="L4057" s="13">
        <v>327.56400000000002</v>
      </c>
      <c r="M4057" s="12">
        <v>2.12</v>
      </c>
      <c r="N4057" s="12">
        <v>2.12</v>
      </c>
      <c r="O4057" s="12">
        <v>5.077</v>
      </c>
      <c r="P4057" s="12">
        <v>5</v>
      </c>
      <c r="Q4057" s="12">
        <v>5</v>
      </c>
      <c r="R4057" s="12">
        <v>5</v>
      </c>
    </row>
    <row r="4058" spans="1:18" ht="17" customHeight="1" x14ac:dyDescent="0.15">
      <c r="A4058" s="8" t="s">
        <v>21874</v>
      </c>
      <c r="B4058" s="9" t="s">
        <v>21875</v>
      </c>
      <c r="C4058" s="8" t="s">
        <v>21876</v>
      </c>
      <c r="D4058" s="8" t="s">
        <v>21876</v>
      </c>
      <c r="E4058" s="8" t="s">
        <v>21877</v>
      </c>
      <c r="F4058" s="8" t="s">
        <v>21753</v>
      </c>
      <c r="G4058" s="8" t="s">
        <v>21878</v>
      </c>
      <c r="H4058" s="8" t="s">
        <v>21837</v>
      </c>
      <c r="I4058" s="8" t="str">
        <f>HYPERLINK("http://www.glamourfashionabbigliamento.it/","www.glamourfashionabbigliamento.it")</f>
        <v>www.glamourfashionabbigliamento.it</v>
      </c>
      <c r="J4058" s="10">
        <v>507.101</v>
      </c>
      <c r="K4058" s="10">
        <v>507.101</v>
      </c>
      <c r="L4058" s="10">
        <v>327.32600000000002</v>
      </c>
      <c r="M4058" s="10">
        <v>1.014</v>
      </c>
      <c r="N4058" s="10">
        <v>1.014</v>
      </c>
      <c r="O4058" s="10">
        <v>0.11799999999999999</v>
      </c>
      <c r="P4058" s="10">
        <v>1</v>
      </c>
      <c r="Q4058" s="10">
        <v>1</v>
      </c>
      <c r="R4058" s="10">
        <v>1</v>
      </c>
    </row>
    <row r="4059" spans="1:18" ht="17" customHeight="1" x14ac:dyDescent="0.15">
      <c r="A4059" s="11" t="s">
        <v>21879</v>
      </c>
      <c r="B4059" s="1" t="s">
        <v>21880</v>
      </c>
      <c r="C4059" s="11" t="s">
        <v>21881</v>
      </c>
      <c r="D4059" s="11" t="s">
        <v>21881</v>
      </c>
      <c r="E4059" s="11" t="s">
        <v>21882</v>
      </c>
      <c r="F4059" s="11" t="s">
        <v>21812</v>
      </c>
      <c r="G4059" s="11" t="s">
        <v>21734</v>
      </c>
      <c r="H4059" s="11" t="s">
        <v>21735</v>
      </c>
      <c r="I4059" s="11" t="str">
        <f>HYPERLINK("http://circuitologistic.com/","circuitologistic.com")</f>
        <v>circuitologistic.com</v>
      </c>
      <c r="J4059" s="12">
        <v>473.036</v>
      </c>
      <c r="K4059" s="12">
        <v>473.036</v>
      </c>
      <c r="L4059" s="13">
        <v>326.29500000000002</v>
      </c>
      <c r="M4059" s="12">
        <v>22.353999999999999</v>
      </c>
      <c r="N4059" s="12">
        <v>22.353999999999999</v>
      </c>
      <c r="O4059" s="12">
        <v>38.292999999999999</v>
      </c>
      <c r="P4059" s="12">
        <v>1</v>
      </c>
      <c r="Q4059" s="12">
        <v>1</v>
      </c>
      <c r="R4059" s="12">
        <v>1</v>
      </c>
    </row>
    <row r="4060" spans="1:18" ht="29.5" customHeight="1" x14ac:dyDescent="0.15">
      <c r="A4060" s="8" t="s">
        <v>21883</v>
      </c>
      <c r="B4060" s="9" t="s">
        <v>21884</v>
      </c>
      <c r="C4060" s="8" t="s">
        <v>21885</v>
      </c>
      <c r="D4060" s="8" t="s">
        <v>21885</v>
      </c>
      <c r="E4060" s="8" t="s">
        <v>21886</v>
      </c>
      <c r="F4060" s="8" t="s">
        <v>21818</v>
      </c>
      <c r="G4060" s="8" t="s">
        <v>21887</v>
      </c>
      <c r="H4060" s="8" t="s">
        <v>21888</v>
      </c>
      <c r="I4060" s="8" t="str">
        <f>HYPERLINK("http://www.donatellaconfezioni.it/","www.donatellaconfezioni.it")</f>
        <v>www.donatellaconfezioni.it</v>
      </c>
      <c r="J4060" s="10">
        <v>363.88</v>
      </c>
      <c r="K4060" s="10">
        <v>363.88</v>
      </c>
      <c r="L4060" s="10">
        <v>325.24299999999999</v>
      </c>
      <c r="M4060" s="10">
        <v>63.158999999999999</v>
      </c>
      <c r="N4060" s="10">
        <v>63.158999999999999</v>
      </c>
      <c r="O4060" s="10">
        <v>32.012</v>
      </c>
      <c r="P4060" s="15" t="s">
        <v>21736</v>
      </c>
      <c r="Q4060" s="15" t="s">
        <v>21736</v>
      </c>
      <c r="R4060" s="10">
        <v>10</v>
      </c>
    </row>
    <row r="4061" spans="1:18" ht="17" customHeight="1" x14ac:dyDescent="0.15">
      <c r="A4061" s="11" t="s">
        <v>21889</v>
      </c>
      <c r="B4061" s="1" t="s">
        <v>21890</v>
      </c>
      <c r="C4061" s="11" t="s">
        <v>21891</v>
      </c>
      <c r="D4061" s="11" t="s">
        <v>21891</v>
      </c>
      <c r="E4061" s="11" t="s">
        <v>21892</v>
      </c>
      <c r="F4061" s="11" t="s">
        <v>21753</v>
      </c>
      <c r="G4061" s="11" t="s">
        <v>21847</v>
      </c>
      <c r="H4061" s="11" t="s">
        <v>21783</v>
      </c>
      <c r="I4061" s="11" t="str">
        <f>HYPERLINK("http://www.nucciacostantino.it/","http://www.nucciacostantino.it")</f>
        <v>http://www.nucciacostantino.it</v>
      </c>
      <c r="J4061" s="12">
        <v>327.40800000000002</v>
      </c>
      <c r="K4061" s="12">
        <v>327.40800000000002</v>
      </c>
      <c r="L4061" s="13">
        <v>324.87900000000002</v>
      </c>
      <c r="M4061" s="12">
        <v>-4.0190000000000001</v>
      </c>
      <c r="N4061" s="12">
        <v>-4.0190000000000001</v>
      </c>
      <c r="O4061" s="12">
        <v>4.1020000000000003</v>
      </c>
      <c r="P4061" s="12">
        <v>3</v>
      </c>
      <c r="Q4061" s="12">
        <v>3</v>
      </c>
      <c r="R4061" s="12">
        <v>4</v>
      </c>
    </row>
    <row r="4062" spans="1:18" ht="29.5" customHeight="1" x14ac:dyDescent="0.15">
      <c r="A4062" s="8" t="s">
        <v>21893</v>
      </c>
      <c r="B4062" s="9" t="s">
        <v>21894</v>
      </c>
      <c r="C4062" s="8" t="s">
        <v>21895</v>
      </c>
      <c r="D4062" s="8" t="s">
        <v>21895</v>
      </c>
      <c r="E4062" s="8" t="s">
        <v>21896</v>
      </c>
      <c r="F4062" s="8" t="s">
        <v>21897</v>
      </c>
      <c r="G4062" s="8" t="s">
        <v>21898</v>
      </c>
      <c r="H4062" s="8" t="s">
        <v>21801</v>
      </c>
      <c r="I4062" s="8" t="str">
        <f>HYPERLINK("http://www.alfredoberetta.it/","www.alfredoberetta.it")</f>
        <v>www.alfredoberetta.it</v>
      </c>
      <c r="J4062" s="10">
        <v>324.58699999999999</v>
      </c>
      <c r="K4062" s="15" t="s">
        <v>21736</v>
      </c>
      <c r="L4062" s="10">
        <v>324.58699999999999</v>
      </c>
      <c r="M4062" s="10">
        <v>-23.11</v>
      </c>
      <c r="N4062" s="15" t="s">
        <v>21736</v>
      </c>
      <c r="O4062" s="10">
        <v>-23.11</v>
      </c>
      <c r="P4062" s="10">
        <v>5</v>
      </c>
      <c r="Q4062" s="15" t="s">
        <v>21736</v>
      </c>
      <c r="R4062" s="10">
        <v>5</v>
      </c>
    </row>
    <row r="4063" spans="1:18" ht="17" customHeight="1" x14ac:dyDescent="0.15">
      <c r="A4063" s="11" t="s">
        <v>21899</v>
      </c>
      <c r="B4063" s="1" t="s">
        <v>21900</v>
      </c>
      <c r="C4063" s="11" t="s">
        <v>21901</v>
      </c>
      <c r="D4063" s="11" t="s">
        <v>21901</v>
      </c>
      <c r="E4063" s="11" t="s">
        <v>21902</v>
      </c>
      <c r="F4063" s="11" t="s">
        <v>21741</v>
      </c>
      <c r="G4063" s="11" t="s">
        <v>21768</v>
      </c>
      <c r="H4063" s="11" t="s">
        <v>21769</v>
      </c>
      <c r="I4063" s="11" t="str">
        <f>HYPERLINK("http://hopeshoesfactory.it/","hopeshoesfactory.it")</f>
        <v>hopeshoesfactory.it</v>
      </c>
      <c r="J4063" s="12">
        <v>465.80099999999999</v>
      </c>
      <c r="K4063" s="12">
        <v>465.80099999999999</v>
      </c>
      <c r="L4063" s="13">
        <v>323.68900000000002</v>
      </c>
      <c r="M4063" s="12">
        <v>101.625</v>
      </c>
      <c r="N4063" s="12">
        <v>101.625</v>
      </c>
      <c r="O4063" s="12">
        <v>62.737000000000002</v>
      </c>
      <c r="P4063" s="14" t="s">
        <v>21736</v>
      </c>
      <c r="Q4063" s="14" t="s">
        <v>21736</v>
      </c>
      <c r="R4063" s="14" t="s">
        <v>21736</v>
      </c>
    </row>
    <row r="4064" spans="1:18" ht="43" customHeight="1" x14ac:dyDescent="0.15">
      <c r="A4064" s="8" t="s">
        <v>21903</v>
      </c>
      <c r="B4064" s="9" t="s">
        <v>21904</v>
      </c>
      <c r="C4064" s="8" t="s">
        <v>21905</v>
      </c>
      <c r="D4064" s="8" t="s">
        <v>21905</v>
      </c>
      <c r="E4064" s="8" t="s">
        <v>21906</v>
      </c>
      <c r="F4064" s="8" t="s">
        <v>21907</v>
      </c>
      <c r="G4064" s="8" t="s">
        <v>21830</v>
      </c>
      <c r="H4064" s="8" t="s">
        <v>21831</v>
      </c>
      <c r="I4064" s="8" t="str">
        <f>HYPERLINK("http://shop.alienina.com/","shop.alienina.com")</f>
        <v>shop.alienina.com</v>
      </c>
      <c r="J4064" s="10">
        <v>371.19499999999999</v>
      </c>
      <c r="K4064" s="10">
        <v>371.19499999999999</v>
      </c>
      <c r="L4064" s="10">
        <v>322.084</v>
      </c>
      <c r="M4064" s="10">
        <v>0.74299999999999999</v>
      </c>
      <c r="N4064" s="10">
        <v>0.74299999999999999</v>
      </c>
      <c r="O4064" s="10">
        <v>1.591</v>
      </c>
      <c r="P4064" s="10">
        <v>3</v>
      </c>
      <c r="Q4064" s="10">
        <v>3</v>
      </c>
      <c r="R4064" s="10">
        <v>3</v>
      </c>
    </row>
    <row r="4065" spans="1:18" ht="17" customHeight="1" x14ac:dyDescent="0.15">
      <c r="A4065" s="11" t="s">
        <v>21908</v>
      </c>
      <c r="B4065" s="1" t="s">
        <v>21909</v>
      </c>
      <c r="C4065" s="11" t="s">
        <v>21910</v>
      </c>
      <c r="D4065" s="11" t="s">
        <v>21910</v>
      </c>
      <c r="E4065" s="11" t="s">
        <v>21911</v>
      </c>
      <c r="F4065" s="11" t="s">
        <v>21912</v>
      </c>
      <c r="G4065" s="11" t="s">
        <v>21913</v>
      </c>
      <c r="H4065" s="11" t="s">
        <v>21914</v>
      </c>
      <c r="I4065" s="11" t="str">
        <f>HYPERLINK("http://robertorubino.it/","robertorubino.it")</f>
        <v>robertorubino.it</v>
      </c>
      <c r="J4065" s="12">
        <v>855.68</v>
      </c>
      <c r="K4065" s="12">
        <v>855.68</v>
      </c>
      <c r="L4065" s="13">
        <v>321.22899999999998</v>
      </c>
      <c r="M4065" s="12">
        <v>39.527000000000001</v>
      </c>
      <c r="N4065" s="12">
        <v>39.527000000000001</v>
      </c>
      <c r="O4065" s="12">
        <v>-20.777000000000001</v>
      </c>
      <c r="P4065" s="14" t="s">
        <v>21915</v>
      </c>
      <c r="Q4065" s="14" t="s">
        <v>21915</v>
      </c>
      <c r="R4065" s="12">
        <v>9</v>
      </c>
    </row>
    <row r="4066" spans="1:18" ht="17" customHeight="1" x14ac:dyDescent="0.15">
      <c r="A4066" s="8" t="s">
        <v>21916</v>
      </c>
      <c r="B4066" s="9" t="s">
        <v>21917</v>
      </c>
      <c r="C4066" s="8" t="s">
        <v>21918</v>
      </c>
      <c r="D4066" s="8" t="s">
        <v>21918</v>
      </c>
      <c r="E4066" s="8" t="s">
        <v>21919</v>
      </c>
      <c r="F4066" s="8" t="s">
        <v>21920</v>
      </c>
      <c r="G4066" s="8" t="s">
        <v>21921</v>
      </c>
      <c r="H4066" s="8" t="s">
        <v>21922</v>
      </c>
      <c r="I4066" s="8" t="str">
        <f>HYPERLINK("http://www.albertatanzinicouture.it/","www.albertatanzinicouture.it")</f>
        <v>www.albertatanzinicouture.it</v>
      </c>
      <c r="J4066" s="10">
        <v>409.815</v>
      </c>
      <c r="K4066" s="10">
        <v>409.815</v>
      </c>
      <c r="L4066" s="10">
        <v>320.46699999999998</v>
      </c>
      <c r="M4066" s="10">
        <v>4.0960000000000001</v>
      </c>
      <c r="N4066" s="10">
        <v>4.0960000000000001</v>
      </c>
      <c r="O4066" s="10">
        <v>-17.138000000000002</v>
      </c>
      <c r="P4066" s="10">
        <v>2</v>
      </c>
      <c r="Q4066" s="10">
        <v>2</v>
      </c>
      <c r="R4066" s="10">
        <v>3</v>
      </c>
    </row>
    <row r="4067" spans="1:18" ht="29.5" customHeight="1" x14ac:dyDescent="0.15">
      <c r="A4067" s="11" t="s">
        <v>21923</v>
      </c>
      <c r="B4067" s="1" t="s">
        <v>21924</v>
      </c>
      <c r="C4067" s="11" t="s">
        <v>21925</v>
      </c>
      <c r="D4067" s="11" t="s">
        <v>21925</v>
      </c>
      <c r="E4067" s="11" t="s">
        <v>21926</v>
      </c>
      <c r="F4067" s="11" t="s">
        <v>21927</v>
      </c>
      <c r="G4067" s="11" t="s">
        <v>21913</v>
      </c>
      <c r="H4067" s="11" t="s">
        <v>21914</v>
      </c>
      <c r="I4067" s="11" t="str">
        <f>HYPERLINK("http://www.lab20-3.com/","www.lab20-3.com")</f>
        <v>www.lab20-3.com</v>
      </c>
      <c r="J4067" s="12">
        <v>274.45699999999999</v>
      </c>
      <c r="K4067" s="12">
        <v>274.45699999999999</v>
      </c>
      <c r="L4067" s="13">
        <v>318.82299999999998</v>
      </c>
      <c r="M4067" s="12">
        <v>-7.016</v>
      </c>
      <c r="N4067" s="12">
        <v>-7.016</v>
      </c>
      <c r="O4067" s="12">
        <v>-3.819</v>
      </c>
      <c r="P4067" s="12">
        <v>11</v>
      </c>
      <c r="Q4067" s="12">
        <v>11</v>
      </c>
      <c r="R4067" s="12">
        <v>10</v>
      </c>
    </row>
    <row r="4068" spans="1:18" ht="17" customHeight="1" x14ac:dyDescent="0.15">
      <c r="A4068" s="8" t="s">
        <v>21928</v>
      </c>
      <c r="B4068" s="9" t="s">
        <v>21929</v>
      </c>
      <c r="C4068" s="8" t="s">
        <v>21930</v>
      </c>
      <c r="D4068" s="8" t="s">
        <v>21930</v>
      </c>
      <c r="E4068" s="8" t="s">
        <v>21931</v>
      </c>
      <c r="F4068" s="8" t="s">
        <v>21932</v>
      </c>
      <c r="G4068" s="8" t="s">
        <v>21933</v>
      </c>
      <c r="H4068" s="8" t="s">
        <v>21934</v>
      </c>
      <c r="I4068" s="8" t="str">
        <f>HYPERLINK("http://cattivelligroup.com/","cattivelligroup.com")</f>
        <v>cattivelligroup.com</v>
      </c>
      <c r="J4068" s="10">
        <v>322.05700000000002</v>
      </c>
      <c r="K4068" s="10">
        <v>322.05700000000002</v>
      </c>
      <c r="L4068" s="10">
        <v>318.63</v>
      </c>
      <c r="M4068" s="10">
        <v>12.55</v>
      </c>
      <c r="N4068" s="10">
        <v>12.55</v>
      </c>
      <c r="O4068" s="10">
        <v>-35.933</v>
      </c>
      <c r="P4068" s="10">
        <v>8</v>
      </c>
      <c r="Q4068" s="10">
        <v>8</v>
      </c>
      <c r="R4068" s="10">
        <v>8</v>
      </c>
    </row>
    <row r="4069" spans="1:18" ht="17" customHeight="1" x14ac:dyDescent="0.15">
      <c r="A4069" s="11" t="s">
        <v>21935</v>
      </c>
      <c r="B4069" s="1" t="s">
        <v>21936</v>
      </c>
      <c r="C4069" s="11" t="s">
        <v>21937</v>
      </c>
      <c r="D4069" s="11" t="s">
        <v>21937</v>
      </c>
      <c r="E4069" s="11" t="s">
        <v>21938</v>
      </c>
      <c r="F4069" s="11" t="s">
        <v>21920</v>
      </c>
      <c r="G4069" s="11" t="s">
        <v>21939</v>
      </c>
      <c r="H4069" s="11" t="s">
        <v>21940</v>
      </c>
      <c r="I4069" s="11" t="str">
        <f>HYPERLINK("http://www.bonheurjeans.it/","www.bonheurjeans.it")</f>
        <v>www.bonheurjeans.it</v>
      </c>
      <c r="J4069" s="12">
        <v>451.88099999999997</v>
      </c>
      <c r="K4069" s="12">
        <v>451.88099999999997</v>
      </c>
      <c r="L4069" s="13">
        <v>317.471</v>
      </c>
      <c r="M4069" s="12">
        <v>12.254</v>
      </c>
      <c r="N4069" s="12">
        <v>12.254</v>
      </c>
      <c r="O4069" s="12">
        <v>13.673</v>
      </c>
      <c r="P4069" s="12">
        <v>2</v>
      </c>
      <c r="Q4069" s="12">
        <v>2</v>
      </c>
      <c r="R4069" s="12">
        <v>1</v>
      </c>
    </row>
    <row r="4070" spans="1:18" ht="29.5" customHeight="1" x14ac:dyDescent="0.15">
      <c r="A4070" s="8" t="s">
        <v>21941</v>
      </c>
      <c r="B4070" s="9" t="s">
        <v>21942</v>
      </c>
      <c r="C4070" s="8" t="s">
        <v>21943</v>
      </c>
      <c r="D4070" s="8" t="s">
        <v>21943</v>
      </c>
      <c r="E4070" s="8" t="s">
        <v>21944</v>
      </c>
      <c r="F4070" s="8" t="s">
        <v>21945</v>
      </c>
      <c r="G4070" s="8" t="s">
        <v>21946</v>
      </c>
      <c r="H4070" s="8" t="s">
        <v>21947</v>
      </c>
      <c r="I4070" s="8" t="str">
        <f>HYPERLINK("http://www.esseddisposa.it/","www.esseddisposa.it")</f>
        <v>www.esseddisposa.it</v>
      </c>
      <c r="J4070" s="10">
        <v>312.60000000000002</v>
      </c>
      <c r="K4070" s="10">
        <v>312.60000000000002</v>
      </c>
      <c r="L4070" s="10">
        <v>316.47300000000001</v>
      </c>
      <c r="M4070" s="10">
        <v>-7.7560000000000002</v>
      </c>
      <c r="N4070" s="10">
        <v>-7.7560000000000002</v>
      </c>
      <c r="O4070" s="10">
        <v>-98.227999999999994</v>
      </c>
      <c r="P4070" s="10">
        <v>4</v>
      </c>
      <c r="Q4070" s="10">
        <v>4</v>
      </c>
      <c r="R4070" s="10">
        <v>5</v>
      </c>
    </row>
    <row r="4071" spans="1:18" ht="17" customHeight="1" x14ac:dyDescent="0.15">
      <c r="A4071" s="11" t="s">
        <v>21948</v>
      </c>
      <c r="B4071" s="1" t="s">
        <v>21949</v>
      </c>
      <c r="C4071" s="11" t="s">
        <v>21950</v>
      </c>
      <c r="D4071" s="11" t="s">
        <v>21950</v>
      </c>
      <c r="E4071" s="11" t="s">
        <v>21951</v>
      </c>
      <c r="F4071" s="11" t="s">
        <v>21920</v>
      </c>
      <c r="G4071" s="11" t="s">
        <v>21952</v>
      </c>
      <c r="H4071" s="11" t="s">
        <v>21953</v>
      </c>
      <c r="I4071" s="11" t="str">
        <f>HYPERLINK("http://www.confezionilisa.it/","www.confezionilisa.it")</f>
        <v>www.confezionilisa.it</v>
      </c>
      <c r="J4071" s="12">
        <v>413.678</v>
      </c>
      <c r="K4071" s="12">
        <v>413.678</v>
      </c>
      <c r="L4071" s="13">
        <v>315.85700000000003</v>
      </c>
      <c r="M4071" s="12">
        <v>116.133</v>
      </c>
      <c r="N4071" s="12">
        <v>116.133</v>
      </c>
      <c r="O4071" s="12">
        <v>63.619</v>
      </c>
      <c r="P4071" s="12">
        <v>7</v>
      </c>
      <c r="Q4071" s="12">
        <v>7</v>
      </c>
      <c r="R4071" s="12">
        <v>7</v>
      </c>
    </row>
    <row r="4072" spans="1:18" ht="17" customHeight="1" x14ac:dyDescent="0.15">
      <c r="A4072" s="8" t="s">
        <v>21954</v>
      </c>
      <c r="B4072" s="9" t="s">
        <v>21955</v>
      </c>
      <c r="C4072" s="8" t="s">
        <v>21956</v>
      </c>
      <c r="D4072" s="8" t="s">
        <v>21956</v>
      </c>
      <c r="E4072" s="8" t="s">
        <v>21957</v>
      </c>
      <c r="F4072" s="8" t="s">
        <v>21958</v>
      </c>
      <c r="G4072" s="8" t="s">
        <v>21959</v>
      </c>
      <c r="H4072" s="8" t="s">
        <v>21922</v>
      </c>
      <c r="I4072" s="8" t="str">
        <f>HYPERLINK("http://www.argostannery.it/","www.argostannery.it")</f>
        <v>www.argostannery.it</v>
      </c>
      <c r="J4072" s="10">
        <v>333.42399999999998</v>
      </c>
      <c r="K4072" s="10">
        <v>333.42399999999998</v>
      </c>
      <c r="L4072" s="10">
        <v>315.60500000000002</v>
      </c>
      <c r="M4072" s="10">
        <v>22.178000000000001</v>
      </c>
      <c r="N4072" s="10">
        <v>22.178000000000001</v>
      </c>
      <c r="O4072" s="10">
        <v>35.457000000000001</v>
      </c>
      <c r="P4072" s="15" t="s">
        <v>21915</v>
      </c>
      <c r="Q4072" s="15" t="s">
        <v>21915</v>
      </c>
      <c r="R4072" s="10">
        <v>0</v>
      </c>
    </row>
    <row r="4073" spans="1:18" ht="17" customHeight="1" x14ac:dyDescent="0.15">
      <c r="A4073" s="11" t="s">
        <v>21960</v>
      </c>
      <c r="B4073" s="1" t="s">
        <v>21961</v>
      </c>
      <c r="C4073" s="11" t="s">
        <v>21962</v>
      </c>
      <c r="D4073" s="11" t="s">
        <v>21962</v>
      </c>
      <c r="E4073" s="11" t="s">
        <v>21963</v>
      </c>
      <c r="F4073" s="11" t="s">
        <v>21964</v>
      </c>
      <c r="G4073" s="11" t="s">
        <v>21965</v>
      </c>
      <c r="H4073" s="11" t="s">
        <v>21966</v>
      </c>
      <c r="I4073" s="11" t="str">
        <f>HYPERLINK("http://www.marcosottotacchi.it/","www.marcosottotacchi.it")</f>
        <v>www.marcosottotacchi.it</v>
      </c>
      <c r="J4073" s="12">
        <v>313.20499999999998</v>
      </c>
      <c r="K4073" s="12">
        <v>313.20499999999998</v>
      </c>
      <c r="L4073" s="13">
        <v>315.23</v>
      </c>
      <c r="M4073" s="12">
        <v>110.129</v>
      </c>
      <c r="N4073" s="12">
        <v>110.129</v>
      </c>
      <c r="O4073" s="12">
        <v>66.637</v>
      </c>
      <c r="P4073" s="12">
        <v>2</v>
      </c>
      <c r="Q4073" s="12">
        <v>2</v>
      </c>
      <c r="R4073" s="12">
        <v>0</v>
      </c>
    </row>
    <row r="4074" spans="1:18" ht="43" customHeight="1" x14ac:dyDescent="0.15">
      <c r="A4074" s="8" t="s">
        <v>21967</v>
      </c>
      <c r="B4074" s="9" t="s">
        <v>21968</v>
      </c>
      <c r="C4074" s="8" t="s">
        <v>21969</v>
      </c>
      <c r="D4074" s="8" t="s">
        <v>21969</v>
      </c>
      <c r="E4074" s="8" t="s">
        <v>21970</v>
      </c>
      <c r="F4074" s="8" t="s">
        <v>21971</v>
      </c>
      <c r="G4074" s="8" t="s">
        <v>21972</v>
      </c>
      <c r="H4074" s="8" t="s">
        <v>21914</v>
      </c>
      <c r="I4074" s="8" t="str">
        <f>HYPERLINK("http://www.prontomaglia.it/","www.prontomaglia.it")</f>
        <v>www.prontomaglia.it</v>
      </c>
      <c r="J4074" s="10">
        <v>328.428</v>
      </c>
      <c r="K4074" s="10">
        <v>328.428</v>
      </c>
      <c r="L4074" s="10">
        <v>314.42899999999997</v>
      </c>
      <c r="M4074" s="10">
        <v>1</v>
      </c>
      <c r="N4074" s="10">
        <v>1</v>
      </c>
      <c r="O4074" s="10">
        <v>1.1679999999999999</v>
      </c>
      <c r="P4074" s="10">
        <v>6</v>
      </c>
      <c r="Q4074" s="10">
        <v>6</v>
      </c>
      <c r="R4074" s="10">
        <v>6</v>
      </c>
    </row>
    <row r="4075" spans="1:18" ht="17" customHeight="1" x14ac:dyDescent="0.15">
      <c r="A4075" s="11" t="s">
        <v>21973</v>
      </c>
      <c r="B4075" s="1" t="s">
        <v>21974</v>
      </c>
      <c r="C4075" s="11" t="s">
        <v>21975</v>
      </c>
      <c r="D4075" s="11" t="s">
        <v>21975</v>
      </c>
      <c r="E4075" s="11" t="s">
        <v>21976</v>
      </c>
      <c r="F4075" s="11" t="s">
        <v>21977</v>
      </c>
      <c r="G4075" s="11" t="s">
        <v>21978</v>
      </c>
      <c r="H4075" s="11" t="s">
        <v>21914</v>
      </c>
      <c r="I4075" s="11" t="str">
        <f>HYPERLINK("http://www.alanmartinitalia.it/","www.alanmartinitalia.it")</f>
        <v>www.alanmartinitalia.it</v>
      </c>
      <c r="J4075" s="12">
        <v>313.32499999999999</v>
      </c>
      <c r="K4075" s="12">
        <v>313.32499999999999</v>
      </c>
      <c r="L4075" s="13">
        <v>313.899</v>
      </c>
      <c r="M4075" s="12">
        <v>19.655000000000001</v>
      </c>
      <c r="N4075" s="12">
        <v>19.655000000000001</v>
      </c>
      <c r="O4075" s="12">
        <v>28.829000000000001</v>
      </c>
      <c r="P4075" s="12">
        <v>15</v>
      </c>
      <c r="Q4075" s="12">
        <v>15</v>
      </c>
      <c r="R4075" s="12">
        <v>6</v>
      </c>
    </row>
    <row r="4076" spans="1:18" ht="17" customHeight="1" x14ac:dyDescent="0.15">
      <c r="A4076" s="8" t="s">
        <v>21979</v>
      </c>
      <c r="B4076" s="9" t="s">
        <v>21980</v>
      </c>
      <c r="C4076" s="8" t="s">
        <v>21981</v>
      </c>
      <c r="D4076" s="8" t="s">
        <v>21981</v>
      </c>
      <c r="E4076" s="8" t="s">
        <v>21982</v>
      </c>
      <c r="F4076" s="8" t="s">
        <v>21958</v>
      </c>
      <c r="G4076" s="8" t="s">
        <v>21959</v>
      </c>
      <c r="H4076" s="8" t="s">
        <v>21922</v>
      </c>
      <c r="I4076" s="8" t="str">
        <f>HYPERLINK("http://www.ilforosrl.it/","www.ilforosrl.it")</f>
        <v>www.ilforosrl.it</v>
      </c>
      <c r="J4076" s="10">
        <v>277.14400000000001</v>
      </c>
      <c r="K4076" s="10">
        <v>277.14400000000001</v>
      </c>
      <c r="L4076" s="10">
        <v>313.43099999999998</v>
      </c>
      <c r="M4076" s="10">
        <v>-32.716999999999999</v>
      </c>
      <c r="N4076" s="10">
        <v>-32.716999999999999</v>
      </c>
      <c r="O4076" s="10">
        <v>-43.811999999999998</v>
      </c>
      <c r="P4076" s="10">
        <v>5</v>
      </c>
      <c r="Q4076" s="10">
        <v>5</v>
      </c>
      <c r="R4076" s="10">
        <v>6</v>
      </c>
    </row>
    <row r="4077" spans="1:18" ht="17" customHeight="1" x14ac:dyDescent="0.15">
      <c r="A4077" s="11" t="s">
        <v>21983</v>
      </c>
      <c r="B4077" s="1" t="s">
        <v>21984</v>
      </c>
      <c r="C4077" s="11" t="s">
        <v>21985</v>
      </c>
      <c r="D4077" s="11" t="s">
        <v>21985</v>
      </c>
      <c r="E4077" s="11" t="s">
        <v>21986</v>
      </c>
      <c r="F4077" s="11" t="s">
        <v>21927</v>
      </c>
      <c r="G4077" s="11" t="s">
        <v>21987</v>
      </c>
      <c r="H4077" s="11" t="s">
        <v>21988</v>
      </c>
      <c r="I4077" s="11" t="str">
        <f>HYPERLINK("http://www.mialuis.it/","www.mialuis.it")</f>
        <v>www.mialuis.it</v>
      </c>
      <c r="J4077" s="12">
        <v>168.405</v>
      </c>
      <c r="K4077" s="12">
        <v>168.405</v>
      </c>
      <c r="L4077" s="13">
        <v>313.06400000000002</v>
      </c>
      <c r="M4077" s="12">
        <v>-33.481000000000002</v>
      </c>
      <c r="N4077" s="12">
        <v>-33.481000000000002</v>
      </c>
      <c r="O4077" s="12">
        <v>-113.31</v>
      </c>
      <c r="P4077" s="12">
        <v>3</v>
      </c>
      <c r="Q4077" s="12">
        <v>3</v>
      </c>
      <c r="R4077" s="12">
        <v>3</v>
      </c>
    </row>
    <row r="4078" spans="1:18" ht="17" customHeight="1" x14ac:dyDescent="0.15">
      <c r="A4078" s="8" t="s">
        <v>21989</v>
      </c>
      <c r="B4078" s="9" t="s">
        <v>21990</v>
      </c>
      <c r="C4078" s="8" t="s">
        <v>21991</v>
      </c>
      <c r="D4078" s="8" t="s">
        <v>21991</v>
      </c>
      <c r="E4078" s="8" t="s">
        <v>21992</v>
      </c>
      <c r="F4078" s="8" t="s">
        <v>21993</v>
      </c>
      <c r="G4078" s="8" t="s">
        <v>21994</v>
      </c>
      <c r="H4078" s="8" t="s">
        <v>21995</v>
      </c>
      <c r="I4078" s="8" t="str">
        <f>HYPERLINK("http://www.cortedikel.it/","www.cortedikel.it")</f>
        <v>www.cortedikel.it</v>
      </c>
      <c r="J4078" s="10">
        <v>580.00300000000004</v>
      </c>
      <c r="K4078" s="10">
        <v>580.00300000000004</v>
      </c>
      <c r="L4078" s="10">
        <v>312.78100000000001</v>
      </c>
      <c r="M4078" s="10">
        <v>29.597999999999999</v>
      </c>
      <c r="N4078" s="10">
        <v>29.597999999999999</v>
      </c>
      <c r="O4078" s="10">
        <v>-30.196000000000002</v>
      </c>
      <c r="P4078" s="15" t="s">
        <v>21915</v>
      </c>
      <c r="Q4078" s="15" t="s">
        <v>21915</v>
      </c>
      <c r="R4078" s="10">
        <v>12</v>
      </c>
    </row>
    <row r="4079" spans="1:18" ht="17" customHeight="1" x14ac:dyDescent="0.15">
      <c r="A4079" s="11" t="s">
        <v>21996</v>
      </c>
      <c r="B4079" s="1" t="s">
        <v>21997</v>
      </c>
      <c r="C4079" s="11" t="s">
        <v>21998</v>
      </c>
      <c r="D4079" s="11" t="s">
        <v>21998</v>
      </c>
      <c r="E4079" s="11" t="s">
        <v>21999</v>
      </c>
      <c r="F4079" s="11" t="s">
        <v>22000</v>
      </c>
      <c r="G4079" s="11" t="s">
        <v>21946</v>
      </c>
      <c r="H4079" s="11" t="s">
        <v>21947</v>
      </c>
      <c r="I4079" s="11" t="str">
        <f>HYPERLINK("http://www.camiceriapendant.it/","www.camiceriapendant.it")</f>
        <v>www.camiceriapendant.it</v>
      </c>
      <c r="J4079" s="12">
        <v>453.01799999999997</v>
      </c>
      <c r="K4079" s="12">
        <v>453.01799999999997</v>
      </c>
      <c r="L4079" s="13">
        <v>312.25099999999998</v>
      </c>
      <c r="M4079" s="12">
        <v>9.2240000000000002</v>
      </c>
      <c r="N4079" s="12">
        <v>9.2240000000000002</v>
      </c>
      <c r="O4079" s="12">
        <v>12.803000000000001</v>
      </c>
      <c r="P4079" s="12">
        <v>5</v>
      </c>
      <c r="Q4079" s="12">
        <v>5</v>
      </c>
      <c r="R4079" s="12">
        <v>5</v>
      </c>
    </row>
    <row r="4080" spans="1:18" ht="17" customHeight="1" x14ac:dyDescent="0.15">
      <c r="A4080" s="8" t="s">
        <v>22001</v>
      </c>
      <c r="B4080" s="9" t="s">
        <v>22002</v>
      </c>
      <c r="C4080" s="8" t="s">
        <v>22003</v>
      </c>
      <c r="D4080" s="8" t="s">
        <v>22003</v>
      </c>
      <c r="E4080" s="8" t="s">
        <v>22004</v>
      </c>
      <c r="F4080" s="8" t="s">
        <v>21912</v>
      </c>
      <c r="G4080" s="8" t="s">
        <v>22005</v>
      </c>
      <c r="H4080" s="8" t="s">
        <v>21922</v>
      </c>
      <c r="I4080" s="8" t="str">
        <f>HYPERLINK("http://www.lartigianaviareggina.it/","www.lartigianaviareggina.it")</f>
        <v>www.lartigianaviareggina.it</v>
      </c>
      <c r="J4080" s="10">
        <v>392.11599999999999</v>
      </c>
      <c r="K4080" s="10">
        <v>392.11599999999999</v>
      </c>
      <c r="L4080" s="10">
        <v>312.13900000000001</v>
      </c>
      <c r="M4080" s="10">
        <v>-2.6059999999999999</v>
      </c>
      <c r="N4080" s="10">
        <v>-2.6059999999999999</v>
      </c>
      <c r="O4080" s="10">
        <v>0.76200000000000001</v>
      </c>
      <c r="P4080" s="10">
        <v>9</v>
      </c>
      <c r="Q4080" s="10">
        <v>9</v>
      </c>
      <c r="R4080" s="10">
        <v>9</v>
      </c>
    </row>
    <row r="4081" spans="1:18" ht="17" customHeight="1" x14ac:dyDescent="0.15">
      <c r="A4081" s="11" t="s">
        <v>22006</v>
      </c>
      <c r="B4081" s="1" t="s">
        <v>22007</v>
      </c>
      <c r="C4081" s="11" t="s">
        <v>22008</v>
      </c>
      <c r="D4081" s="11" t="s">
        <v>22008</v>
      </c>
      <c r="E4081" s="11" t="s">
        <v>22009</v>
      </c>
      <c r="F4081" s="11" t="s">
        <v>21971</v>
      </c>
      <c r="G4081" s="11" t="s">
        <v>22010</v>
      </c>
      <c r="H4081" s="11" t="s">
        <v>21966</v>
      </c>
      <c r="I4081" s="11" t="str">
        <f>HYPERLINK("http://www.carinaitaly.it/","www.carinaitaly.it")</f>
        <v>www.carinaitaly.it</v>
      </c>
      <c r="J4081" s="12">
        <v>332.702</v>
      </c>
      <c r="K4081" s="12">
        <v>332.702</v>
      </c>
      <c r="L4081" s="13">
        <v>311.94</v>
      </c>
      <c r="M4081" s="12">
        <v>4.931</v>
      </c>
      <c r="N4081" s="12">
        <v>4.931</v>
      </c>
      <c r="O4081" s="12">
        <v>7.6210000000000004</v>
      </c>
      <c r="P4081" s="12">
        <v>4</v>
      </c>
      <c r="Q4081" s="12">
        <v>4</v>
      </c>
      <c r="R4081" s="12">
        <v>5</v>
      </c>
    </row>
    <row r="4082" spans="1:18" ht="17" customHeight="1" x14ac:dyDescent="0.15">
      <c r="A4082" s="8" t="s">
        <v>22011</v>
      </c>
      <c r="B4082" s="9" t="s">
        <v>22012</v>
      </c>
      <c r="C4082" s="8" t="s">
        <v>22013</v>
      </c>
      <c r="D4082" s="8" t="s">
        <v>22013</v>
      </c>
      <c r="E4082" s="8" t="s">
        <v>22014</v>
      </c>
      <c r="F4082" s="8" t="s">
        <v>21971</v>
      </c>
      <c r="G4082" s="8" t="s">
        <v>22015</v>
      </c>
      <c r="H4082" s="8" t="s">
        <v>22016</v>
      </c>
      <c r="I4082" s="8" t="str">
        <f>HYPERLINK("http://www.dolcepunta.com/","www.dolcepunta.com")</f>
        <v>www.dolcepunta.com</v>
      </c>
      <c r="J4082" s="10">
        <v>261.39600000000002</v>
      </c>
      <c r="K4082" s="10">
        <v>261.39600000000002</v>
      </c>
      <c r="L4082" s="10">
        <v>311.25099999999998</v>
      </c>
      <c r="M4082" s="10">
        <v>9.1180000000000003</v>
      </c>
      <c r="N4082" s="10">
        <v>9.1180000000000003</v>
      </c>
      <c r="O4082" s="10">
        <v>14.994</v>
      </c>
      <c r="P4082" s="15" t="s">
        <v>21915</v>
      </c>
      <c r="Q4082" s="15" t="s">
        <v>21915</v>
      </c>
      <c r="R4082" s="10">
        <v>4</v>
      </c>
    </row>
    <row r="4083" spans="1:18" ht="17" customHeight="1" x14ac:dyDescent="0.15">
      <c r="A4083" s="11" t="s">
        <v>22017</v>
      </c>
      <c r="B4083" s="1" t="s">
        <v>22018</v>
      </c>
      <c r="C4083" s="11" t="s">
        <v>22019</v>
      </c>
      <c r="D4083" s="11" t="s">
        <v>22019</v>
      </c>
      <c r="E4083" s="11" t="s">
        <v>22020</v>
      </c>
      <c r="F4083" s="11" t="s">
        <v>21912</v>
      </c>
      <c r="G4083" s="11" t="s">
        <v>22010</v>
      </c>
      <c r="H4083" s="11" t="s">
        <v>21966</v>
      </c>
      <c r="I4083" s="11" t="str">
        <f>HYPERLINK("http://www.rossolatino.com/","www.rossolatino.com")</f>
        <v>www.rossolatino.com</v>
      </c>
      <c r="J4083" s="12">
        <v>338.601</v>
      </c>
      <c r="K4083" s="12">
        <v>338.601</v>
      </c>
      <c r="L4083" s="13">
        <v>310.7</v>
      </c>
      <c r="M4083" s="12">
        <v>-27.420999999999999</v>
      </c>
      <c r="N4083" s="12">
        <v>-27.420999999999999</v>
      </c>
      <c r="O4083" s="12">
        <v>-7.66</v>
      </c>
      <c r="P4083" s="14" t="s">
        <v>21915</v>
      </c>
      <c r="Q4083" s="14" t="s">
        <v>21915</v>
      </c>
      <c r="R4083" s="12">
        <v>7</v>
      </c>
    </row>
    <row r="4084" spans="1:18" ht="29.5" customHeight="1" x14ac:dyDescent="0.15">
      <c r="A4084" s="8" t="s">
        <v>22021</v>
      </c>
      <c r="B4084" s="9" t="s">
        <v>22022</v>
      </c>
      <c r="C4084" s="8" t="s">
        <v>22023</v>
      </c>
      <c r="D4084" s="8" t="s">
        <v>22023</v>
      </c>
      <c r="E4084" s="8" t="s">
        <v>22024</v>
      </c>
      <c r="F4084" s="8" t="s">
        <v>21912</v>
      </c>
      <c r="G4084" s="8" t="s">
        <v>22025</v>
      </c>
      <c r="H4084" s="8" t="s">
        <v>21934</v>
      </c>
      <c r="I4084" s="8" t="str">
        <f>HYPERLINK("http://www.crb-italy.it/","www.crb-italy.it")</f>
        <v>www.crb-italy.it</v>
      </c>
      <c r="J4084" s="10">
        <v>273.87900000000002</v>
      </c>
      <c r="K4084" s="10">
        <v>273.87900000000002</v>
      </c>
      <c r="L4084" s="10">
        <v>310.34500000000003</v>
      </c>
      <c r="M4084" s="10">
        <v>-6.1749999999999998</v>
      </c>
      <c r="N4084" s="10">
        <v>-6.1749999999999998</v>
      </c>
      <c r="O4084" s="10">
        <v>7.1539999999999999</v>
      </c>
      <c r="P4084" s="10">
        <v>2</v>
      </c>
      <c r="Q4084" s="10">
        <v>2</v>
      </c>
      <c r="R4084" s="10">
        <v>1</v>
      </c>
    </row>
    <row r="4085" spans="1:18" ht="17" customHeight="1" x14ac:dyDescent="0.15">
      <c r="A4085" s="11" t="s">
        <v>22026</v>
      </c>
      <c r="B4085" s="1" t="s">
        <v>22027</v>
      </c>
      <c r="C4085" s="11" t="s">
        <v>22028</v>
      </c>
      <c r="D4085" s="11" t="s">
        <v>22028</v>
      </c>
      <c r="E4085" s="11" t="s">
        <v>22029</v>
      </c>
      <c r="F4085" s="11" t="s">
        <v>21971</v>
      </c>
      <c r="G4085" s="11" t="s">
        <v>22030</v>
      </c>
      <c r="H4085" s="11" t="s">
        <v>21934</v>
      </c>
      <c r="I4085" s="11" t="str">
        <f>HYPERLINK("http://www.extreme-srl.it/","www.extreme-srl.it")</f>
        <v>www.extreme-srl.it</v>
      </c>
      <c r="J4085" s="12">
        <v>270.553</v>
      </c>
      <c r="K4085" s="12">
        <v>270.553</v>
      </c>
      <c r="L4085" s="13">
        <v>310.03899999999999</v>
      </c>
      <c r="M4085" s="12">
        <v>-63.457000000000001</v>
      </c>
      <c r="N4085" s="12">
        <v>-63.457000000000001</v>
      </c>
      <c r="O4085" s="12">
        <v>-21.721</v>
      </c>
      <c r="P4085" s="12">
        <v>13</v>
      </c>
      <c r="Q4085" s="12">
        <v>13</v>
      </c>
      <c r="R4085" s="12">
        <v>6</v>
      </c>
    </row>
    <row r="4086" spans="1:18" ht="29.5" customHeight="1" x14ac:dyDescent="0.15">
      <c r="A4086" s="8" t="s">
        <v>22031</v>
      </c>
      <c r="B4086" s="9" t="s">
        <v>22032</v>
      </c>
      <c r="C4086" s="8" t="s">
        <v>22033</v>
      </c>
      <c r="D4086" s="8" t="s">
        <v>22033</v>
      </c>
      <c r="E4086" s="8" t="s">
        <v>22034</v>
      </c>
      <c r="F4086" s="8" t="s">
        <v>21920</v>
      </c>
      <c r="G4086" s="8" t="s">
        <v>22035</v>
      </c>
      <c r="H4086" s="8" t="s">
        <v>21953</v>
      </c>
      <c r="I4086" s="8" t="str">
        <f>HYPERLINK("http://mauriziomassimino.it/","mauriziomassimino.it")</f>
        <v>mauriziomassimino.it</v>
      </c>
      <c r="J4086" s="10">
        <v>420.23500000000001</v>
      </c>
      <c r="K4086" s="10">
        <v>420.23500000000001</v>
      </c>
      <c r="L4086" s="10">
        <v>309.46699999999998</v>
      </c>
      <c r="M4086" s="10">
        <v>0.309</v>
      </c>
      <c r="N4086" s="10">
        <v>0.309</v>
      </c>
      <c r="O4086" s="10">
        <v>-10.722</v>
      </c>
      <c r="P4086" s="10">
        <v>4</v>
      </c>
      <c r="Q4086" s="10">
        <v>4</v>
      </c>
      <c r="R4086" s="10">
        <v>4</v>
      </c>
    </row>
    <row r="4087" spans="1:18" ht="17" customHeight="1" x14ac:dyDescent="0.15">
      <c r="A4087" s="11" t="s">
        <v>22036</v>
      </c>
      <c r="B4087" s="1" t="s">
        <v>22037</v>
      </c>
      <c r="C4087" s="11" t="s">
        <v>22038</v>
      </c>
      <c r="D4087" s="11" t="s">
        <v>22038</v>
      </c>
      <c r="E4087" s="11" t="s">
        <v>22039</v>
      </c>
      <c r="F4087" s="11" t="s">
        <v>21993</v>
      </c>
      <c r="G4087" s="11" t="s">
        <v>22040</v>
      </c>
      <c r="H4087" s="11" t="s">
        <v>21934</v>
      </c>
      <c r="I4087" s="11" t="str">
        <f>HYPERLINK("http://www.moratexcotton.it/","www.moratexcotton.it")</f>
        <v>www.moratexcotton.it</v>
      </c>
      <c r="J4087" s="12">
        <v>361.88900000000001</v>
      </c>
      <c r="K4087" s="12">
        <v>361.88900000000001</v>
      </c>
      <c r="L4087" s="13">
        <v>309.52499999999998</v>
      </c>
      <c r="M4087" s="12">
        <v>19.579999999999998</v>
      </c>
      <c r="N4087" s="12">
        <v>19.579999999999998</v>
      </c>
      <c r="O4087" s="12">
        <v>32.834000000000003</v>
      </c>
      <c r="P4087" s="14" t="s">
        <v>21915</v>
      </c>
      <c r="Q4087" s="14" t="s">
        <v>21915</v>
      </c>
      <c r="R4087" s="12">
        <v>6</v>
      </c>
    </row>
    <row r="4088" spans="1:18" ht="17" customHeight="1" x14ac:dyDescent="0.15">
      <c r="A4088" s="8" t="s">
        <v>22041</v>
      </c>
      <c r="B4088" s="9" t="s">
        <v>22042</v>
      </c>
      <c r="C4088" s="8" t="s">
        <v>22043</v>
      </c>
      <c r="D4088" s="8" t="s">
        <v>22043</v>
      </c>
      <c r="E4088" s="8" t="s">
        <v>22044</v>
      </c>
      <c r="F4088" s="8" t="s">
        <v>21927</v>
      </c>
      <c r="G4088" s="8" t="s">
        <v>22045</v>
      </c>
      <c r="H4088" s="8" t="s">
        <v>22016</v>
      </c>
      <c r="I4088" s="8" t="str">
        <f>HYPERLINK("http://www.vandadangeli.com/","www.vandadangeli.com")</f>
        <v>www.vandadangeli.com</v>
      </c>
      <c r="J4088" s="10">
        <v>309.50599999999997</v>
      </c>
      <c r="K4088" s="15" t="s">
        <v>21915</v>
      </c>
      <c r="L4088" s="10">
        <v>309.50599999999997</v>
      </c>
      <c r="M4088" s="10">
        <v>-60.353000000000002</v>
      </c>
      <c r="N4088" s="15" t="s">
        <v>21915</v>
      </c>
      <c r="O4088" s="10">
        <v>-60.353000000000002</v>
      </c>
      <c r="P4088" s="10">
        <v>1</v>
      </c>
      <c r="Q4088" s="15" t="s">
        <v>21915</v>
      </c>
      <c r="R4088" s="10">
        <v>1</v>
      </c>
    </row>
    <row r="4089" spans="1:18" ht="43" customHeight="1" x14ac:dyDescent="0.15">
      <c r="A4089" s="11" t="s">
        <v>22046</v>
      </c>
      <c r="B4089" s="1" t="s">
        <v>22047</v>
      </c>
      <c r="C4089" s="11" t="s">
        <v>22048</v>
      </c>
      <c r="D4089" s="11" t="s">
        <v>22048</v>
      </c>
      <c r="E4089" s="11" t="s">
        <v>22049</v>
      </c>
      <c r="F4089" s="11" t="s">
        <v>21912</v>
      </c>
      <c r="G4089" s="11" t="s">
        <v>22050</v>
      </c>
      <c r="H4089" s="11" t="s">
        <v>22051</v>
      </c>
      <c r="I4089" s="11" t="str">
        <f>HYPERLINK("http://amende.it/","amende.it")</f>
        <v>amende.it</v>
      </c>
      <c r="J4089" s="12">
        <v>369.66300000000001</v>
      </c>
      <c r="K4089" s="12">
        <v>369.66300000000001</v>
      </c>
      <c r="L4089" s="13">
        <v>309.24099999999999</v>
      </c>
      <c r="M4089" s="12">
        <v>10.269</v>
      </c>
      <c r="N4089" s="12">
        <v>10.269</v>
      </c>
      <c r="O4089" s="12">
        <v>24.792999999999999</v>
      </c>
      <c r="P4089" s="14" t="s">
        <v>21915</v>
      </c>
      <c r="Q4089" s="14" t="s">
        <v>21915</v>
      </c>
      <c r="R4089" s="12">
        <v>1</v>
      </c>
    </row>
    <row r="4090" spans="1:18" ht="17" customHeight="1" x14ac:dyDescent="0.15">
      <c r="A4090" s="8" t="s">
        <v>22052</v>
      </c>
      <c r="B4090" s="9" t="s">
        <v>22053</v>
      </c>
      <c r="C4090" s="8" t="s">
        <v>22054</v>
      </c>
      <c r="D4090" s="8" t="s">
        <v>22054</v>
      </c>
      <c r="E4090" s="8" t="s">
        <v>22055</v>
      </c>
      <c r="F4090" s="8" t="s">
        <v>21993</v>
      </c>
      <c r="G4090" s="8" t="s">
        <v>22056</v>
      </c>
      <c r="H4090" s="8" t="s">
        <v>21995</v>
      </c>
      <c r="I4090" s="8" t="str">
        <f>HYPERLINK("http://casteltodino.impresarosso.it/","casteltodino.impresarosso.it")</f>
        <v>casteltodino.impresarosso.it</v>
      </c>
      <c r="J4090" s="10">
        <v>304.625</v>
      </c>
      <c r="K4090" s="10">
        <v>304.625</v>
      </c>
      <c r="L4090" s="10">
        <v>308.19499999999999</v>
      </c>
      <c r="M4090" s="10">
        <v>19.143000000000001</v>
      </c>
      <c r="N4090" s="10">
        <v>19.143000000000001</v>
      </c>
      <c r="O4090" s="10">
        <v>16.545999999999999</v>
      </c>
      <c r="P4090" s="10">
        <v>3</v>
      </c>
      <c r="Q4090" s="10">
        <v>3</v>
      </c>
      <c r="R4090" s="10">
        <v>3</v>
      </c>
    </row>
    <row r="4091" spans="1:18" ht="17" customHeight="1" x14ac:dyDescent="0.15">
      <c r="A4091" s="11" t="s">
        <v>22057</v>
      </c>
      <c r="B4091" s="1" t="s">
        <v>22058</v>
      </c>
      <c r="C4091" s="11" t="s">
        <v>22059</v>
      </c>
      <c r="D4091" s="11" t="s">
        <v>22059</v>
      </c>
      <c r="E4091" s="11" t="s">
        <v>22060</v>
      </c>
      <c r="F4091" s="11" t="s">
        <v>21912</v>
      </c>
      <c r="G4091" s="11" t="s">
        <v>22061</v>
      </c>
      <c r="H4091" s="11" t="s">
        <v>21914</v>
      </c>
      <c r="I4091" s="11" t="str">
        <f>HYPERLINK("http://www.tendanse.it/","www.tendanse.it")</f>
        <v>www.tendanse.it</v>
      </c>
      <c r="J4091" s="12">
        <v>429.13099999999997</v>
      </c>
      <c r="K4091" s="12">
        <v>429.13099999999997</v>
      </c>
      <c r="L4091" s="13">
        <v>307.55200000000002</v>
      </c>
      <c r="M4091" s="12">
        <v>20.295999999999999</v>
      </c>
      <c r="N4091" s="12">
        <v>20.295999999999999</v>
      </c>
      <c r="O4091" s="12">
        <v>14.843</v>
      </c>
      <c r="P4091" s="14" t="s">
        <v>21915</v>
      </c>
      <c r="Q4091" s="14" t="s">
        <v>21915</v>
      </c>
      <c r="R4091" s="14" t="s">
        <v>21915</v>
      </c>
    </row>
    <row r="4092" spans="1:18" ht="17" customHeight="1" x14ac:dyDescent="0.15">
      <c r="A4092" s="8" t="s">
        <v>22062</v>
      </c>
      <c r="B4092" s="9" t="s">
        <v>22063</v>
      </c>
      <c r="C4092" s="8" t="s">
        <v>22064</v>
      </c>
      <c r="D4092" s="8" t="s">
        <v>22064</v>
      </c>
      <c r="E4092" s="8" t="s">
        <v>22065</v>
      </c>
      <c r="F4092" s="8" t="s">
        <v>22066</v>
      </c>
      <c r="G4092" s="8" t="s">
        <v>22035</v>
      </c>
      <c r="H4092" s="8" t="s">
        <v>21953</v>
      </c>
      <c r="I4092" s="8" t="str">
        <f>HYPERLINK("http://www.sinclair.it/","www.sinclair.it")</f>
        <v>www.sinclair.it</v>
      </c>
      <c r="J4092" s="10">
        <v>238.691</v>
      </c>
      <c r="K4092" s="10">
        <v>238.691</v>
      </c>
      <c r="L4092" s="10">
        <v>307.36399999999998</v>
      </c>
      <c r="M4092" s="10">
        <v>-13.617000000000001</v>
      </c>
      <c r="N4092" s="10">
        <v>-13.617000000000001</v>
      </c>
      <c r="O4092" s="10">
        <v>28.632999999999999</v>
      </c>
      <c r="P4092" s="15" t="s">
        <v>21915</v>
      </c>
      <c r="Q4092" s="15" t="s">
        <v>21915</v>
      </c>
      <c r="R4092" s="15" t="s">
        <v>21915</v>
      </c>
    </row>
    <row r="4093" spans="1:18" ht="17" customHeight="1" x14ac:dyDescent="0.15">
      <c r="A4093" s="11" t="s">
        <v>22067</v>
      </c>
      <c r="B4093" s="1" t="s">
        <v>22068</v>
      </c>
      <c r="C4093" s="11" t="s">
        <v>22069</v>
      </c>
      <c r="D4093" s="11" t="s">
        <v>22069</v>
      </c>
      <c r="E4093" s="11" t="s">
        <v>22070</v>
      </c>
      <c r="F4093" s="11" t="s">
        <v>21945</v>
      </c>
      <c r="G4093" s="11" t="s">
        <v>21987</v>
      </c>
      <c r="H4093" s="11" t="s">
        <v>21988</v>
      </c>
      <c r="I4093" s="11" t="str">
        <f>HYPERLINK("http://sapfighting.com/","sapfighting.com")</f>
        <v>sapfighting.com</v>
      </c>
      <c r="J4093" s="12">
        <v>417.58</v>
      </c>
      <c r="K4093" s="12">
        <v>417.58</v>
      </c>
      <c r="L4093" s="13">
        <v>307.036</v>
      </c>
      <c r="M4093" s="12">
        <v>3.044</v>
      </c>
      <c r="N4093" s="12">
        <v>3.044</v>
      </c>
      <c r="O4093" s="12">
        <v>-65.073999999999998</v>
      </c>
      <c r="P4093" s="12">
        <v>1</v>
      </c>
      <c r="Q4093" s="12">
        <v>1</v>
      </c>
      <c r="R4093" s="12">
        <v>1</v>
      </c>
    </row>
    <row r="4094" spans="1:18" ht="17" customHeight="1" x14ac:dyDescent="0.15">
      <c r="A4094" s="8" t="s">
        <v>22071</v>
      </c>
      <c r="B4094" s="9" t="s">
        <v>22072</v>
      </c>
      <c r="C4094" s="8" t="s">
        <v>22073</v>
      </c>
      <c r="D4094" s="8" t="s">
        <v>22073</v>
      </c>
      <c r="E4094" s="8" t="s">
        <v>22074</v>
      </c>
      <c r="F4094" s="8" t="s">
        <v>21964</v>
      </c>
      <c r="G4094" s="8" t="s">
        <v>22010</v>
      </c>
      <c r="H4094" s="8" t="s">
        <v>21966</v>
      </c>
      <c r="I4094" s="8" t="str">
        <f>HYPERLINK("http://www.stella.solesfactory.it/","www.stella.solesfactory.it")</f>
        <v>www.stella.solesfactory.it</v>
      </c>
      <c r="J4094" s="10">
        <v>291.83199999999999</v>
      </c>
      <c r="K4094" s="10">
        <v>291.83199999999999</v>
      </c>
      <c r="L4094" s="10">
        <v>306.54599999999999</v>
      </c>
      <c r="M4094" s="10">
        <v>-17.454999999999998</v>
      </c>
      <c r="N4094" s="10">
        <v>-17.454999999999998</v>
      </c>
      <c r="O4094" s="10">
        <v>1.39</v>
      </c>
      <c r="P4094" s="10">
        <v>5</v>
      </c>
      <c r="Q4094" s="10">
        <v>5</v>
      </c>
      <c r="R4094" s="10">
        <v>5</v>
      </c>
    </row>
    <row r="4095" spans="1:18" ht="29.5" customHeight="1" x14ac:dyDescent="0.15">
      <c r="A4095" s="11" t="s">
        <v>22075</v>
      </c>
      <c r="B4095" s="1" t="s">
        <v>22076</v>
      </c>
      <c r="C4095" s="11" t="s">
        <v>22077</v>
      </c>
      <c r="D4095" s="11" t="s">
        <v>22077</v>
      </c>
      <c r="E4095" s="11" t="s">
        <v>22078</v>
      </c>
      <c r="F4095" s="11" t="s">
        <v>21977</v>
      </c>
      <c r="G4095" s="11" t="s">
        <v>22079</v>
      </c>
      <c r="H4095" s="11" t="s">
        <v>22080</v>
      </c>
      <c r="I4095" s="11" t="str">
        <f>HYPERLINK("http://www.atelieralfaroneascioti.com/","www.atelieralfaroneascioti.com")</f>
        <v>www.atelieralfaroneascioti.com</v>
      </c>
      <c r="J4095" s="12">
        <v>308.98</v>
      </c>
      <c r="K4095" s="12">
        <v>308.98</v>
      </c>
      <c r="L4095" s="13">
        <v>306.05200000000002</v>
      </c>
      <c r="M4095" s="12">
        <v>6.383</v>
      </c>
      <c r="N4095" s="12">
        <v>6.383</v>
      </c>
      <c r="O4095" s="12">
        <v>13.835000000000001</v>
      </c>
      <c r="P4095" s="12">
        <v>2</v>
      </c>
      <c r="Q4095" s="12">
        <v>2</v>
      </c>
      <c r="R4095" s="12">
        <v>2</v>
      </c>
    </row>
    <row r="4096" spans="1:18" ht="17" customHeight="1" x14ac:dyDescent="0.15">
      <c r="A4096" s="8" t="s">
        <v>22081</v>
      </c>
      <c r="B4096" s="9" t="s">
        <v>22082</v>
      </c>
      <c r="C4096" s="8" t="s">
        <v>22083</v>
      </c>
      <c r="D4096" s="8" t="s">
        <v>22083</v>
      </c>
      <c r="E4096" s="8" t="s">
        <v>22084</v>
      </c>
      <c r="F4096" s="8" t="s">
        <v>21977</v>
      </c>
      <c r="G4096" s="8" t="s">
        <v>22025</v>
      </c>
      <c r="H4096" s="8" t="s">
        <v>21934</v>
      </c>
      <c r="I4096" s="8" t="str">
        <f>HYPERLINK("http://www.sartoriavergallo.com/","www.sartoriavergallo.com")</f>
        <v>www.sartoriavergallo.com</v>
      </c>
      <c r="J4096" s="10">
        <v>219.63800000000001</v>
      </c>
      <c r="K4096" s="10">
        <v>219.63800000000001</v>
      </c>
      <c r="L4096" s="10">
        <v>306.01600000000002</v>
      </c>
      <c r="M4096" s="10">
        <v>-130.06200000000001</v>
      </c>
      <c r="N4096" s="10">
        <v>-130.06200000000001</v>
      </c>
      <c r="O4096" s="10">
        <v>-23.497</v>
      </c>
      <c r="P4096" s="10">
        <v>3</v>
      </c>
      <c r="Q4096" s="10">
        <v>3</v>
      </c>
      <c r="R4096" s="10">
        <v>3</v>
      </c>
    </row>
    <row r="4097" spans="1:18" ht="17" customHeight="1" x14ac:dyDescent="0.15">
      <c r="A4097" s="11" t="s">
        <v>22085</v>
      </c>
      <c r="B4097" s="1" t="s">
        <v>22086</v>
      </c>
      <c r="C4097" s="11" t="s">
        <v>22087</v>
      </c>
      <c r="D4097" s="11" t="s">
        <v>22087</v>
      </c>
      <c r="E4097" s="11" t="s">
        <v>22088</v>
      </c>
      <c r="F4097" s="11" t="s">
        <v>22089</v>
      </c>
      <c r="G4097" s="11" t="s">
        <v>22090</v>
      </c>
      <c r="H4097" s="11" t="s">
        <v>22091</v>
      </c>
      <c r="I4097" s="11" t="str">
        <f>HYPERLINK("http://capalbio.com/","capalbio.com")</f>
        <v>capalbio.com</v>
      </c>
      <c r="J4097" s="12">
        <v>257.06400000000002</v>
      </c>
      <c r="K4097" s="12">
        <v>257.06400000000002</v>
      </c>
      <c r="L4097" s="13">
        <v>305.16000000000003</v>
      </c>
      <c r="M4097" s="12">
        <v>-56.56</v>
      </c>
      <c r="N4097" s="12">
        <v>-56.56</v>
      </c>
      <c r="O4097" s="12">
        <v>-45.841999999999999</v>
      </c>
      <c r="P4097" s="14" t="s">
        <v>22092</v>
      </c>
      <c r="Q4097" s="14" t="s">
        <v>22092</v>
      </c>
      <c r="R4097" s="12">
        <v>1</v>
      </c>
    </row>
    <row r="4098" spans="1:18" ht="17" customHeight="1" x14ac:dyDescent="0.15">
      <c r="A4098" s="8" t="s">
        <v>22093</v>
      </c>
      <c r="B4098" s="9" t="s">
        <v>22094</v>
      </c>
      <c r="C4098" s="8" t="s">
        <v>22095</v>
      </c>
      <c r="D4098" s="8" t="s">
        <v>22095</v>
      </c>
      <c r="E4098" s="8" t="s">
        <v>22096</v>
      </c>
      <c r="F4098" s="8" t="s">
        <v>22097</v>
      </c>
      <c r="G4098" s="8" t="s">
        <v>22098</v>
      </c>
      <c r="H4098" s="8" t="s">
        <v>22091</v>
      </c>
      <c r="I4098" s="8" t="str">
        <f>HYPERLINK("http://www.maglificioeval.it/","www.maglificioeval.it")</f>
        <v>www.maglificioeval.it</v>
      </c>
      <c r="J4098" s="10">
        <v>334.81799999999998</v>
      </c>
      <c r="K4098" s="10">
        <v>334.81799999999998</v>
      </c>
      <c r="L4098" s="10">
        <v>304.92099999999999</v>
      </c>
      <c r="M4098" s="10">
        <v>13.167999999999999</v>
      </c>
      <c r="N4098" s="10">
        <v>13.167999999999999</v>
      </c>
      <c r="O4098" s="10">
        <v>18.414000000000001</v>
      </c>
      <c r="P4098" s="10">
        <v>0</v>
      </c>
      <c r="Q4098" s="10">
        <v>0</v>
      </c>
      <c r="R4098" s="10">
        <v>0</v>
      </c>
    </row>
    <row r="4099" spans="1:18" ht="17" customHeight="1" x14ac:dyDescent="0.15">
      <c r="A4099" s="11" t="s">
        <v>22099</v>
      </c>
      <c r="B4099" s="1" t="s">
        <v>22100</v>
      </c>
      <c r="C4099" s="11" t="s">
        <v>22101</v>
      </c>
      <c r="D4099" s="11" t="s">
        <v>22101</v>
      </c>
      <c r="E4099" s="11" t="s">
        <v>22102</v>
      </c>
      <c r="F4099" s="11" t="s">
        <v>22103</v>
      </c>
      <c r="G4099" s="11" t="s">
        <v>22104</v>
      </c>
      <c r="H4099" s="11" t="s">
        <v>22105</v>
      </c>
      <c r="I4099" s="11" t="str">
        <f>HYPERLINK("http://www.essegi2.it/","www.essegi2.it")</f>
        <v>www.essegi2.it</v>
      </c>
      <c r="J4099" s="12">
        <v>112.505</v>
      </c>
      <c r="K4099" s="12">
        <v>112.505</v>
      </c>
      <c r="L4099" s="13">
        <v>304.709</v>
      </c>
      <c r="M4099" s="12">
        <v>24.248999999999999</v>
      </c>
      <c r="N4099" s="12">
        <v>24.248999999999999</v>
      </c>
      <c r="O4099" s="12">
        <v>-29.814</v>
      </c>
      <c r="P4099" s="12">
        <v>1</v>
      </c>
      <c r="Q4099" s="12">
        <v>1</v>
      </c>
      <c r="R4099" s="12">
        <v>3</v>
      </c>
    </row>
    <row r="4100" spans="1:18" ht="43" customHeight="1" x14ac:dyDescent="0.15">
      <c r="A4100" s="8" t="s">
        <v>22106</v>
      </c>
      <c r="B4100" s="9" t="s">
        <v>22107</v>
      </c>
      <c r="C4100" s="8" t="s">
        <v>22108</v>
      </c>
      <c r="D4100" s="8" t="s">
        <v>22108</v>
      </c>
      <c r="E4100" s="8" t="s">
        <v>22109</v>
      </c>
      <c r="F4100" s="8" t="s">
        <v>22089</v>
      </c>
      <c r="G4100" s="8" t="s">
        <v>22110</v>
      </c>
      <c r="H4100" s="8" t="s">
        <v>22111</v>
      </c>
      <c r="I4100" s="8" t="str">
        <f>HYPERLINK("http://www.shitateconfezioni.it/","www.shitateconfezioni.it")</f>
        <v>www.shitateconfezioni.it</v>
      </c>
      <c r="J4100" s="10">
        <v>303.57299999999998</v>
      </c>
      <c r="K4100" s="15" t="s">
        <v>22092</v>
      </c>
      <c r="L4100" s="10">
        <v>303.57299999999998</v>
      </c>
      <c r="M4100" s="10">
        <v>6.0880000000000001</v>
      </c>
      <c r="N4100" s="15" t="s">
        <v>22092</v>
      </c>
      <c r="O4100" s="10">
        <v>6.0880000000000001</v>
      </c>
      <c r="P4100" s="10">
        <v>10</v>
      </c>
      <c r="Q4100" s="15" t="s">
        <v>22092</v>
      </c>
      <c r="R4100" s="10">
        <v>10</v>
      </c>
    </row>
    <row r="4101" spans="1:18" ht="17" customHeight="1" x14ac:dyDescent="0.15">
      <c r="A4101" s="11" t="s">
        <v>22112</v>
      </c>
      <c r="B4101" s="1" t="s">
        <v>22113</v>
      </c>
      <c r="C4101" s="11" t="s">
        <v>22114</v>
      </c>
      <c r="D4101" s="11" t="s">
        <v>22114</v>
      </c>
      <c r="E4101" s="11" t="s">
        <v>22115</v>
      </c>
      <c r="F4101" s="11" t="s">
        <v>22097</v>
      </c>
      <c r="G4101" s="11" t="s">
        <v>22116</v>
      </c>
      <c r="H4101" s="11" t="s">
        <v>22117</v>
      </c>
      <c r="I4101" s="11" t="str">
        <f>HYPERLINK("http://erendiraitalia.it/","erendiraitalia.it")</f>
        <v>erendiraitalia.it</v>
      </c>
      <c r="J4101" s="12">
        <v>303.476</v>
      </c>
      <c r="K4101" s="12">
        <v>303.476</v>
      </c>
      <c r="L4101" s="13">
        <v>303.334</v>
      </c>
      <c r="M4101" s="12">
        <v>-43.716999999999999</v>
      </c>
      <c r="N4101" s="12">
        <v>-43.716999999999999</v>
      </c>
      <c r="O4101" s="12">
        <v>-28.53</v>
      </c>
      <c r="P4101" s="12">
        <v>2</v>
      </c>
      <c r="Q4101" s="12">
        <v>2</v>
      </c>
      <c r="R4101" s="12">
        <v>2</v>
      </c>
    </row>
    <row r="4102" spans="1:18" ht="17" customHeight="1" x14ac:dyDescent="0.15">
      <c r="A4102" s="8" t="s">
        <v>22118</v>
      </c>
      <c r="B4102" s="9" t="s">
        <v>22119</v>
      </c>
      <c r="C4102" s="8" t="s">
        <v>22120</v>
      </c>
      <c r="D4102" s="8" t="s">
        <v>22120</v>
      </c>
      <c r="E4102" s="8" t="s">
        <v>22121</v>
      </c>
      <c r="F4102" s="8" t="s">
        <v>22122</v>
      </c>
      <c r="G4102" s="8" t="s">
        <v>22123</v>
      </c>
      <c r="H4102" s="8" t="s">
        <v>22124</v>
      </c>
      <c r="I4102" s="8" t="str">
        <f>HYPERLINK("http://www.mamosrl.it/","www.mamosrl.it")</f>
        <v>www.mamosrl.it</v>
      </c>
      <c r="J4102" s="10">
        <v>581.62699999999995</v>
      </c>
      <c r="K4102" s="10">
        <v>581.62699999999995</v>
      </c>
      <c r="L4102" s="10">
        <v>301.35199999999998</v>
      </c>
      <c r="M4102" s="10">
        <v>29.425999999999998</v>
      </c>
      <c r="N4102" s="10">
        <v>29.425999999999998</v>
      </c>
      <c r="O4102" s="10">
        <v>-33.179000000000002</v>
      </c>
      <c r="P4102" s="15" t="s">
        <v>22092</v>
      </c>
      <c r="Q4102" s="15" t="s">
        <v>22092</v>
      </c>
      <c r="R4102" s="10">
        <v>2</v>
      </c>
    </row>
    <row r="4103" spans="1:18" ht="17" customHeight="1" x14ac:dyDescent="0.15">
      <c r="A4103" s="11" t="s">
        <v>22125</v>
      </c>
      <c r="B4103" s="1" t="s">
        <v>22126</v>
      </c>
      <c r="C4103" s="11" t="s">
        <v>22127</v>
      </c>
      <c r="D4103" s="11" t="s">
        <v>22127</v>
      </c>
      <c r="E4103" s="11" t="s">
        <v>22128</v>
      </c>
      <c r="F4103" s="11" t="s">
        <v>22129</v>
      </c>
      <c r="G4103" s="11" t="s">
        <v>22130</v>
      </c>
      <c r="H4103" s="11" t="s">
        <v>22091</v>
      </c>
      <c r="I4103" s="11" t="str">
        <f>HYPERLINK("http://www.sartoriavenezia24.it/","www.sartoriavenezia24.it")</f>
        <v>www.sartoriavenezia24.it</v>
      </c>
      <c r="J4103" s="12">
        <v>372.93700000000001</v>
      </c>
      <c r="K4103" s="12">
        <v>372.93700000000001</v>
      </c>
      <c r="L4103" s="13">
        <v>300.19600000000003</v>
      </c>
      <c r="M4103" s="12">
        <v>0.58299999999999996</v>
      </c>
      <c r="N4103" s="12">
        <v>0.58299999999999996</v>
      </c>
      <c r="O4103" s="12">
        <v>3.99</v>
      </c>
      <c r="P4103" s="12">
        <v>8</v>
      </c>
      <c r="Q4103" s="12">
        <v>8</v>
      </c>
      <c r="R4103" s="12">
        <v>7</v>
      </c>
    </row>
    <row r="4104" spans="1:18" ht="17" customHeight="1" x14ac:dyDescent="0.15">
      <c r="A4104" s="8" t="s">
        <v>22131</v>
      </c>
      <c r="B4104" s="9" t="s">
        <v>22132</v>
      </c>
      <c r="C4104" s="8" t="s">
        <v>22133</v>
      </c>
      <c r="D4104" s="8" t="s">
        <v>22133</v>
      </c>
      <c r="E4104" s="8" t="s">
        <v>22134</v>
      </c>
      <c r="F4104" s="8" t="s">
        <v>22135</v>
      </c>
      <c r="G4104" s="8" t="s">
        <v>22136</v>
      </c>
      <c r="H4104" s="8" t="s">
        <v>22137</v>
      </c>
      <c r="I4104" s="8" t="str">
        <f>HYPERLINK("http://www.calzatureladymary.it/","www.calzatureladymary.it")</f>
        <v>www.calzatureladymary.it</v>
      </c>
      <c r="J4104" s="10">
        <v>321.80099999999999</v>
      </c>
      <c r="K4104" s="10">
        <v>321.80099999999999</v>
      </c>
      <c r="L4104" s="10">
        <v>299.51799999999997</v>
      </c>
      <c r="M4104" s="10">
        <v>4.78</v>
      </c>
      <c r="N4104" s="10">
        <v>4.78</v>
      </c>
      <c r="O4104" s="10">
        <v>1.286</v>
      </c>
      <c r="P4104" s="10">
        <v>3</v>
      </c>
      <c r="Q4104" s="10">
        <v>3</v>
      </c>
      <c r="R4104" s="10">
        <v>3</v>
      </c>
    </row>
    <row r="4105" spans="1:18" ht="17" customHeight="1" x14ac:dyDescent="0.15">
      <c r="A4105" s="11" t="s">
        <v>22138</v>
      </c>
      <c r="B4105" s="1" t="s">
        <v>22139</v>
      </c>
      <c r="C4105" s="11" t="s">
        <v>22140</v>
      </c>
      <c r="D4105" s="11" t="s">
        <v>22140</v>
      </c>
      <c r="E4105" s="11" t="s">
        <v>22141</v>
      </c>
      <c r="F4105" s="11" t="s">
        <v>22142</v>
      </c>
      <c r="G4105" s="11" t="s">
        <v>22123</v>
      </c>
      <c r="H4105" s="11" t="s">
        <v>22124</v>
      </c>
      <c r="I4105" s="11" t="str">
        <f>HYPERLINK("http://www.marcobuggiani.it/","www.marcobuggiani.it")</f>
        <v>www.marcobuggiani.it</v>
      </c>
      <c r="J4105" s="12">
        <v>230.63800000000001</v>
      </c>
      <c r="K4105" s="12">
        <v>230.63800000000001</v>
      </c>
      <c r="L4105" s="13">
        <v>299.05799999999999</v>
      </c>
      <c r="M4105" s="12">
        <v>29.245000000000001</v>
      </c>
      <c r="N4105" s="12">
        <v>29.245000000000001</v>
      </c>
      <c r="O4105" s="12">
        <v>54.167000000000002</v>
      </c>
      <c r="P4105" s="14" t="s">
        <v>22092</v>
      </c>
      <c r="Q4105" s="14" t="s">
        <v>22092</v>
      </c>
      <c r="R4105" s="14" t="s">
        <v>22092</v>
      </c>
    </row>
    <row r="4106" spans="1:18" ht="17" customHeight="1" x14ac:dyDescent="0.15">
      <c r="A4106" s="8" t="s">
        <v>22143</v>
      </c>
      <c r="B4106" s="9" t="s">
        <v>22144</v>
      </c>
      <c r="C4106" s="8" t="s">
        <v>22145</v>
      </c>
      <c r="D4106" s="8" t="s">
        <v>22145</v>
      </c>
      <c r="E4106" s="8" t="s">
        <v>22146</v>
      </c>
      <c r="F4106" s="8" t="s">
        <v>22147</v>
      </c>
      <c r="G4106" s="8" t="s">
        <v>22148</v>
      </c>
      <c r="H4106" s="8" t="s">
        <v>22149</v>
      </c>
      <c r="I4106" s="8" t="str">
        <f>HYPERLINK("http://italian-family.it/","italian-family.it")</f>
        <v>italian-family.it</v>
      </c>
      <c r="J4106" s="10">
        <v>347.61599999999999</v>
      </c>
      <c r="K4106" s="10">
        <v>347.61599999999999</v>
      </c>
      <c r="L4106" s="10">
        <v>298.78100000000001</v>
      </c>
      <c r="M4106" s="10">
        <v>3.3580000000000001</v>
      </c>
      <c r="N4106" s="10">
        <v>3.3580000000000001</v>
      </c>
      <c r="O4106" s="10">
        <v>22.632000000000001</v>
      </c>
      <c r="P4106" s="10">
        <v>6</v>
      </c>
      <c r="Q4106" s="10">
        <v>6</v>
      </c>
      <c r="R4106" s="10">
        <v>5</v>
      </c>
    </row>
    <row r="4107" spans="1:18" ht="17" customHeight="1" x14ac:dyDescent="0.15">
      <c r="A4107" s="11" t="s">
        <v>22150</v>
      </c>
      <c r="B4107" s="1" t="s">
        <v>22151</v>
      </c>
      <c r="C4107" s="11" t="s">
        <v>22152</v>
      </c>
      <c r="D4107" s="11" t="s">
        <v>22152</v>
      </c>
      <c r="E4107" s="11" t="s">
        <v>22153</v>
      </c>
      <c r="F4107" s="11" t="s">
        <v>22142</v>
      </c>
      <c r="G4107" s="11" t="s">
        <v>22154</v>
      </c>
      <c r="H4107" s="11" t="s">
        <v>22117</v>
      </c>
      <c r="I4107" s="11" t="str">
        <f>HYPERLINK("http://www.fabriziolesi.it/","www.fabriziolesi.it")</f>
        <v>www.fabriziolesi.it</v>
      </c>
      <c r="J4107" s="12">
        <v>393.12</v>
      </c>
      <c r="K4107" s="12">
        <v>393.12</v>
      </c>
      <c r="L4107" s="13">
        <v>298.12400000000002</v>
      </c>
      <c r="M4107" s="12">
        <v>24.509</v>
      </c>
      <c r="N4107" s="12">
        <v>24.509</v>
      </c>
      <c r="O4107" s="12">
        <v>11.298999999999999</v>
      </c>
      <c r="P4107" s="12">
        <v>6</v>
      </c>
      <c r="Q4107" s="12">
        <v>6</v>
      </c>
      <c r="R4107" s="12">
        <v>6</v>
      </c>
    </row>
    <row r="4108" spans="1:18" ht="17" customHeight="1" x14ac:dyDescent="0.15">
      <c r="A4108" s="8" t="s">
        <v>22155</v>
      </c>
      <c r="B4108" s="9" t="s">
        <v>22156</v>
      </c>
      <c r="C4108" s="8" t="s">
        <v>22157</v>
      </c>
      <c r="D4108" s="8" t="s">
        <v>22157</v>
      </c>
      <c r="E4108" s="8" t="s">
        <v>22158</v>
      </c>
      <c r="F4108" s="8" t="s">
        <v>22089</v>
      </c>
      <c r="G4108" s="8" t="s">
        <v>22130</v>
      </c>
      <c r="H4108" s="8" t="s">
        <v>22091</v>
      </c>
      <c r="I4108" s="8" t="str">
        <f>HYPERLINK("http://kamanta.it/","kamanta.it")</f>
        <v>kamanta.it</v>
      </c>
      <c r="J4108" s="10">
        <v>320.87900000000002</v>
      </c>
      <c r="K4108" s="10">
        <v>320.87900000000002</v>
      </c>
      <c r="L4108" s="10">
        <v>297.75299999999999</v>
      </c>
      <c r="M4108" s="10">
        <v>20.789000000000001</v>
      </c>
      <c r="N4108" s="10">
        <v>20.789000000000001</v>
      </c>
      <c r="O4108" s="10">
        <v>60.436</v>
      </c>
      <c r="P4108" s="10">
        <v>1</v>
      </c>
      <c r="Q4108" s="10">
        <v>1</v>
      </c>
      <c r="R4108" s="10">
        <v>1</v>
      </c>
    </row>
    <row r="4109" spans="1:18" ht="29.5" customHeight="1" x14ac:dyDescent="0.15">
      <c r="A4109" s="11" t="s">
        <v>22159</v>
      </c>
      <c r="B4109" s="1" t="s">
        <v>22160</v>
      </c>
      <c r="C4109" s="11" t="s">
        <v>22161</v>
      </c>
      <c r="D4109" s="11" t="s">
        <v>22161</v>
      </c>
      <c r="E4109" s="11" t="s">
        <v>22162</v>
      </c>
      <c r="F4109" s="11" t="s">
        <v>22089</v>
      </c>
      <c r="G4109" s="11" t="s">
        <v>22123</v>
      </c>
      <c r="H4109" s="11" t="s">
        <v>22124</v>
      </c>
      <c r="I4109" s="11" t="str">
        <f>HYPERLINK("http://pangaia.com/","pangaia.com")</f>
        <v>pangaia.com</v>
      </c>
      <c r="J4109" s="12">
        <v>959.57</v>
      </c>
      <c r="K4109" s="12">
        <v>959.57</v>
      </c>
      <c r="L4109" s="13">
        <v>297.73</v>
      </c>
      <c r="M4109" s="12">
        <v>-716.34900000000005</v>
      </c>
      <c r="N4109" s="12">
        <v>-716.34900000000005</v>
      </c>
      <c r="O4109" s="12">
        <v>-407.69400000000002</v>
      </c>
      <c r="P4109" s="12">
        <v>7</v>
      </c>
      <c r="Q4109" s="12">
        <v>7</v>
      </c>
      <c r="R4109" s="12">
        <v>3</v>
      </c>
    </row>
    <row r="4110" spans="1:18" ht="17" customHeight="1" x14ac:dyDescent="0.15">
      <c r="A4110" s="8" t="s">
        <v>22163</v>
      </c>
      <c r="B4110" s="9" t="s">
        <v>22164</v>
      </c>
      <c r="C4110" s="8" t="s">
        <v>22165</v>
      </c>
      <c r="D4110" s="8" t="s">
        <v>22165</v>
      </c>
      <c r="E4110" s="8" t="s">
        <v>22166</v>
      </c>
      <c r="F4110" s="8" t="s">
        <v>22167</v>
      </c>
      <c r="G4110" s="8" t="s">
        <v>22168</v>
      </c>
      <c r="H4110" s="8" t="s">
        <v>22149</v>
      </c>
      <c r="I4110" s="8" t="str">
        <f>HYPERLINK("http://www.conceriavignola.it/","www.conceriavignola.it")</f>
        <v>www.conceriavignola.it</v>
      </c>
      <c r="J4110" s="10">
        <v>297.19200000000001</v>
      </c>
      <c r="K4110" s="15" t="s">
        <v>22092</v>
      </c>
      <c r="L4110" s="10">
        <v>297.19200000000001</v>
      </c>
      <c r="M4110" s="10">
        <v>-15.81</v>
      </c>
      <c r="N4110" s="15" t="s">
        <v>22092</v>
      </c>
      <c r="O4110" s="10">
        <v>-15.81</v>
      </c>
      <c r="P4110" s="15" t="s">
        <v>22092</v>
      </c>
      <c r="Q4110" s="15" t="s">
        <v>22092</v>
      </c>
      <c r="R4110" s="15" t="s">
        <v>22092</v>
      </c>
    </row>
    <row r="4111" spans="1:18" ht="17" customHeight="1" x14ac:dyDescent="0.15">
      <c r="A4111" s="11" t="s">
        <v>22169</v>
      </c>
      <c r="B4111" s="1" t="s">
        <v>22170</v>
      </c>
      <c r="C4111" s="11" t="s">
        <v>22171</v>
      </c>
      <c r="D4111" s="11" t="s">
        <v>22171</v>
      </c>
      <c r="E4111" s="11" t="s">
        <v>22172</v>
      </c>
      <c r="F4111" s="11" t="s">
        <v>22173</v>
      </c>
      <c r="G4111" s="11" t="s">
        <v>22174</v>
      </c>
      <c r="H4111" s="11" t="s">
        <v>22175</v>
      </c>
      <c r="I4111" s="11" t="str">
        <f>HYPERLINK("http://www.rosebleu.it/","www.rosebleu.it/")</f>
        <v>www.rosebleu.it/</v>
      </c>
      <c r="J4111" s="12">
        <v>288.79599999999999</v>
      </c>
      <c r="K4111" s="12">
        <v>288.79599999999999</v>
      </c>
      <c r="L4111" s="13">
        <v>297.06400000000002</v>
      </c>
      <c r="M4111" s="12">
        <v>6.181</v>
      </c>
      <c r="N4111" s="12">
        <v>6.181</v>
      </c>
      <c r="O4111" s="12">
        <v>-19.244</v>
      </c>
      <c r="P4111" s="14" t="s">
        <v>22092</v>
      </c>
      <c r="Q4111" s="14" t="s">
        <v>22092</v>
      </c>
      <c r="R4111" s="12">
        <v>8</v>
      </c>
    </row>
    <row r="4112" spans="1:18" ht="17" customHeight="1" x14ac:dyDescent="0.15">
      <c r="A4112" s="8" t="s">
        <v>22176</v>
      </c>
      <c r="B4112" s="9" t="s">
        <v>22177</v>
      </c>
      <c r="C4112" s="8" t="s">
        <v>22178</v>
      </c>
      <c r="D4112" s="8" t="s">
        <v>22178</v>
      </c>
      <c r="E4112" s="8" t="s">
        <v>22179</v>
      </c>
      <c r="F4112" s="8" t="s">
        <v>22142</v>
      </c>
      <c r="G4112" s="8" t="s">
        <v>22180</v>
      </c>
      <c r="H4112" s="8" t="s">
        <v>22124</v>
      </c>
      <c r="I4112" s="8" t="str">
        <f>HYPERLINK("http://mariniforniture.com/","mariniforniture.com")</f>
        <v>mariniforniture.com</v>
      </c>
      <c r="J4112" s="10">
        <v>341.02</v>
      </c>
      <c r="K4112" s="10">
        <v>379.52100000000002</v>
      </c>
      <c r="L4112" s="10">
        <v>296.93</v>
      </c>
      <c r="M4112" s="10">
        <v>23.783999999999999</v>
      </c>
      <c r="N4112" s="10">
        <v>2.78</v>
      </c>
      <c r="O4112" s="10">
        <v>4.4000000000000004</v>
      </c>
      <c r="P4112" s="10">
        <v>5</v>
      </c>
      <c r="Q4112" s="10">
        <v>6</v>
      </c>
      <c r="R4112" s="10">
        <v>7</v>
      </c>
    </row>
    <row r="4113" spans="1:18" ht="17" customHeight="1" x14ac:dyDescent="0.15">
      <c r="A4113" s="11" t="s">
        <v>22181</v>
      </c>
      <c r="B4113" s="1" t="s">
        <v>22182</v>
      </c>
      <c r="C4113" s="11" t="s">
        <v>22183</v>
      </c>
      <c r="D4113" s="11" t="s">
        <v>22183</v>
      </c>
      <c r="E4113" s="11" t="s">
        <v>22184</v>
      </c>
      <c r="F4113" s="11" t="s">
        <v>22185</v>
      </c>
      <c r="G4113" s="11" t="s">
        <v>22186</v>
      </c>
      <c r="H4113" s="11" t="s">
        <v>22187</v>
      </c>
      <c r="I4113" s="11" t="str">
        <f>HYPERLINK("http://maglificiorita.com/","maglificiorita.com")</f>
        <v>maglificiorita.com</v>
      </c>
      <c r="J4113" s="12">
        <v>334.03399999999999</v>
      </c>
      <c r="K4113" s="12">
        <v>334.03399999999999</v>
      </c>
      <c r="L4113" s="13">
        <v>296.70499999999998</v>
      </c>
      <c r="M4113" s="12">
        <v>13.226000000000001</v>
      </c>
      <c r="N4113" s="12">
        <v>13.226000000000001</v>
      </c>
      <c r="O4113" s="12">
        <v>2.0249999999999999</v>
      </c>
      <c r="P4113" s="12">
        <v>5</v>
      </c>
      <c r="Q4113" s="12">
        <v>5</v>
      </c>
      <c r="R4113" s="12">
        <v>5</v>
      </c>
    </row>
    <row r="4114" spans="1:18" ht="43" customHeight="1" x14ac:dyDescent="0.15">
      <c r="A4114" s="8" t="s">
        <v>22188</v>
      </c>
      <c r="B4114" s="9" t="s">
        <v>22189</v>
      </c>
      <c r="C4114" s="8" t="s">
        <v>22190</v>
      </c>
      <c r="D4114" s="8" t="s">
        <v>22190</v>
      </c>
      <c r="E4114" s="8" t="s">
        <v>22191</v>
      </c>
      <c r="F4114" s="8" t="s">
        <v>22142</v>
      </c>
      <c r="G4114" s="8" t="s">
        <v>22123</v>
      </c>
      <c r="H4114" s="8" t="s">
        <v>22124</v>
      </c>
      <c r="I4114" s="8" t="str">
        <f>HYPERLINK("http://www.malucchi.it/","www.malucchi.it")</f>
        <v>www.malucchi.it</v>
      </c>
      <c r="J4114" s="10">
        <v>241.715</v>
      </c>
      <c r="K4114" s="10">
        <v>241.715</v>
      </c>
      <c r="L4114" s="10">
        <v>296.69499999999999</v>
      </c>
      <c r="M4114" s="10">
        <v>0.52700000000000002</v>
      </c>
      <c r="N4114" s="10">
        <v>0.52700000000000002</v>
      </c>
      <c r="O4114" s="10">
        <v>11.192</v>
      </c>
      <c r="P4114" s="15" t="s">
        <v>22092</v>
      </c>
      <c r="Q4114" s="15" t="s">
        <v>22092</v>
      </c>
      <c r="R4114" s="10">
        <v>4</v>
      </c>
    </row>
    <row r="4115" spans="1:18" ht="17" customHeight="1" x14ac:dyDescent="0.15">
      <c r="A4115" s="11" t="s">
        <v>22192</v>
      </c>
      <c r="B4115" s="1" t="s">
        <v>22193</v>
      </c>
      <c r="C4115" s="11" t="s">
        <v>22194</v>
      </c>
      <c r="D4115" s="11" t="s">
        <v>22194</v>
      </c>
      <c r="E4115" s="11" t="s">
        <v>22195</v>
      </c>
      <c r="F4115" s="11" t="s">
        <v>22196</v>
      </c>
      <c r="G4115" s="11" t="s">
        <v>22197</v>
      </c>
      <c r="H4115" s="11" t="s">
        <v>22091</v>
      </c>
      <c r="I4115" s="11" t="str">
        <f>HYPERLINK("http://www.dieffe-group.it/","www.dieffe-group.it")</f>
        <v>www.dieffe-group.it</v>
      </c>
      <c r="J4115" s="12">
        <v>280.24700000000001</v>
      </c>
      <c r="K4115" s="12">
        <v>280.24700000000001</v>
      </c>
      <c r="L4115" s="13">
        <v>296.47800000000001</v>
      </c>
      <c r="M4115" s="12">
        <v>0.86899999999999999</v>
      </c>
      <c r="N4115" s="12">
        <v>0.86899999999999999</v>
      </c>
      <c r="O4115" s="12">
        <v>0.73799999999999999</v>
      </c>
      <c r="P4115" s="12">
        <v>0</v>
      </c>
      <c r="Q4115" s="12">
        <v>0</v>
      </c>
      <c r="R4115" s="12">
        <v>0</v>
      </c>
    </row>
    <row r="4116" spans="1:18" ht="17" customHeight="1" x14ac:dyDescent="0.15">
      <c r="A4116" s="8" t="s">
        <v>22198</v>
      </c>
      <c r="B4116" s="9" t="s">
        <v>22199</v>
      </c>
      <c r="C4116" s="8" t="s">
        <v>22200</v>
      </c>
      <c r="D4116" s="8" t="s">
        <v>22200</v>
      </c>
      <c r="E4116" s="8" t="s">
        <v>22201</v>
      </c>
      <c r="F4116" s="8" t="s">
        <v>22103</v>
      </c>
      <c r="G4116" s="8" t="s">
        <v>22202</v>
      </c>
      <c r="H4116" s="8" t="s">
        <v>22149</v>
      </c>
      <c r="I4116" s="8" t="str">
        <f>HYPERLINK("http://www.italguanto.it/","www.italguanto.it")</f>
        <v>www.italguanto.it</v>
      </c>
      <c r="J4116" s="10">
        <v>414.38900000000001</v>
      </c>
      <c r="K4116" s="10">
        <v>414.38900000000001</v>
      </c>
      <c r="L4116" s="10">
        <v>295.553</v>
      </c>
      <c r="M4116" s="10">
        <v>44.679000000000002</v>
      </c>
      <c r="N4116" s="10">
        <v>44.679000000000002</v>
      </c>
      <c r="O4116" s="10">
        <v>33.381</v>
      </c>
      <c r="P4116" s="10">
        <v>4</v>
      </c>
      <c r="Q4116" s="10">
        <v>4</v>
      </c>
      <c r="R4116" s="10">
        <v>4</v>
      </c>
    </row>
    <row r="4117" spans="1:18" ht="29.5" customHeight="1" x14ac:dyDescent="0.15">
      <c r="A4117" s="11" t="s">
        <v>22203</v>
      </c>
      <c r="B4117" s="1" t="s">
        <v>22204</v>
      </c>
      <c r="C4117" s="11" t="s">
        <v>22205</v>
      </c>
      <c r="D4117" s="11" t="s">
        <v>22205</v>
      </c>
      <c r="E4117" s="11" t="s">
        <v>22206</v>
      </c>
      <c r="F4117" s="11" t="s">
        <v>22207</v>
      </c>
      <c r="G4117" s="11" t="s">
        <v>22208</v>
      </c>
      <c r="H4117" s="11" t="s">
        <v>22117</v>
      </c>
      <c r="I4117" s="11" t="str">
        <f>HYPERLINK("http://www.vivapelle.it/","www.vivapelle.it")</f>
        <v>www.vivapelle.it</v>
      </c>
      <c r="J4117" s="12">
        <v>322.23</v>
      </c>
      <c r="K4117" s="12">
        <v>322.23</v>
      </c>
      <c r="L4117" s="13">
        <v>295.596</v>
      </c>
      <c r="M4117" s="12">
        <v>1.371</v>
      </c>
      <c r="N4117" s="12">
        <v>1.371</v>
      </c>
      <c r="O4117" s="12">
        <v>3.3860000000000001</v>
      </c>
      <c r="P4117" s="12">
        <v>4</v>
      </c>
      <c r="Q4117" s="12">
        <v>4</v>
      </c>
      <c r="R4117" s="12">
        <v>4</v>
      </c>
    </row>
    <row r="4118" spans="1:18" ht="17" customHeight="1" x14ac:dyDescent="0.15">
      <c r="A4118" s="8" t="s">
        <v>22209</v>
      </c>
      <c r="B4118" s="9" t="s">
        <v>22210</v>
      </c>
      <c r="C4118" s="8" t="s">
        <v>22211</v>
      </c>
      <c r="D4118" s="8" t="s">
        <v>22211</v>
      </c>
      <c r="E4118" s="8" t="s">
        <v>22212</v>
      </c>
      <c r="F4118" s="8" t="s">
        <v>22103</v>
      </c>
      <c r="G4118" s="8" t="s">
        <v>22130</v>
      </c>
      <c r="H4118" s="8" t="s">
        <v>22091</v>
      </c>
      <c r="I4118" s="8" t="str">
        <f>HYPERLINK("http://www.kinloch.it/","www.kinloch.it")</f>
        <v>www.kinloch.it</v>
      </c>
      <c r="J4118" s="10">
        <v>400.84300000000002</v>
      </c>
      <c r="K4118" s="10">
        <v>400.84300000000002</v>
      </c>
      <c r="L4118" s="10">
        <v>294.92099999999999</v>
      </c>
      <c r="M4118" s="10">
        <v>10.999000000000001</v>
      </c>
      <c r="N4118" s="10">
        <v>10.999000000000001</v>
      </c>
      <c r="O4118" s="10">
        <v>10.606999999999999</v>
      </c>
      <c r="P4118" s="10">
        <v>2</v>
      </c>
      <c r="Q4118" s="10">
        <v>2</v>
      </c>
      <c r="R4118" s="10">
        <v>1</v>
      </c>
    </row>
    <row r="4119" spans="1:18" ht="17" customHeight="1" x14ac:dyDescent="0.15">
      <c r="A4119" s="11" t="s">
        <v>22213</v>
      </c>
      <c r="B4119" s="1" t="s">
        <v>22214</v>
      </c>
      <c r="C4119" s="11" t="s">
        <v>22215</v>
      </c>
      <c r="D4119" s="11" t="s">
        <v>22215</v>
      </c>
      <c r="E4119" s="11" t="s">
        <v>22216</v>
      </c>
      <c r="F4119" s="11" t="s">
        <v>22103</v>
      </c>
      <c r="G4119" s="11" t="s">
        <v>22217</v>
      </c>
      <c r="H4119" s="11" t="s">
        <v>22175</v>
      </c>
      <c r="I4119" s="11" t="str">
        <f>HYPERLINK("http://www.jillian.it/","www.jillian.it")</f>
        <v>www.jillian.it</v>
      </c>
      <c r="J4119" s="12">
        <v>292.14</v>
      </c>
      <c r="K4119" s="12">
        <v>292.14</v>
      </c>
      <c r="L4119" s="13">
        <v>294.471</v>
      </c>
      <c r="M4119" s="12">
        <v>1.766</v>
      </c>
      <c r="N4119" s="12">
        <v>1.766</v>
      </c>
      <c r="O4119" s="12">
        <v>6.6740000000000004</v>
      </c>
      <c r="P4119" s="14" t="s">
        <v>22092</v>
      </c>
      <c r="Q4119" s="14" t="s">
        <v>22092</v>
      </c>
      <c r="R4119" s="12">
        <v>1</v>
      </c>
    </row>
    <row r="4120" spans="1:18" ht="17" customHeight="1" x14ac:dyDescent="0.15">
      <c r="A4120" s="8" t="s">
        <v>22218</v>
      </c>
      <c r="B4120" s="9" t="s">
        <v>22219</v>
      </c>
      <c r="C4120" s="8" t="s">
        <v>22220</v>
      </c>
      <c r="D4120" s="8" t="s">
        <v>22220</v>
      </c>
      <c r="E4120" s="8" t="s">
        <v>22221</v>
      </c>
      <c r="F4120" s="8" t="s">
        <v>22097</v>
      </c>
      <c r="G4120" s="8" t="s">
        <v>22222</v>
      </c>
      <c r="H4120" s="8" t="s">
        <v>22105</v>
      </c>
      <c r="I4120" s="8" t="str">
        <f>HYPERLINK("http://www.maglificioazzurra.com/","www.maglificioazzurra.com")</f>
        <v>www.maglificioazzurra.com</v>
      </c>
      <c r="J4120" s="10">
        <v>234.77699999999999</v>
      </c>
      <c r="K4120" s="10">
        <v>234.77699999999999</v>
      </c>
      <c r="L4120" s="10">
        <v>294.54300000000001</v>
      </c>
      <c r="M4120" s="10">
        <v>16.835000000000001</v>
      </c>
      <c r="N4120" s="10">
        <v>16.835000000000001</v>
      </c>
      <c r="O4120" s="10">
        <v>19.585000000000001</v>
      </c>
      <c r="P4120" s="10">
        <v>0</v>
      </c>
      <c r="Q4120" s="10">
        <v>0</v>
      </c>
      <c r="R4120" s="10">
        <v>0</v>
      </c>
    </row>
    <row r="4121" spans="1:18" ht="17" customHeight="1" x14ac:dyDescent="0.15">
      <c r="A4121" s="11" t="s">
        <v>22223</v>
      </c>
      <c r="B4121" s="1" t="s">
        <v>22224</v>
      </c>
      <c r="C4121" s="11" t="s">
        <v>22225</v>
      </c>
      <c r="D4121" s="11" t="s">
        <v>22225</v>
      </c>
      <c r="E4121" s="11" t="s">
        <v>22226</v>
      </c>
      <c r="F4121" s="11" t="s">
        <v>22089</v>
      </c>
      <c r="G4121" s="11" t="s">
        <v>22222</v>
      </c>
      <c r="H4121" s="11" t="s">
        <v>22105</v>
      </c>
      <c r="I4121" s="11" t="str">
        <f>HYPERLINK("http://www.utilityspecifications.it/","www.utilityspecifications.it")</f>
        <v>www.utilityspecifications.it</v>
      </c>
      <c r="J4121" s="12">
        <v>275.15499999999997</v>
      </c>
      <c r="K4121" s="12">
        <v>180.16</v>
      </c>
      <c r="L4121" s="13">
        <v>294.334</v>
      </c>
      <c r="M4121" s="12">
        <v>4.5410000000000004</v>
      </c>
      <c r="N4121" s="12">
        <v>20.082999999999998</v>
      </c>
      <c r="O4121" s="12">
        <v>35.08</v>
      </c>
      <c r="P4121" s="12">
        <v>0</v>
      </c>
      <c r="Q4121" s="12">
        <v>0</v>
      </c>
      <c r="R4121" s="12">
        <v>0</v>
      </c>
    </row>
    <row r="4122" spans="1:18" ht="17" customHeight="1" x14ac:dyDescent="0.15">
      <c r="A4122" s="8" t="s">
        <v>22227</v>
      </c>
      <c r="B4122" s="9" t="s">
        <v>22228</v>
      </c>
      <c r="C4122" s="8" t="s">
        <v>22229</v>
      </c>
      <c r="D4122" s="8" t="s">
        <v>22229</v>
      </c>
      <c r="E4122" s="8" t="s">
        <v>22230</v>
      </c>
      <c r="F4122" s="8" t="s">
        <v>22231</v>
      </c>
      <c r="G4122" s="8" t="s">
        <v>22232</v>
      </c>
      <c r="H4122" s="8" t="s">
        <v>22187</v>
      </c>
      <c r="I4122" s="8" t="str">
        <f>HYPERLINK("http://www.logho.it/","www.logho.it")</f>
        <v>www.logho.it</v>
      </c>
      <c r="J4122" s="10">
        <v>293.86399999999998</v>
      </c>
      <c r="K4122" s="15" t="s">
        <v>22092</v>
      </c>
      <c r="L4122" s="10">
        <v>293.86399999999998</v>
      </c>
      <c r="M4122" s="10">
        <v>-1.3140000000000001</v>
      </c>
      <c r="N4122" s="15" t="s">
        <v>22092</v>
      </c>
      <c r="O4122" s="10">
        <v>-1.3140000000000001</v>
      </c>
      <c r="P4122" s="10">
        <v>1</v>
      </c>
      <c r="Q4122" s="15" t="s">
        <v>22092</v>
      </c>
      <c r="R4122" s="10">
        <v>1</v>
      </c>
    </row>
    <row r="4123" spans="1:18" ht="17" customHeight="1" x14ac:dyDescent="0.15">
      <c r="A4123" s="11" t="s">
        <v>22233</v>
      </c>
      <c r="B4123" s="1" t="s">
        <v>22234</v>
      </c>
      <c r="C4123" s="11" t="s">
        <v>22235</v>
      </c>
      <c r="D4123" s="11" t="s">
        <v>22235</v>
      </c>
      <c r="E4123" s="11" t="s">
        <v>22236</v>
      </c>
      <c r="F4123" s="11" t="s">
        <v>22167</v>
      </c>
      <c r="G4123" s="11" t="s">
        <v>22104</v>
      </c>
      <c r="H4123" s="11" t="s">
        <v>22105</v>
      </c>
      <c r="I4123" s="11" t="str">
        <f>HYPERLINK("http://www.tamponaturapelliamano.it/","www.tamponaturapelliamano.it")</f>
        <v>www.tamponaturapelliamano.it</v>
      </c>
      <c r="J4123" s="12">
        <v>265.14800000000002</v>
      </c>
      <c r="K4123" s="12">
        <v>265.14800000000002</v>
      </c>
      <c r="L4123" s="13">
        <v>292.90100000000001</v>
      </c>
      <c r="M4123" s="12">
        <v>22.843</v>
      </c>
      <c r="N4123" s="12">
        <v>22.843</v>
      </c>
      <c r="O4123" s="12">
        <v>60.063000000000002</v>
      </c>
      <c r="P4123" s="12">
        <v>5</v>
      </c>
      <c r="Q4123" s="12">
        <v>5</v>
      </c>
      <c r="R4123" s="12">
        <v>6</v>
      </c>
    </row>
    <row r="4124" spans="1:18" ht="29.5" customHeight="1" x14ac:dyDescent="0.15">
      <c r="A4124" s="8" t="s">
        <v>22237</v>
      </c>
      <c r="B4124" s="9" t="s">
        <v>22238</v>
      </c>
      <c r="C4124" s="8" t="s">
        <v>22239</v>
      </c>
      <c r="D4124" s="8" t="s">
        <v>22239</v>
      </c>
      <c r="E4124" s="8" t="s">
        <v>22240</v>
      </c>
      <c r="F4124" s="8" t="s">
        <v>22103</v>
      </c>
      <c r="G4124" s="8" t="s">
        <v>22217</v>
      </c>
      <c r="H4124" s="8" t="s">
        <v>22175</v>
      </c>
      <c r="I4124" s="8" t="str">
        <f>HYPERLINK("http://www.patriziafabrihats.it/","www.patriziafabrihats.it")</f>
        <v>www.patriziafabrihats.it</v>
      </c>
      <c r="J4124" s="10">
        <v>335.53500000000003</v>
      </c>
      <c r="K4124" s="10">
        <v>335.53500000000003</v>
      </c>
      <c r="L4124" s="10">
        <v>292.125</v>
      </c>
      <c r="M4124" s="10">
        <v>-3.4769999999999999</v>
      </c>
      <c r="N4124" s="10">
        <v>-3.4769999999999999</v>
      </c>
      <c r="O4124" s="10">
        <v>0.309</v>
      </c>
      <c r="P4124" s="10">
        <v>5</v>
      </c>
      <c r="Q4124" s="10">
        <v>5</v>
      </c>
      <c r="R4124" s="10">
        <v>5</v>
      </c>
    </row>
    <row r="4125" spans="1:18" ht="17" customHeight="1" x14ac:dyDescent="0.15">
      <c r="A4125" s="11" t="s">
        <v>22241</v>
      </c>
      <c r="B4125" s="1" t="s">
        <v>22242</v>
      </c>
      <c r="C4125" s="11" t="s">
        <v>22243</v>
      </c>
      <c r="D4125" s="11" t="s">
        <v>22243</v>
      </c>
      <c r="E4125" s="11" t="s">
        <v>22244</v>
      </c>
      <c r="F4125" s="11" t="s">
        <v>22097</v>
      </c>
      <c r="G4125" s="11" t="s">
        <v>22245</v>
      </c>
      <c r="H4125" s="11" t="s">
        <v>22246</v>
      </c>
      <c r="I4125" s="11" t="str">
        <f>HYPERLINK("http://www.lamanoartisans.com/","www.lamanoartisans.com")</f>
        <v>www.lamanoartisans.com</v>
      </c>
      <c r="J4125" s="12">
        <v>748.35599999999999</v>
      </c>
      <c r="K4125" s="12">
        <v>748.35599999999999</v>
      </c>
      <c r="L4125" s="13">
        <v>291.767</v>
      </c>
      <c r="M4125" s="12">
        <v>-169.43100000000001</v>
      </c>
      <c r="N4125" s="12">
        <v>-169.43100000000001</v>
      </c>
      <c r="O4125" s="12">
        <v>-59.276000000000003</v>
      </c>
      <c r="P4125" s="12">
        <v>0</v>
      </c>
      <c r="Q4125" s="12">
        <v>0</v>
      </c>
      <c r="R4125" s="12">
        <v>0</v>
      </c>
    </row>
    <row r="4126" spans="1:18" ht="17" customHeight="1" x14ac:dyDescent="0.15">
      <c r="A4126" s="8" t="s">
        <v>22247</v>
      </c>
      <c r="B4126" s="9" t="s">
        <v>22248</v>
      </c>
      <c r="C4126" s="8" t="s">
        <v>22249</v>
      </c>
      <c r="D4126" s="8" t="s">
        <v>22249</v>
      </c>
      <c r="E4126" s="8" t="s">
        <v>22250</v>
      </c>
      <c r="F4126" s="8" t="s">
        <v>22089</v>
      </c>
      <c r="G4126" s="8" t="s">
        <v>22251</v>
      </c>
      <c r="H4126" s="8" t="s">
        <v>22105</v>
      </c>
      <c r="I4126" s="8" t="str">
        <f>HYPERLINK("http://www.moscaclothing.it/","www.moscaclothing.it")</f>
        <v>www.moscaclothing.it</v>
      </c>
      <c r="J4126" s="10">
        <v>247.37299999999999</v>
      </c>
      <c r="K4126" s="10">
        <v>247.37299999999999</v>
      </c>
      <c r="L4126" s="10">
        <v>291.23099999999999</v>
      </c>
      <c r="M4126" s="10">
        <v>-20.853999999999999</v>
      </c>
      <c r="N4126" s="10">
        <v>-20.853999999999999</v>
      </c>
      <c r="O4126" s="10">
        <v>13.927</v>
      </c>
      <c r="P4126" s="10">
        <v>3</v>
      </c>
      <c r="Q4126" s="10">
        <v>3</v>
      </c>
      <c r="R4126" s="10">
        <v>2</v>
      </c>
    </row>
    <row r="4127" spans="1:18" ht="17" customHeight="1" x14ac:dyDescent="0.15">
      <c r="A4127" s="11" t="s">
        <v>22252</v>
      </c>
      <c r="B4127" s="1" t="s">
        <v>22253</v>
      </c>
      <c r="C4127" s="11" t="s">
        <v>22254</v>
      </c>
      <c r="D4127" s="11" t="s">
        <v>22254</v>
      </c>
      <c r="E4127" s="11" t="s">
        <v>22255</v>
      </c>
      <c r="F4127" s="11" t="s">
        <v>22135</v>
      </c>
      <c r="G4127" s="11" t="s">
        <v>22136</v>
      </c>
      <c r="H4127" s="11" t="s">
        <v>22137</v>
      </c>
      <c r="I4127" s="11" t="str">
        <f>HYPERLINK("http://www.albertofasciani.it/","http://www.albertofasciani.it")</f>
        <v>http://www.albertofasciani.it</v>
      </c>
      <c r="J4127" s="12">
        <v>122.348</v>
      </c>
      <c r="K4127" s="12">
        <v>122.348</v>
      </c>
      <c r="L4127" s="13">
        <v>291.20499999999998</v>
      </c>
      <c r="M4127" s="12">
        <v>-65.534000000000006</v>
      </c>
      <c r="N4127" s="12">
        <v>-65.534000000000006</v>
      </c>
      <c r="O4127" s="12">
        <v>-92.945999999999998</v>
      </c>
      <c r="P4127" s="12">
        <v>0</v>
      </c>
      <c r="Q4127" s="12">
        <v>0</v>
      </c>
      <c r="R4127" s="12">
        <v>0</v>
      </c>
    </row>
    <row r="4128" spans="1:18" ht="43" customHeight="1" x14ac:dyDescent="0.15">
      <c r="A4128" s="8" t="s">
        <v>22256</v>
      </c>
      <c r="B4128" s="9" t="s">
        <v>22257</v>
      </c>
      <c r="C4128" s="8" t="s">
        <v>22258</v>
      </c>
      <c r="D4128" s="8" t="s">
        <v>22258</v>
      </c>
      <c r="E4128" s="8" t="s">
        <v>22259</v>
      </c>
      <c r="F4128" s="8" t="s">
        <v>22135</v>
      </c>
      <c r="G4128" s="8" t="s">
        <v>22202</v>
      </c>
      <c r="H4128" s="8" t="s">
        <v>22149</v>
      </c>
      <c r="I4128" s="8" t="str">
        <f>HYPERLINK("http://aisselashoes.it/","aisselashoes.it")</f>
        <v>aisselashoes.it</v>
      </c>
      <c r="J4128" s="10">
        <v>485.1</v>
      </c>
      <c r="K4128" s="10">
        <v>485.1</v>
      </c>
      <c r="L4128" s="10">
        <v>290.55</v>
      </c>
      <c r="M4128" s="10">
        <v>31.513999999999999</v>
      </c>
      <c r="N4128" s="10">
        <v>31.513999999999999</v>
      </c>
      <c r="O4128" s="10">
        <v>19.027000000000001</v>
      </c>
      <c r="P4128" s="10">
        <v>8</v>
      </c>
      <c r="Q4128" s="10">
        <v>8</v>
      </c>
      <c r="R4128" s="10">
        <v>9</v>
      </c>
    </row>
    <row r="4129" spans="1:18" ht="17" customHeight="1" x14ac:dyDescent="0.15">
      <c r="A4129" s="11" t="s">
        <v>22260</v>
      </c>
      <c r="B4129" s="1" t="s">
        <v>22261</v>
      </c>
      <c r="C4129" s="11" t="s">
        <v>22262</v>
      </c>
      <c r="D4129" s="11" t="s">
        <v>22262</v>
      </c>
      <c r="E4129" s="11" t="s">
        <v>22263</v>
      </c>
      <c r="F4129" s="11" t="s">
        <v>22264</v>
      </c>
      <c r="G4129" s="11" t="s">
        <v>22265</v>
      </c>
      <c r="H4129" s="11" t="s">
        <v>22266</v>
      </c>
      <c r="I4129" s="11" t="str">
        <f>HYPERLINK("http://www.bottegaidee.it/","www.bottegaidee.it")</f>
        <v>www.bottegaidee.it</v>
      </c>
      <c r="J4129" s="12">
        <v>318.49</v>
      </c>
      <c r="K4129" s="12">
        <v>318.49</v>
      </c>
      <c r="L4129" s="13">
        <v>290.17399999999998</v>
      </c>
      <c r="M4129" s="12">
        <v>2.363</v>
      </c>
      <c r="N4129" s="12">
        <v>2.363</v>
      </c>
      <c r="O4129" s="12">
        <v>2.2400000000000002</v>
      </c>
      <c r="P4129" s="12">
        <v>3</v>
      </c>
      <c r="Q4129" s="12">
        <v>3</v>
      </c>
      <c r="R4129" s="12">
        <v>3</v>
      </c>
    </row>
    <row r="4130" spans="1:18" ht="17" customHeight="1" x14ac:dyDescent="0.15">
      <c r="A4130" s="8" t="s">
        <v>22267</v>
      </c>
      <c r="B4130" s="9" t="s">
        <v>22268</v>
      </c>
      <c r="C4130" s="8" t="s">
        <v>22269</v>
      </c>
      <c r="D4130" s="8" t="s">
        <v>22269</v>
      </c>
      <c r="E4130" s="8" t="s">
        <v>22270</v>
      </c>
      <c r="F4130" s="8" t="s">
        <v>22271</v>
      </c>
      <c r="G4130" s="8" t="s">
        <v>22272</v>
      </c>
      <c r="H4130" s="8" t="s">
        <v>22266</v>
      </c>
      <c r="I4130" s="8" t="str">
        <f>HYPERLINK("http://www.danapisarra.it/","www.danapisarra.it")</f>
        <v>www.danapisarra.it</v>
      </c>
      <c r="J4130" s="10">
        <v>289.48399999999998</v>
      </c>
      <c r="K4130" s="15" t="s">
        <v>22273</v>
      </c>
      <c r="L4130" s="10">
        <v>289.48399999999998</v>
      </c>
      <c r="M4130" s="10">
        <v>1.7370000000000001</v>
      </c>
      <c r="N4130" s="15" t="s">
        <v>22273</v>
      </c>
      <c r="O4130" s="10">
        <v>1.7370000000000001</v>
      </c>
      <c r="P4130" s="10">
        <v>1</v>
      </c>
      <c r="Q4130" s="15" t="s">
        <v>22273</v>
      </c>
      <c r="R4130" s="10">
        <v>1</v>
      </c>
    </row>
    <row r="4131" spans="1:18" ht="43" customHeight="1" x14ac:dyDescent="0.15">
      <c r="A4131" s="11" t="s">
        <v>22274</v>
      </c>
      <c r="B4131" s="1" t="s">
        <v>22275</v>
      </c>
      <c r="C4131" s="11" t="s">
        <v>22276</v>
      </c>
      <c r="D4131" s="11" t="s">
        <v>22276</v>
      </c>
      <c r="E4131" s="11" t="s">
        <v>22277</v>
      </c>
      <c r="F4131" s="11" t="s">
        <v>22278</v>
      </c>
      <c r="G4131" s="11" t="s">
        <v>22279</v>
      </c>
      <c r="H4131" s="11" t="s">
        <v>22280</v>
      </c>
      <c r="I4131" s="11" t="str">
        <f>HYPERLINK("http://www.orchideablucoop.com/","www.orchideablucoop.com")</f>
        <v>www.orchideablucoop.com</v>
      </c>
      <c r="J4131" s="12">
        <v>324.24299999999999</v>
      </c>
      <c r="K4131" s="12">
        <v>324.24299999999999</v>
      </c>
      <c r="L4131" s="13">
        <v>288.94400000000002</v>
      </c>
      <c r="M4131" s="12">
        <v>25.629000000000001</v>
      </c>
      <c r="N4131" s="12">
        <v>25.629000000000001</v>
      </c>
      <c r="O4131" s="12">
        <v>59.829000000000001</v>
      </c>
      <c r="P4131" s="12">
        <v>12</v>
      </c>
      <c r="Q4131" s="12">
        <v>12</v>
      </c>
      <c r="R4131" s="12">
        <v>9</v>
      </c>
    </row>
    <row r="4132" spans="1:18" ht="29.5" customHeight="1" x14ac:dyDescent="0.15">
      <c r="A4132" s="8" t="s">
        <v>22281</v>
      </c>
      <c r="B4132" s="9" t="s">
        <v>22282</v>
      </c>
      <c r="C4132" s="8" t="s">
        <v>22283</v>
      </c>
      <c r="D4132" s="8" t="s">
        <v>22283</v>
      </c>
      <c r="E4132" s="8" t="s">
        <v>22284</v>
      </c>
      <c r="F4132" s="8" t="s">
        <v>22271</v>
      </c>
      <c r="G4132" s="8" t="s">
        <v>22285</v>
      </c>
      <c r="H4132" s="8" t="s">
        <v>22286</v>
      </c>
      <c r="I4132" s="8" t="str">
        <f>HYPERLINK("http://www.floralastraioli.com/","www.floralastraioli.com")</f>
        <v>www.floralastraioli.com</v>
      </c>
      <c r="J4132" s="10">
        <v>324.99400000000003</v>
      </c>
      <c r="K4132" s="10">
        <v>324.99400000000003</v>
      </c>
      <c r="L4132" s="10">
        <v>288.322</v>
      </c>
      <c r="M4132" s="10">
        <v>0.11700000000000001</v>
      </c>
      <c r="N4132" s="10">
        <v>0.11700000000000001</v>
      </c>
      <c r="O4132" s="10">
        <v>2.5880000000000001</v>
      </c>
      <c r="P4132" s="10">
        <v>4</v>
      </c>
      <c r="Q4132" s="10">
        <v>4</v>
      </c>
      <c r="R4132" s="10">
        <v>3</v>
      </c>
    </row>
    <row r="4133" spans="1:18" ht="55.75" customHeight="1" x14ac:dyDescent="0.15">
      <c r="A4133" s="11" t="s">
        <v>22287</v>
      </c>
      <c r="B4133" s="1" t="s">
        <v>22288</v>
      </c>
      <c r="C4133" s="11" t="s">
        <v>22289</v>
      </c>
      <c r="D4133" s="11" t="s">
        <v>22289</v>
      </c>
      <c r="E4133" s="11" t="s">
        <v>22290</v>
      </c>
      <c r="F4133" s="11" t="s">
        <v>22291</v>
      </c>
      <c r="G4133" s="11" t="s">
        <v>22292</v>
      </c>
      <c r="H4133" s="11" t="s">
        <v>22266</v>
      </c>
      <c r="I4133" s="11" t="str">
        <f>HYPERLINK("http://www.introiniitalia.it/","www.introiniitalia.it")</f>
        <v>www.introiniitalia.it</v>
      </c>
      <c r="J4133" s="12">
        <v>258.79000000000002</v>
      </c>
      <c r="K4133" s="12">
        <v>258.79000000000002</v>
      </c>
      <c r="L4133" s="13">
        <v>288.25</v>
      </c>
      <c r="M4133" s="12">
        <v>-33.630000000000003</v>
      </c>
      <c r="N4133" s="12">
        <v>-33.630000000000003</v>
      </c>
      <c r="O4133" s="12">
        <v>7.3330000000000002</v>
      </c>
      <c r="P4133" s="12">
        <v>3</v>
      </c>
      <c r="Q4133" s="12">
        <v>3</v>
      </c>
      <c r="R4133" s="12">
        <v>3</v>
      </c>
    </row>
    <row r="4134" spans="1:18" ht="17" customHeight="1" x14ac:dyDescent="0.15">
      <c r="A4134" s="8" t="s">
        <v>22293</v>
      </c>
      <c r="B4134" s="9" t="s">
        <v>22294</v>
      </c>
      <c r="C4134" s="8" t="s">
        <v>22295</v>
      </c>
      <c r="D4134" s="8" t="s">
        <v>22295</v>
      </c>
      <c r="E4134" s="8" t="s">
        <v>22296</v>
      </c>
      <c r="F4134" s="8" t="s">
        <v>22297</v>
      </c>
      <c r="G4134" s="8" t="s">
        <v>22298</v>
      </c>
      <c r="H4134" s="8" t="s">
        <v>22299</v>
      </c>
      <c r="I4134" s="8" t="str">
        <f>HYPERLINK("http://www.lesamaranti.com/","www.lesamaranti.com")</f>
        <v>www.lesamaranti.com</v>
      </c>
      <c r="J4134" s="10">
        <v>281.584</v>
      </c>
      <c r="K4134" s="10">
        <v>281.584</v>
      </c>
      <c r="L4134" s="10">
        <v>288.084</v>
      </c>
      <c r="M4134" s="10">
        <v>0.75700000000000001</v>
      </c>
      <c r="N4134" s="10">
        <v>0.75700000000000001</v>
      </c>
      <c r="O4134" s="10">
        <v>0.60099999999999998</v>
      </c>
      <c r="P4134" s="10">
        <v>3</v>
      </c>
      <c r="Q4134" s="10">
        <v>3</v>
      </c>
      <c r="R4134" s="10">
        <v>4</v>
      </c>
    </row>
    <row r="4135" spans="1:18" ht="17" customHeight="1" x14ac:dyDescent="0.15">
      <c r="A4135" s="11" t="s">
        <v>22300</v>
      </c>
      <c r="B4135" s="1" t="s">
        <v>22301</v>
      </c>
      <c r="C4135" s="11" t="s">
        <v>22302</v>
      </c>
      <c r="D4135" s="11" t="s">
        <v>22302</v>
      </c>
      <c r="E4135" s="11" t="s">
        <v>22303</v>
      </c>
      <c r="F4135" s="11" t="s">
        <v>22304</v>
      </c>
      <c r="G4135" s="11" t="s">
        <v>22305</v>
      </c>
      <c r="H4135" s="11" t="s">
        <v>22266</v>
      </c>
      <c r="I4135" s="11" t="str">
        <f>HYPERLINK("http://www.modasana.it/","www.modasana.it")</f>
        <v>www.modasana.it</v>
      </c>
      <c r="J4135" s="12">
        <v>256.02699999999999</v>
      </c>
      <c r="K4135" s="12">
        <v>256.02699999999999</v>
      </c>
      <c r="L4135" s="13">
        <v>287.01299999999998</v>
      </c>
      <c r="M4135" s="12">
        <v>139.60900000000001</v>
      </c>
      <c r="N4135" s="12">
        <v>139.60900000000001</v>
      </c>
      <c r="O4135" s="12">
        <v>138.74299999999999</v>
      </c>
      <c r="P4135" s="12">
        <v>0</v>
      </c>
      <c r="Q4135" s="12">
        <v>0</v>
      </c>
      <c r="R4135" s="12">
        <v>0</v>
      </c>
    </row>
    <row r="4136" spans="1:18" ht="17" customHeight="1" x14ac:dyDescent="0.15">
      <c r="A4136" s="8" t="s">
        <v>22306</v>
      </c>
      <c r="B4136" s="9" t="s">
        <v>22307</v>
      </c>
      <c r="C4136" s="8" t="s">
        <v>22308</v>
      </c>
      <c r="D4136" s="8" t="s">
        <v>22308</v>
      </c>
      <c r="E4136" s="8" t="s">
        <v>22309</v>
      </c>
      <c r="F4136" s="8" t="s">
        <v>22291</v>
      </c>
      <c r="G4136" s="8" t="s">
        <v>22310</v>
      </c>
      <c r="H4136" s="8" t="s">
        <v>22311</v>
      </c>
      <c r="I4136" s="8" t="str">
        <f>HYPERLINK("http://www.vanitas.it/","www.vanitas.it")</f>
        <v>www.vanitas.it</v>
      </c>
      <c r="J4136" s="10">
        <v>296.29399999999998</v>
      </c>
      <c r="K4136" s="10">
        <v>296.29399999999998</v>
      </c>
      <c r="L4136" s="10">
        <v>286.82600000000002</v>
      </c>
      <c r="M4136" s="10">
        <v>26.155000000000001</v>
      </c>
      <c r="N4136" s="10">
        <v>26.155000000000001</v>
      </c>
      <c r="O4136" s="10">
        <v>23.722000000000001</v>
      </c>
      <c r="P4136" s="15" t="s">
        <v>22273</v>
      </c>
      <c r="Q4136" s="15" t="s">
        <v>22273</v>
      </c>
      <c r="R4136" s="10">
        <v>3</v>
      </c>
    </row>
    <row r="4137" spans="1:18" ht="43" customHeight="1" x14ac:dyDescent="0.15">
      <c r="A4137" s="11" t="s">
        <v>22312</v>
      </c>
      <c r="B4137" s="1" t="s">
        <v>22313</v>
      </c>
      <c r="C4137" s="11" t="s">
        <v>22314</v>
      </c>
      <c r="D4137" s="11" t="s">
        <v>22314</v>
      </c>
      <c r="E4137" s="11" t="s">
        <v>22315</v>
      </c>
      <c r="F4137" s="11" t="s">
        <v>22264</v>
      </c>
      <c r="G4137" s="11" t="s">
        <v>22316</v>
      </c>
      <c r="H4137" s="11" t="s">
        <v>22286</v>
      </c>
      <c r="I4137" s="11" t="str">
        <f>HYPERLINK("http://www.csctechnologyforce.it/","www.csctechnologyforce.it")</f>
        <v>www.csctechnologyforce.it</v>
      </c>
      <c r="J4137" s="12">
        <v>295.00900000000001</v>
      </c>
      <c r="K4137" s="12">
        <v>295.00900000000001</v>
      </c>
      <c r="L4137" s="13">
        <v>286.52699999999999</v>
      </c>
      <c r="M4137" s="12">
        <v>-7.2690000000000001</v>
      </c>
      <c r="N4137" s="12">
        <v>-7.2690000000000001</v>
      </c>
      <c r="O4137" s="12">
        <v>-2.0459999999999998</v>
      </c>
      <c r="P4137" s="12">
        <v>5</v>
      </c>
      <c r="Q4137" s="12">
        <v>5</v>
      </c>
      <c r="R4137" s="12">
        <v>4</v>
      </c>
    </row>
    <row r="4138" spans="1:18" ht="17" customHeight="1" x14ac:dyDescent="0.15">
      <c r="A4138" s="8" t="s">
        <v>22317</v>
      </c>
      <c r="B4138" s="9" t="s">
        <v>22318</v>
      </c>
      <c r="C4138" s="8" t="s">
        <v>22319</v>
      </c>
      <c r="D4138" s="8" t="s">
        <v>22319</v>
      </c>
      <c r="E4138" s="8" t="s">
        <v>22320</v>
      </c>
      <c r="F4138" s="8" t="s">
        <v>22321</v>
      </c>
      <c r="G4138" s="8" t="s">
        <v>22322</v>
      </c>
      <c r="H4138" s="8" t="s">
        <v>22311</v>
      </c>
      <c r="I4138" s="8" t="str">
        <f>HYPERLINK("http://www.fullskin.it/","www.fullskin.it")</f>
        <v>www.fullskin.it</v>
      </c>
      <c r="J4138" s="10">
        <v>346.45299999999997</v>
      </c>
      <c r="K4138" s="10">
        <v>346.45299999999997</v>
      </c>
      <c r="L4138" s="10">
        <v>285.64400000000001</v>
      </c>
      <c r="M4138" s="10">
        <v>0.251</v>
      </c>
      <c r="N4138" s="10">
        <v>0.251</v>
      </c>
      <c r="O4138" s="10">
        <v>2.7549999999999999</v>
      </c>
      <c r="P4138" s="15" t="s">
        <v>22273</v>
      </c>
      <c r="Q4138" s="15" t="s">
        <v>22273</v>
      </c>
      <c r="R4138" s="10">
        <v>1</v>
      </c>
    </row>
    <row r="4139" spans="1:18" ht="17" customHeight="1" x14ac:dyDescent="0.15">
      <c r="A4139" s="11" t="s">
        <v>22323</v>
      </c>
      <c r="B4139" s="1" t="s">
        <v>22324</v>
      </c>
      <c r="C4139" s="11" t="s">
        <v>22325</v>
      </c>
      <c r="D4139" s="11" t="s">
        <v>22325</v>
      </c>
      <c r="E4139" s="11" t="s">
        <v>22326</v>
      </c>
      <c r="F4139" s="11" t="s">
        <v>22327</v>
      </c>
      <c r="G4139" s="11" t="s">
        <v>22328</v>
      </c>
      <c r="H4139" s="11" t="s">
        <v>22266</v>
      </c>
      <c r="I4139" s="11" t="str">
        <f>HYPERLINK("http://www.pellicceriabergamo.com/","www.pellicceriabergamo.com")</f>
        <v>www.pellicceriabergamo.com</v>
      </c>
      <c r="J4139" s="12">
        <v>270.29599999999999</v>
      </c>
      <c r="K4139" s="12">
        <v>270.29599999999999</v>
      </c>
      <c r="L4139" s="13">
        <v>285.233</v>
      </c>
      <c r="M4139" s="12">
        <v>32.298000000000002</v>
      </c>
      <c r="N4139" s="12">
        <v>32.298000000000002</v>
      </c>
      <c r="O4139" s="12">
        <v>29.003</v>
      </c>
      <c r="P4139" s="12">
        <v>4</v>
      </c>
      <c r="Q4139" s="12">
        <v>4</v>
      </c>
      <c r="R4139" s="12">
        <v>4</v>
      </c>
    </row>
    <row r="4140" spans="1:18" ht="17" customHeight="1" x14ac:dyDescent="0.15">
      <c r="A4140" s="8" t="s">
        <v>22329</v>
      </c>
      <c r="B4140" s="9" t="s">
        <v>22330</v>
      </c>
      <c r="C4140" s="8" t="s">
        <v>22331</v>
      </c>
      <c r="D4140" s="8" t="s">
        <v>22331</v>
      </c>
      <c r="E4140" s="8" t="s">
        <v>22332</v>
      </c>
      <c r="F4140" s="8" t="s">
        <v>22327</v>
      </c>
      <c r="G4140" s="8" t="s">
        <v>22322</v>
      </c>
      <c r="H4140" s="8" t="s">
        <v>22311</v>
      </c>
      <c r="I4140" s="8" t="s">
        <v>22333</v>
      </c>
      <c r="J4140" s="10">
        <v>323.98</v>
      </c>
      <c r="K4140" s="10">
        <v>323.98</v>
      </c>
      <c r="L4140" s="10">
        <v>284.85500000000002</v>
      </c>
      <c r="M4140" s="10">
        <v>-1.4590000000000001</v>
      </c>
      <c r="N4140" s="10">
        <v>-1.4590000000000001</v>
      </c>
      <c r="O4140" s="10">
        <v>1.9390000000000001</v>
      </c>
      <c r="P4140" s="15" t="s">
        <v>22273</v>
      </c>
      <c r="Q4140" s="15" t="s">
        <v>22273</v>
      </c>
      <c r="R4140" s="10">
        <v>3</v>
      </c>
    </row>
    <row r="4141" spans="1:18" ht="17" customHeight="1" x14ac:dyDescent="0.15">
      <c r="A4141" s="11" t="s">
        <v>22334</v>
      </c>
      <c r="B4141" s="1" t="s">
        <v>22335</v>
      </c>
      <c r="C4141" s="11" t="s">
        <v>22336</v>
      </c>
      <c r="D4141" s="11" t="s">
        <v>22336</v>
      </c>
      <c r="E4141" s="11" t="s">
        <v>22337</v>
      </c>
      <c r="F4141" s="11" t="s">
        <v>22321</v>
      </c>
      <c r="G4141" s="11" t="s">
        <v>22338</v>
      </c>
      <c r="H4141" s="11" t="s">
        <v>22339</v>
      </c>
      <c r="I4141" s="11" t="str">
        <f>HYPERLINK("http://www.karmansrl.com/","www.karmansrl.com")</f>
        <v>www.karmansrl.com</v>
      </c>
      <c r="J4141" s="12">
        <v>316.94799999999998</v>
      </c>
      <c r="K4141" s="12">
        <v>316.94799999999998</v>
      </c>
      <c r="L4141" s="13">
        <v>284.245</v>
      </c>
      <c r="M4141" s="12">
        <v>0.25800000000000001</v>
      </c>
      <c r="N4141" s="12">
        <v>0.25800000000000001</v>
      </c>
      <c r="O4141" s="12">
        <v>0.77300000000000002</v>
      </c>
      <c r="P4141" s="12">
        <v>4</v>
      </c>
      <c r="Q4141" s="12">
        <v>4</v>
      </c>
      <c r="R4141" s="12">
        <v>5</v>
      </c>
    </row>
    <row r="4142" spans="1:18" ht="17" customHeight="1" x14ac:dyDescent="0.15">
      <c r="A4142" s="8" t="s">
        <v>22340</v>
      </c>
      <c r="B4142" s="9" t="s">
        <v>22341</v>
      </c>
      <c r="C4142" s="8" t="s">
        <v>22342</v>
      </c>
      <c r="D4142" s="8" t="s">
        <v>22342</v>
      </c>
      <c r="E4142" s="8" t="s">
        <v>22343</v>
      </c>
      <c r="F4142" s="8" t="s">
        <v>22344</v>
      </c>
      <c r="G4142" s="8" t="s">
        <v>22345</v>
      </c>
      <c r="H4142" s="8" t="s">
        <v>22346</v>
      </c>
      <c r="I4142" s="8" t="str">
        <f>HYPERLINK("http://www.lngmaglieria.com/","www.lngmaglieria.com")</f>
        <v>www.lngmaglieria.com</v>
      </c>
      <c r="J4142" s="10">
        <v>194.447</v>
      </c>
      <c r="K4142" s="10">
        <v>194.447</v>
      </c>
      <c r="L4142" s="10">
        <v>283.858</v>
      </c>
      <c r="M4142" s="10">
        <v>-0.75</v>
      </c>
      <c r="N4142" s="10">
        <v>-0.75</v>
      </c>
      <c r="O4142" s="10">
        <v>1.7909999999999999</v>
      </c>
      <c r="P4142" s="10">
        <v>1</v>
      </c>
      <c r="Q4142" s="10">
        <v>1</v>
      </c>
      <c r="R4142" s="10">
        <v>1</v>
      </c>
    </row>
    <row r="4143" spans="1:18" ht="17" customHeight="1" x14ac:dyDescent="0.15">
      <c r="A4143" s="11" t="s">
        <v>22347</v>
      </c>
      <c r="B4143" s="1" t="s">
        <v>22348</v>
      </c>
      <c r="C4143" s="11" t="s">
        <v>22349</v>
      </c>
      <c r="D4143" s="11" t="s">
        <v>22349</v>
      </c>
      <c r="E4143" s="11" t="s">
        <v>22350</v>
      </c>
      <c r="F4143" s="11" t="s">
        <v>22278</v>
      </c>
      <c r="G4143" s="11" t="s">
        <v>22351</v>
      </c>
      <c r="H4143" s="11" t="s">
        <v>22339</v>
      </c>
      <c r="I4143" s="11" t="str">
        <f>HYPERLINK("http://www.mg-groupsrl.com/","www.mg-groupsrl.com")</f>
        <v>www.mg-groupsrl.com</v>
      </c>
      <c r="J4143" s="12">
        <v>283.79500000000002</v>
      </c>
      <c r="K4143" s="14" t="s">
        <v>22273</v>
      </c>
      <c r="L4143" s="13">
        <v>283.79500000000002</v>
      </c>
      <c r="M4143" s="12">
        <v>-146.10499999999999</v>
      </c>
      <c r="N4143" s="14" t="s">
        <v>22273</v>
      </c>
      <c r="O4143" s="12">
        <v>-146.10499999999999</v>
      </c>
      <c r="P4143" s="12">
        <v>6</v>
      </c>
      <c r="Q4143" s="14" t="s">
        <v>22273</v>
      </c>
      <c r="R4143" s="12">
        <v>6</v>
      </c>
    </row>
    <row r="4144" spans="1:18" ht="17" customHeight="1" x14ac:dyDescent="0.15">
      <c r="A4144" s="8" t="s">
        <v>22352</v>
      </c>
      <c r="B4144" s="9" t="s">
        <v>22353</v>
      </c>
      <c r="C4144" s="8" t="s">
        <v>22354</v>
      </c>
      <c r="D4144" s="8" t="s">
        <v>22354</v>
      </c>
      <c r="E4144" s="8" t="s">
        <v>22355</v>
      </c>
      <c r="F4144" s="8" t="s">
        <v>22271</v>
      </c>
      <c r="G4144" s="8" t="s">
        <v>22272</v>
      </c>
      <c r="H4144" s="8" t="s">
        <v>22266</v>
      </c>
      <c r="I4144" s="8" t="str">
        <f>HYPERLINK("http://demo3.quinto-elemento.it/","demo3.quinto-elemento.it")</f>
        <v>demo3.quinto-elemento.it</v>
      </c>
      <c r="J4144" s="10">
        <v>221.11</v>
      </c>
      <c r="K4144" s="10">
        <v>221.11</v>
      </c>
      <c r="L4144" s="10">
        <v>279.91500000000002</v>
      </c>
      <c r="M4144" s="10">
        <v>-30.215</v>
      </c>
      <c r="N4144" s="10">
        <v>-30.215</v>
      </c>
      <c r="O4144" s="10">
        <v>8.8190000000000008</v>
      </c>
      <c r="P4144" s="10">
        <v>1</v>
      </c>
      <c r="Q4144" s="10">
        <v>1</v>
      </c>
      <c r="R4144" s="10">
        <v>2</v>
      </c>
    </row>
    <row r="4145" spans="1:18" ht="29.5" customHeight="1" x14ac:dyDescent="0.15">
      <c r="A4145" s="11" t="s">
        <v>22356</v>
      </c>
      <c r="B4145" s="1" t="s">
        <v>22357</v>
      </c>
      <c r="C4145" s="11" t="s">
        <v>22358</v>
      </c>
      <c r="D4145" s="11" t="s">
        <v>22358</v>
      </c>
      <c r="E4145" s="11" t="s">
        <v>22359</v>
      </c>
      <c r="F4145" s="11" t="s">
        <v>22297</v>
      </c>
      <c r="G4145" s="11" t="s">
        <v>22360</v>
      </c>
      <c r="H4145" s="11" t="s">
        <v>22286</v>
      </c>
      <c r="I4145" s="11" t="str">
        <f>HYPERLINK("http://www.kiccatrend.it/","www.kiccatrend.it")</f>
        <v>www.kiccatrend.it</v>
      </c>
      <c r="J4145" s="12">
        <v>278.58600000000001</v>
      </c>
      <c r="K4145" s="14" t="s">
        <v>22273</v>
      </c>
      <c r="L4145" s="13">
        <v>278.58600000000001</v>
      </c>
      <c r="M4145" s="12">
        <v>-32.292000000000002</v>
      </c>
      <c r="N4145" s="14" t="s">
        <v>22273</v>
      </c>
      <c r="O4145" s="12">
        <v>-32.292000000000002</v>
      </c>
      <c r="P4145" s="12">
        <v>5</v>
      </c>
      <c r="Q4145" s="14" t="s">
        <v>22273</v>
      </c>
      <c r="R4145" s="12">
        <v>5</v>
      </c>
    </row>
    <row r="4146" spans="1:18" ht="17" customHeight="1" x14ac:dyDescent="0.15">
      <c r="A4146" s="8" t="s">
        <v>22361</v>
      </c>
      <c r="B4146" s="9" t="s">
        <v>22362</v>
      </c>
      <c r="C4146" s="8" t="s">
        <v>22363</v>
      </c>
      <c r="D4146" s="8" t="s">
        <v>22363</v>
      </c>
      <c r="E4146" s="8" t="s">
        <v>22364</v>
      </c>
      <c r="F4146" s="8" t="s">
        <v>22278</v>
      </c>
      <c r="G4146" s="8" t="s">
        <v>22365</v>
      </c>
      <c r="H4146" s="8" t="s">
        <v>22346</v>
      </c>
      <c r="I4146" s="8" t="str">
        <f>HYPERLINK("http://cocoba.it/","cocoba.it")</f>
        <v>cocoba.it</v>
      </c>
      <c r="J4146" s="10">
        <v>431.12099999999998</v>
      </c>
      <c r="K4146" s="10">
        <v>431.12099999999998</v>
      </c>
      <c r="L4146" s="10">
        <v>277.64400000000001</v>
      </c>
      <c r="M4146" s="10">
        <v>7.9450000000000003</v>
      </c>
      <c r="N4146" s="10">
        <v>7.9450000000000003</v>
      </c>
      <c r="O4146" s="10">
        <v>-14.233000000000001</v>
      </c>
      <c r="P4146" s="10">
        <v>3</v>
      </c>
      <c r="Q4146" s="10">
        <v>3</v>
      </c>
      <c r="R4146" s="10">
        <v>3</v>
      </c>
    </row>
    <row r="4147" spans="1:18" ht="29.5" customHeight="1" x14ac:dyDescent="0.15">
      <c r="A4147" s="11" t="s">
        <v>22366</v>
      </c>
      <c r="B4147" s="1" t="s">
        <v>22367</v>
      </c>
      <c r="C4147" s="11" t="s">
        <v>22368</v>
      </c>
      <c r="D4147" s="11" t="s">
        <v>22368</v>
      </c>
      <c r="E4147" s="11" t="s">
        <v>22369</v>
      </c>
      <c r="F4147" s="11" t="s">
        <v>22370</v>
      </c>
      <c r="G4147" s="11" t="s">
        <v>22371</v>
      </c>
      <c r="H4147" s="11" t="s">
        <v>22299</v>
      </c>
      <c r="I4147" s="11" t="str">
        <f>HYPERLINK("http://www.wudawu.com/","www.wudawu.com")</f>
        <v>www.wudawu.com</v>
      </c>
      <c r="J4147" s="12">
        <v>270.88</v>
      </c>
      <c r="K4147" s="12">
        <v>270.88</v>
      </c>
      <c r="L4147" s="13">
        <v>276.99</v>
      </c>
      <c r="M4147" s="12">
        <v>13.170999999999999</v>
      </c>
      <c r="N4147" s="12">
        <v>13.170999999999999</v>
      </c>
      <c r="O4147" s="12">
        <v>13.129</v>
      </c>
      <c r="P4147" s="12">
        <v>2</v>
      </c>
      <c r="Q4147" s="12">
        <v>2</v>
      </c>
      <c r="R4147" s="12">
        <v>1</v>
      </c>
    </row>
    <row r="4148" spans="1:18" ht="17" customHeight="1" x14ac:dyDescent="0.15">
      <c r="A4148" s="8" t="s">
        <v>22372</v>
      </c>
      <c r="B4148" s="9" t="s">
        <v>22373</v>
      </c>
      <c r="C4148" s="8" t="s">
        <v>22374</v>
      </c>
      <c r="D4148" s="8" t="s">
        <v>22374</v>
      </c>
      <c r="E4148" s="8" t="s">
        <v>22375</v>
      </c>
      <c r="F4148" s="8" t="s">
        <v>22344</v>
      </c>
      <c r="G4148" s="8" t="s">
        <v>22272</v>
      </c>
      <c r="H4148" s="8" t="s">
        <v>22266</v>
      </c>
      <c r="I4148" s="8" t="str">
        <f>HYPERLINK("http://www.paolaserramaglieria.it/","www.paolaserramaglieria.it")</f>
        <v>www.paolaserramaglieria.it</v>
      </c>
      <c r="J4148" s="10">
        <v>354.11200000000002</v>
      </c>
      <c r="K4148" s="10">
        <v>354.11200000000002</v>
      </c>
      <c r="L4148" s="10">
        <v>276.10399999999998</v>
      </c>
      <c r="M4148" s="10">
        <v>13.103</v>
      </c>
      <c r="N4148" s="10">
        <v>13.103</v>
      </c>
      <c r="O4148" s="10">
        <v>4.74</v>
      </c>
      <c r="P4148" s="15" t="s">
        <v>22273</v>
      </c>
      <c r="Q4148" s="15" t="s">
        <v>22273</v>
      </c>
      <c r="R4148" s="10">
        <v>11</v>
      </c>
    </row>
    <row r="4149" spans="1:18" ht="17" customHeight="1" x14ac:dyDescent="0.15">
      <c r="A4149" s="11" t="s">
        <v>22376</v>
      </c>
      <c r="B4149" s="1" t="s">
        <v>22377</v>
      </c>
      <c r="C4149" s="11" t="s">
        <v>22378</v>
      </c>
      <c r="D4149" s="11" t="s">
        <v>22378</v>
      </c>
      <c r="E4149" s="11" t="s">
        <v>22379</v>
      </c>
      <c r="F4149" s="11" t="s">
        <v>22297</v>
      </c>
      <c r="G4149" s="11" t="s">
        <v>22338</v>
      </c>
      <c r="H4149" s="11" t="s">
        <v>22339</v>
      </c>
      <c r="I4149" s="11" t="str">
        <f>HYPERLINK("http://meneghinihockey.it/","meneghinihockey.it")</f>
        <v>meneghinihockey.it</v>
      </c>
      <c r="J4149" s="12">
        <v>317.02300000000002</v>
      </c>
      <c r="K4149" s="12">
        <v>317.02300000000002</v>
      </c>
      <c r="L4149" s="13">
        <v>275.89</v>
      </c>
      <c r="M4149" s="12">
        <v>8.0839999999999996</v>
      </c>
      <c r="N4149" s="12">
        <v>8.0839999999999996</v>
      </c>
      <c r="O4149" s="12">
        <v>8.1679999999999993</v>
      </c>
      <c r="P4149" s="12">
        <v>1</v>
      </c>
      <c r="Q4149" s="12">
        <v>1</v>
      </c>
      <c r="R4149" s="12">
        <v>1</v>
      </c>
    </row>
    <row r="4150" spans="1:18" ht="17" customHeight="1" x14ac:dyDescent="0.15">
      <c r="A4150" s="8" t="s">
        <v>22380</v>
      </c>
      <c r="B4150" s="9" t="s">
        <v>22381</v>
      </c>
      <c r="C4150" s="8" t="s">
        <v>22382</v>
      </c>
      <c r="D4150" s="8" t="s">
        <v>22382</v>
      </c>
      <c r="E4150" s="8" t="s">
        <v>22383</v>
      </c>
      <c r="F4150" s="8" t="s">
        <v>22278</v>
      </c>
      <c r="G4150" s="8" t="s">
        <v>22272</v>
      </c>
      <c r="H4150" s="8" t="s">
        <v>22266</v>
      </c>
      <c r="I4150" s="8" t="str">
        <f>HYPERLINK("http://www.sartoriadimilano.it/","www.sartoriadimilano.it")</f>
        <v>www.sartoriadimilano.it</v>
      </c>
      <c r="J4150" s="10">
        <v>207.56200000000001</v>
      </c>
      <c r="K4150" s="10">
        <v>207.56200000000001</v>
      </c>
      <c r="L4150" s="10">
        <v>275.77600000000001</v>
      </c>
      <c r="M4150" s="10">
        <v>2.016</v>
      </c>
      <c r="N4150" s="10">
        <v>2.016</v>
      </c>
      <c r="O4150" s="10">
        <v>1.3560000000000001</v>
      </c>
      <c r="P4150" s="10">
        <v>0</v>
      </c>
      <c r="Q4150" s="10">
        <v>0</v>
      </c>
      <c r="R4150" s="10">
        <v>1</v>
      </c>
    </row>
    <row r="4151" spans="1:18" ht="17" customHeight="1" x14ac:dyDescent="0.15">
      <c r="A4151" s="11" t="s">
        <v>22384</v>
      </c>
      <c r="B4151" s="1" t="s">
        <v>22385</v>
      </c>
      <c r="C4151" s="11" t="s">
        <v>22386</v>
      </c>
      <c r="D4151" s="11" t="s">
        <v>22386</v>
      </c>
      <c r="E4151" s="11" t="s">
        <v>22387</v>
      </c>
      <c r="F4151" s="11" t="s">
        <v>22344</v>
      </c>
      <c r="G4151" s="11" t="s">
        <v>22388</v>
      </c>
      <c r="H4151" s="11" t="s">
        <v>22389</v>
      </c>
      <c r="I4151" s="11" t="str">
        <f>HYPERLINK("http://www.confezionidavissrl.it/","www.confezionidavissrl.it")</f>
        <v>www.confezionidavissrl.it</v>
      </c>
      <c r="J4151" s="12">
        <v>274.11900000000003</v>
      </c>
      <c r="K4151" s="14" t="s">
        <v>22273</v>
      </c>
      <c r="L4151" s="13">
        <v>274.11900000000003</v>
      </c>
      <c r="M4151" s="12">
        <v>6.8150000000000004</v>
      </c>
      <c r="N4151" s="14" t="s">
        <v>22273</v>
      </c>
      <c r="O4151" s="12">
        <v>6.8150000000000004</v>
      </c>
      <c r="P4151" s="12">
        <v>15</v>
      </c>
      <c r="Q4151" s="14" t="s">
        <v>22273</v>
      </c>
      <c r="R4151" s="12">
        <v>15</v>
      </c>
    </row>
    <row r="4152" spans="1:18" ht="43" customHeight="1" x14ac:dyDescent="0.15">
      <c r="A4152" s="8" t="s">
        <v>22390</v>
      </c>
      <c r="B4152" s="9" t="s">
        <v>22391</v>
      </c>
      <c r="C4152" s="8" t="s">
        <v>22392</v>
      </c>
      <c r="D4152" s="8" t="s">
        <v>22392</v>
      </c>
      <c r="E4152" s="8" t="s">
        <v>22393</v>
      </c>
      <c r="F4152" s="8" t="s">
        <v>22291</v>
      </c>
      <c r="G4152" s="8" t="s">
        <v>22394</v>
      </c>
      <c r="H4152" s="8" t="s">
        <v>22395</v>
      </c>
      <c r="I4152" s="8" t="str">
        <f>HYPERLINK("http://www.sartoriarobu.it/","www.sartoriarobu.it")</f>
        <v>www.sartoriarobu.it</v>
      </c>
      <c r="J4152" s="10">
        <v>312.49400000000003</v>
      </c>
      <c r="K4152" s="10">
        <v>312.49400000000003</v>
      </c>
      <c r="L4152" s="10">
        <v>273.41199999999998</v>
      </c>
      <c r="M4152" s="10">
        <v>21.867999999999999</v>
      </c>
      <c r="N4152" s="10">
        <v>21.867999999999999</v>
      </c>
      <c r="O4152" s="10">
        <v>15.507</v>
      </c>
      <c r="P4152" s="10">
        <v>10</v>
      </c>
      <c r="Q4152" s="10">
        <v>10</v>
      </c>
      <c r="R4152" s="10">
        <v>9</v>
      </c>
    </row>
    <row r="4153" spans="1:18" ht="17" customHeight="1" x14ac:dyDescent="0.15">
      <c r="A4153" s="11" t="s">
        <v>22396</v>
      </c>
      <c r="B4153" s="1" t="s">
        <v>22397</v>
      </c>
      <c r="C4153" s="11" t="s">
        <v>22398</v>
      </c>
      <c r="D4153" s="11" t="s">
        <v>22398</v>
      </c>
      <c r="E4153" s="11" t="s">
        <v>22399</v>
      </c>
      <c r="F4153" s="11" t="s">
        <v>22400</v>
      </c>
      <c r="G4153" s="11" t="s">
        <v>22310</v>
      </c>
      <c r="H4153" s="11" t="s">
        <v>22311</v>
      </c>
      <c r="I4153" s="11" t="str">
        <f>HYPERLINK("http://www.bonino.it/","www.bonino.it")</f>
        <v>www.bonino.it</v>
      </c>
      <c r="J4153" s="12">
        <v>275.86200000000002</v>
      </c>
      <c r="K4153" s="12">
        <v>275.86200000000002</v>
      </c>
      <c r="L4153" s="13">
        <v>273.29700000000003</v>
      </c>
      <c r="M4153" s="12">
        <v>6.8449999999999998</v>
      </c>
      <c r="N4153" s="12">
        <v>6.8449999999999998</v>
      </c>
      <c r="O4153" s="12">
        <v>13.78</v>
      </c>
      <c r="P4153" s="14" t="s">
        <v>22273</v>
      </c>
      <c r="Q4153" s="14" t="s">
        <v>22273</v>
      </c>
      <c r="R4153" s="12">
        <v>4</v>
      </c>
    </row>
    <row r="4154" spans="1:18" ht="17" customHeight="1" x14ac:dyDescent="0.15">
      <c r="A4154" s="8" t="s">
        <v>22401</v>
      </c>
      <c r="B4154" s="9" t="s">
        <v>22402</v>
      </c>
      <c r="C4154" s="8" t="s">
        <v>22403</v>
      </c>
      <c r="D4154" s="8" t="s">
        <v>22403</v>
      </c>
      <c r="E4154" s="8" t="s">
        <v>22404</v>
      </c>
      <c r="F4154" s="8" t="s">
        <v>22304</v>
      </c>
      <c r="G4154" s="8" t="s">
        <v>22405</v>
      </c>
      <c r="H4154" s="8" t="s">
        <v>22339</v>
      </c>
      <c r="I4154" s="8" t="str">
        <f>HYPERLINK("http://www.officinadelmaresrl.com/","www.officinadelmaresrl.com")</f>
        <v>www.officinadelmaresrl.com</v>
      </c>
      <c r="J4154" s="10">
        <v>263.3</v>
      </c>
      <c r="K4154" s="10">
        <v>263.3</v>
      </c>
      <c r="L4154" s="10">
        <v>273.26</v>
      </c>
      <c r="M4154" s="10">
        <v>2.3090000000000002</v>
      </c>
      <c r="N4154" s="10">
        <v>2.3090000000000002</v>
      </c>
      <c r="O4154" s="10">
        <v>2.673</v>
      </c>
      <c r="P4154" s="15" t="s">
        <v>22273</v>
      </c>
      <c r="Q4154" s="15" t="s">
        <v>22273</v>
      </c>
      <c r="R4154" s="10">
        <v>7</v>
      </c>
    </row>
    <row r="4155" spans="1:18" ht="29.5" customHeight="1" x14ac:dyDescent="0.15">
      <c r="A4155" s="11" t="s">
        <v>22406</v>
      </c>
      <c r="B4155" s="1" t="s">
        <v>22407</v>
      </c>
      <c r="C4155" s="11" t="s">
        <v>22408</v>
      </c>
      <c r="D4155" s="11" t="s">
        <v>22408</v>
      </c>
      <c r="E4155" s="11" t="s">
        <v>22409</v>
      </c>
      <c r="F4155" s="11" t="s">
        <v>22400</v>
      </c>
      <c r="G4155" s="11" t="s">
        <v>22285</v>
      </c>
      <c r="H4155" s="11" t="s">
        <v>22286</v>
      </c>
      <c r="I4155" s="11" t="str">
        <f>HYPERLINK("http://www.atlantisleather.it/","www.atlantisleather.it")</f>
        <v>www.atlantisleather.it</v>
      </c>
      <c r="J4155" s="12">
        <v>616.36400000000003</v>
      </c>
      <c r="K4155" s="12">
        <v>616.36400000000003</v>
      </c>
      <c r="L4155" s="13">
        <v>272.34500000000003</v>
      </c>
      <c r="M4155" s="12">
        <v>-207.35400000000001</v>
      </c>
      <c r="N4155" s="12">
        <v>-207.35400000000001</v>
      </c>
      <c r="O4155" s="12">
        <v>-448.33699999999999</v>
      </c>
      <c r="P4155" s="14" t="s">
        <v>22273</v>
      </c>
      <c r="Q4155" s="14" t="s">
        <v>22273</v>
      </c>
      <c r="R4155" s="12">
        <v>7</v>
      </c>
    </row>
    <row r="4156" spans="1:18" ht="17" customHeight="1" x14ac:dyDescent="0.15">
      <c r="A4156" s="8" t="s">
        <v>22410</v>
      </c>
      <c r="B4156" s="9" t="s">
        <v>22411</v>
      </c>
      <c r="C4156" s="8" t="s">
        <v>22412</v>
      </c>
      <c r="D4156" s="8" t="s">
        <v>22412</v>
      </c>
      <c r="E4156" s="8" t="s">
        <v>22413</v>
      </c>
      <c r="F4156" s="8" t="s">
        <v>22278</v>
      </c>
      <c r="G4156" s="8" t="s">
        <v>22414</v>
      </c>
      <c r="H4156" s="8" t="s">
        <v>22280</v>
      </c>
      <c r="I4156" s="8" t="str">
        <f>HYPERLINK("http://www.glesant.it/","www.glesant.it")</f>
        <v>www.glesant.it</v>
      </c>
      <c r="J4156" s="10">
        <v>316.83100000000002</v>
      </c>
      <c r="K4156" s="10">
        <v>316.83100000000002</v>
      </c>
      <c r="L4156" s="10">
        <v>271.798</v>
      </c>
      <c r="M4156" s="10">
        <v>2.806</v>
      </c>
      <c r="N4156" s="10">
        <v>2.806</v>
      </c>
      <c r="O4156" s="10">
        <v>6.149</v>
      </c>
      <c r="P4156" s="10">
        <v>5</v>
      </c>
      <c r="Q4156" s="10">
        <v>5</v>
      </c>
      <c r="R4156" s="10">
        <v>5</v>
      </c>
    </row>
    <row r="4157" spans="1:18" ht="17" customHeight="1" x14ac:dyDescent="0.15">
      <c r="A4157" s="11" t="s">
        <v>22415</v>
      </c>
      <c r="B4157" s="1" t="s">
        <v>22416</v>
      </c>
      <c r="C4157" s="11" t="s">
        <v>22417</v>
      </c>
      <c r="D4157" s="11" t="s">
        <v>22417</v>
      </c>
      <c r="E4157" s="11" t="s">
        <v>22418</v>
      </c>
      <c r="F4157" s="11" t="s">
        <v>22419</v>
      </c>
      <c r="G4157" s="11" t="s">
        <v>22292</v>
      </c>
      <c r="H4157" s="11" t="s">
        <v>22266</v>
      </c>
      <c r="I4157" s="11" t="str">
        <f>HYPERLINK("http://www.matticchio-fazzoletti.it/","www.matticchio-fazzoletti.it")</f>
        <v>www.matticchio-fazzoletti.it</v>
      </c>
      <c r="J4157" s="12">
        <v>310.29000000000002</v>
      </c>
      <c r="K4157" s="12">
        <v>310.29000000000002</v>
      </c>
      <c r="L4157" s="13">
        <v>270.43900000000002</v>
      </c>
      <c r="M4157" s="12">
        <v>49.091000000000001</v>
      </c>
      <c r="N4157" s="12">
        <v>49.091000000000001</v>
      </c>
      <c r="O4157" s="12">
        <v>7.4260000000000002</v>
      </c>
      <c r="P4157" s="12">
        <v>0</v>
      </c>
      <c r="Q4157" s="12">
        <v>0</v>
      </c>
      <c r="R4157" s="12">
        <v>1</v>
      </c>
    </row>
    <row r="4158" spans="1:18" ht="29.5" customHeight="1" x14ac:dyDescent="0.15">
      <c r="A4158" s="8" t="s">
        <v>22420</v>
      </c>
      <c r="B4158" s="9" t="s">
        <v>22421</v>
      </c>
      <c r="C4158" s="8" t="s">
        <v>22422</v>
      </c>
      <c r="D4158" s="8" t="s">
        <v>22422</v>
      </c>
      <c r="E4158" s="8" t="s">
        <v>22423</v>
      </c>
      <c r="F4158" s="8" t="s">
        <v>22264</v>
      </c>
      <c r="G4158" s="8" t="s">
        <v>22424</v>
      </c>
      <c r="H4158" s="8" t="s">
        <v>22425</v>
      </c>
      <c r="I4158" s="8" t="str">
        <f>HYPERLINK("http://www.difabioecappetta.com/","www.difabioecappetta.com")</f>
        <v>www.difabioecappetta.com</v>
      </c>
      <c r="J4158" s="10">
        <v>546.73</v>
      </c>
      <c r="K4158" s="10">
        <v>546.73</v>
      </c>
      <c r="L4158" s="10">
        <v>268.87700000000001</v>
      </c>
      <c r="M4158" s="10">
        <v>4.1210000000000004</v>
      </c>
      <c r="N4158" s="10">
        <v>4.1210000000000004</v>
      </c>
      <c r="O4158" s="10">
        <v>3.5369999999999999</v>
      </c>
      <c r="P4158" s="15" t="s">
        <v>22273</v>
      </c>
      <c r="Q4158" s="15" t="s">
        <v>22273</v>
      </c>
      <c r="R4158" s="10">
        <v>0</v>
      </c>
    </row>
    <row r="4159" spans="1:18" ht="17" customHeight="1" x14ac:dyDescent="0.15">
      <c r="A4159" s="11" t="s">
        <v>22426</v>
      </c>
      <c r="B4159" s="1" t="s">
        <v>22427</v>
      </c>
      <c r="C4159" s="11" t="s">
        <v>22428</v>
      </c>
      <c r="D4159" s="11" t="s">
        <v>22428</v>
      </c>
      <c r="E4159" s="11" t="s">
        <v>22429</v>
      </c>
      <c r="F4159" s="11" t="s">
        <v>22430</v>
      </c>
      <c r="G4159" s="11" t="s">
        <v>22365</v>
      </c>
      <c r="H4159" s="11" t="s">
        <v>22346</v>
      </c>
      <c r="I4159" s="11" t="str">
        <f>HYPERLINK("http://www.bbfabio.it/","www.bbfabio.it")</f>
        <v>www.bbfabio.it</v>
      </c>
      <c r="J4159" s="12">
        <v>173.51499999999999</v>
      </c>
      <c r="K4159" s="12">
        <v>173.51499999999999</v>
      </c>
      <c r="L4159" s="13">
        <v>268.81200000000001</v>
      </c>
      <c r="M4159" s="12">
        <v>0.42099999999999999</v>
      </c>
      <c r="N4159" s="12">
        <v>0.42099999999999999</v>
      </c>
      <c r="O4159" s="12">
        <v>6.6000000000000003E-2</v>
      </c>
      <c r="P4159" s="12">
        <v>1</v>
      </c>
      <c r="Q4159" s="12">
        <v>1</v>
      </c>
      <c r="R4159" s="12">
        <v>1</v>
      </c>
    </row>
    <row r="4160" spans="1:18" ht="17" customHeight="1" x14ac:dyDescent="0.15">
      <c r="A4160" s="8" t="s">
        <v>22431</v>
      </c>
      <c r="B4160" s="9" t="s">
        <v>22432</v>
      </c>
      <c r="C4160" s="8" t="s">
        <v>22433</v>
      </c>
      <c r="D4160" s="8" t="s">
        <v>22433</v>
      </c>
      <c r="E4160" s="8" t="s">
        <v>22434</v>
      </c>
      <c r="F4160" s="8" t="s">
        <v>22400</v>
      </c>
      <c r="G4160" s="8" t="s">
        <v>22435</v>
      </c>
      <c r="H4160" s="8" t="s">
        <v>22339</v>
      </c>
      <c r="I4160" s="8" t="str">
        <f>HYPERLINK("http://www.klausdiffusion.com/","www.klausdiffusion.com")</f>
        <v>www.klausdiffusion.com</v>
      </c>
      <c r="J4160" s="10">
        <v>325.42899999999997</v>
      </c>
      <c r="K4160" s="10">
        <v>325.42899999999997</v>
      </c>
      <c r="L4160" s="10">
        <v>267.82799999999997</v>
      </c>
      <c r="M4160" s="10">
        <v>1.0900000000000001</v>
      </c>
      <c r="N4160" s="10">
        <v>1.0900000000000001</v>
      </c>
      <c r="O4160" s="10">
        <v>-7.7969999999999997</v>
      </c>
      <c r="P4160" s="15" t="s">
        <v>22273</v>
      </c>
      <c r="Q4160" s="15" t="s">
        <v>22273</v>
      </c>
      <c r="R4160" s="10">
        <v>3</v>
      </c>
    </row>
    <row r="4161" spans="1:18" ht="17" customHeight="1" x14ac:dyDescent="0.15">
      <c r="A4161" s="11" t="s">
        <v>22436</v>
      </c>
      <c r="B4161" s="1" t="s">
        <v>22437</v>
      </c>
      <c r="C4161" s="11" t="s">
        <v>22438</v>
      </c>
      <c r="D4161" s="11" t="s">
        <v>22438</v>
      </c>
      <c r="E4161" s="11" t="s">
        <v>22439</v>
      </c>
      <c r="F4161" s="11" t="s">
        <v>22440</v>
      </c>
      <c r="G4161" s="11" t="s">
        <v>22441</v>
      </c>
      <c r="H4161" s="11" t="s">
        <v>22442</v>
      </c>
      <c r="I4161" s="11" t="str">
        <f>HYPERLINK("http://www.noschesedancing.com/","www.noschesedancing.com")</f>
        <v>www.noschesedancing.com</v>
      </c>
      <c r="J4161" s="12">
        <v>327.27999999999997</v>
      </c>
      <c r="K4161" s="12">
        <v>327.27999999999997</v>
      </c>
      <c r="L4161" s="13">
        <v>267.70100000000002</v>
      </c>
      <c r="M4161" s="12">
        <v>-7.9450000000000003</v>
      </c>
      <c r="N4161" s="12">
        <v>-7.9450000000000003</v>
      </c>
      <c r="O4161" s="12">
        <v>2.145</v>
      </c>
      <c r="P4161" s="12">
        <v>8</v>
      </c>
      <c r="Q4161" s="12">
        <v>8</v>
      </c>
      <c r="R4161" s="12">
        <v>6</v>
      </c>
    </row>
    <row r="4162" spans="1:18" ht="17" customHeight="1" x14ac:dyDescent="0.15">
      <c r="A4162" s="8" t="s">
        <v>22443</v>
      </c>
      <c r="B4162" s="9" t="s">
        <v>22444</v>
      </c>
      <c r="C4162" s="8" t="s">
        <v>22445</v>
      </c>
      <c r="D4162" s="8" t="s">
        <v>22445</v>
      </c>
      <c r="E4162" s="8" t="s">
        <v>22446</v>
      </c>
      <c r="F4162" s="8" t="s">
        <v>22447</v>
      </c>
      <c r="G4162" s="8" t="s">
        <v>22448</v>
      </c>
      <c r="H4162" s="8" t="s">
        <v>22449</v>
      </c>
      <c r="I4162" s="8" t="str">
        <f>HYPERLINK("http://studiomodasas.com/","studiomodasas.com")</f>
        <v>studiomodasas.com</v>
      </c>
      <c r="J4162" s="10">
        <v>285.54899999999998</v>
      </c>
      <c r="K4162" s="10">
        <v>285.54899999999998</v>
      </c>
      <c r="L4162" s="10">
        <v>267.71699999999998</v>
      </c>
      <c r="M4162" s="10">
        <v>30.484000000000002</v>
      </c>
      <c r="N4162" s="10">
        <v>30.484000000000002</v>
      </c>
      <c r="O4162" s="10">
        <v>20.341000000000001</v>
      </c>
      <c r="P4162" s="10">
        <v>3</v>
      </c>
      <c r="Q4162" s="10">
        <v>3</v>
      </c>
      <c r="R4162" s="10">
        <v>3</v>
      </c>
    </row>
    <row r="4163" spans="1:18" ht="17" customHeight="1" x14ac:dyDescent="0.15">
      <c r="A4163" s="11" t="s">
        <v>22450</v>
      </c>
      <c r="B4163" s="1" t="s">
        <v>22451</v>
      </c>
      <c r="C4163" s="11" t="s">
        <v>22452</v>
      </c>
      <c r="D4163" s="11" t="s">
        <v>22452</v>
      </c>
      <c r="E4163" s="11" t="s">
        <v>22453</v>
      </c>
      <c r="F4163" s="11" t="s">
        <v>22454</v>
      </c>
      <c r="G4163" s="11" t="s">
        <v>22455</v>
      </c>
      <c r="H4163" s="11" t="s">
        <v>22442</v>
      </c>
      <c r="I4163" s="11" t="str">
        <f>HYPERLINK("http://twelveitalia.it/","twelveitalia.it")</f>
        <v>twelveitalia.it</v>
      </c>
      <c r="J4163" s="12">
        <v>360.95100000000002</v>
      </c>
      <c r="K4163" s="12">
        <v>360.95100000000002</v>
      </c>
      <c r="L4163" s="13">
        <v>267.30500000000001</v>
      </c>
      <c r="M4163" s="12">
        <v>10.737</v>
      </c>
      <c r="N4163" s="12">
        <v>10.737</v>
      </c>
      <c r="O4163" s="12">
        <v>7.7380000000000004</v>
      </c>
      <c r="P4163" s="14" t="s">
        <v>22456</v>
      </c>
      <c r="Q4163" s="14" t="s">
        <v>22456</v>
      </c>
      <c r="R4163" s="12">
        <v>1</v>
      </c>
    </row>
    <row r="4164" spans="1:18" ht="17" customHeight="1" x14ac:dyDescent="0.15">
      <c r="A4164" s="8" t="s">
        <v>22457</v>
      </c>
      <c r="B4164" s="9" t="s">
        <v>22458</v>
      </c>
      <c r="C4164" s="8" t="s">
        <v>22459</v>
      </c>
      <c r="D4164" s="8" t="s">
        <v>22460</v>
      </c>
      <c r="E4164" s="8" t="s">
        <v>22461</v>
      </c>
      <c r="F4164" s="8" t="s">
        <v>22454</v>
      </c>
      <c r="G4164" s="8" t="s">
        <v>22462</v>
      </c>
      <c r="H4164" s="8" t="s">
        <v>22463</v>
      </c>
      <c r="I4164" s="8" t="str">
        <f>HYPERLINK("http://www.faustosantini.com/","www.faustosantini.com")</f>
        <v>www.faustosantini.com</v>
      </c>
      <c r="J4164" s="10">
        <v>242.744</v>
      </c>
      <c r="K4164" s="10">
        <v>242.744</v>
      </c>
      <c r="L4164" s="10">
        <v>267.21800000000002</v>
      </c>
      <c r="M4164" s="10">
        <v>4.2110000000000003</v>
      </c>
      <c r="N4164" s="10">
        <v>4.2110000000000003</v>
      </c>
      <c r="O4164" s="10">
        <v>6.0359999999999996</v>
      </c>
      <c r="P4164" s="10">
        <v>1</v>
      </c>
      <c r="Q4164" s="10">
        <v>1</v>
      </c>
      <c r="R4164" s="10">
        <v>1</v>
      </c>
    </row>
    <row r="4165" spans="1:18" ht="17" customHeight="1" x14ac:dyDescent="0.15">
      <c r="A4165" s="11" t="s">
        <v>22464</v>
      </c>
      <c r="B4165" s="1" t="s">
        <v>22465</v>
      </c>
      <c r="C4165" s="11" t="s">
        <v>22466</v>
      </c>
      <c r="D4165" s="11" t="s">
        <v>22466</v>
      </c>
      <c r="E4165" s="11" t="s">
        <v>22467</v>
      </c>
      <c r="F4165" s="11" t="s">
        <v>22468</v>
      </c>
      <c r="G4165" s="11" t="s">
        <v>22469</v>
      </c>
      <c r="H4165" s="11" t="s">
        <v>22470</v>
      </c>
      <c r="I4165" s="11" t="str">
        <f>HYPERLINK("http://www.globallinesrl.com/","www.globallinesrl.com")</f>
        <v>www.globallinesrl.com</v>
      </c>
      <c r="J4165" s="12">
        <v>266.93599999999998</v>
      </c>
      <c r="K4165" s="14" t="s">
        <v>22456</v>
      </c>
      <c r="L4165" s="13">
        <v>266.93599999999998</v>
      </c>
      <c r="M4165" s="12">
        <v>2.8439999999999999</v>
      </c>
      <c r="N4165" s="14" t="s">
        <v>22456</v>
      </c>
      <c r="O4165" s="12">
        <v>2.8439999999999999</v>
      </c>
      <c r="P4165" s="12">
        <v>3</v>
      </c>
      <c r="Q4165" s="14" t="s">
        <v>22456</v>
      </c>
      <c r="R4165" s="12">
        <v>3</v>
      </c>
    </row>
    <row r="4166" spans="1:18" ht="17" customHeight="1" x14ac:dyDescent="0.15">
      <c r="A4166" s="8" t="s">
        <v>22471</v>
      </c>
      <c r="B4166" s="9" t="s">
        <v>22472</v>
      </c>
      <c r="C4166" s="8" t="s">
        <v>22473</v>
      </c>
      <c r="D4166" s="8" t="s">
        <v>22473</v>
      </c>
      <c r="E4166" s="8" t="s">
        <v>22474</v>
      </c>
      <c r="F4166" s="8" t="s">
        <v>22454</v>
      </c>
      <c r="G4166" s="8" t="s">
        <v>22475</v>
      </c>
      <c r="H4166" s="8" t="s">
        <v>22476</v>
      </c>
      <c r="I4166" s="8" t="str">
        <f>HYPERLINK("http://les-italiennes.it/","les-italiennes.it")</f>
        <v>les-italiennes.it</v>
      </c>
      <c r="J4166" s="10">
        <v>33.335000000000001</v>
      </c>
      <c r="K4166" s="10">
        <v>33.335000000000001</v>
      </c>
      <c r="L4166" s="10">
        <v>266.44200000000001</v>
      </c>
      <c r="M4166" s="10">
        <v>-146.899</v>
      </c>
      <c r="N4166" s="10">
        <v>-146.899</v>
      </c>
      <c r="O4166" s="10">
        <v>-351.65899999999999</v>
      </c>
      <c r="P4166" s="15" t="s">
        <v>22456</v>
      </c>
      <c r="Q4166" s="15" t="s">
        <v>22456</v>
      </c>
      <c r="R4166" s="10">
        <v>5</v>
      </c>
    </row>
    <row r="4167" spans="1:18" ht="17" customHeight="1" x14ac:dyDescent="0.15">
      <c r="A4167" s="11" t="s">
        <v>22477</v>
      </c>
      <c r="B4167" s="1" t="s">
        <v>22478</v>
      </c>
      <c r="C4167" s="11" t="s">
        <v>22479</v>
      </c>
      <c r="D4167" s="11" t="s">
        <v>22479</v>
      </c>
      <c r="E4167" s="11" t="s">
        <v>22480</v>
      </c>
      <c r="F4167" s="11" t="s">
        <v>22447</v>
      </c>
      <c r="G4167" s="11" t="s">
        <v>22481</v>
      </c>
      <c r="H4167" s="11" t="s">
        <v>22476</v>
      </c>
      <c r="I4167" s="11" t="str">
        <f>HYPERLINK("http://www.ocaloca.it/","www.ocaloca.it")</f>
        <v>www.ocaloca.it</v>
      </c>
      <c r="J4167" s="12">
        <v>265.798</v>
      </c>
      <c r="K4167" s="14" t="s">
        <v>22456</v>
      </c>
      <c r="L4167" s="13">
        <v>265.798</v>
      </c>
      <c r="M4167" s="12">
        <v>15.146000000000001</v>
      </c>
      <c r="N4167" s="14" t="s">
        <v>22456</v>
      </c>
      <c r="O4167" s="12">
        <v>15.146000000000001</v>
      </c>
      <c r="P4167" s="12">
        <v>8</v>
      </c>
      <c r="Q4167" s="14" t="s">
        <v>22456</v>
      </c>
      <c r="R4167" s="12">
        <v>8</v>
      </c>
    </row>
    <row r="4168" spans="1:18" ht="17" customHeight="1" x14ac:dyDescent="0.15">
      <c r="A4168" s="8" t="s">
        <v>22482</v>
      </c>
      <c r="B4168" s="9" t="s">
        <v>22483</v>
      </c>
      <c r="C4168" s="8" t="s">
        <v>22484</v>
      </c>
      <c r="D4168" s="8" t="s">
        <v>22484</v>
      </c>
      <c r="E4168" s="8" t="s">
        <v>22485</v>
      </c>
      <c r="F4168" s="8" t="s">
        <v>22486</v>
      </c>
      <c r="G4168" s="8" t="s">
        <v>22487</v>
      </c>
      <c r="H4168" s="8" t="s">
        <v>22488</v>
      </c>
      <c r="I4168" s="8" t="str">
        <f>HYPERLINK("http://www.maglificiofelis.com/","www.maglificiofelis.com")</f>
        <v>www.maglificiofelis.com</v>
      </c>
      <c r="J4168" s="10">
        <v>236.036</v>
      </c>
      <c r="K4168" s="10">
        <v>236.036</v>
      </c>
      <c r="L4168" s="10">
        <v>265.47800000000001</v>
      </c>
      <c r="M4168" s="10">
        <v>-397.26799999999997</v>
      </c>
      <c r="N4168" s="10">
        <v>-397.26799999999997</v>
      </c>
      <c r="O4168" s="10">
        <v>-260.52</v>
      </c>
      <c r="P4168" s="10">
        <v>3</v>
      </c>
      <c r="Q4168" s="10">
        <v>3</v>
      </c>
      <c r="R4168" s="10">
        <v>3</v>
      </c>
    </row>
    <row r="4169" spans="1:18" ht="17" customHeight="1" x14ac:dyDescent="0.15">
      <c r="A4169" s="11" t="s">
        <v>22489</v>
      </c>
      <c r="B4169" s="1" t="s">
        <v>22490</v>
      </c>
      <c r="C4169" s="11" t="s">
        <v>22491</v>
      </c>
      <c r="D4169" s="11" t="s">
        <v>22491</v>
      </c>
      <c r="E4169" s="11" t="s">
        <v>22492</v>
      </c>
      <c r="F4169" s="11" t="s">
        <v>22493</v>
      </c>
      <c r="G4169" s="11" t="s">
        <v>22494</v>
      </c>
      <c r="H4169" s="11" t="s">
        <v>22449</v>
      </c>
      <c r="I4169" s="11" t="str">
        <f>HYPERLINK("http://www.sauber.com/","www.sauber.com")</f>
        <v>www.sauber.com</v>
      </c>
      <c r="J4169" s="12">
        <v>266.79500000000002</v>
      </c>
      <c r="K4169" s="12">
        <v>266.79500000000002</v>
      </c>
      <c r="L4169" s="13">
        <v>264.97300000000001</v>
      </c>
      <c r="M4169" s="12">
        <v>70.837000000000003</v>
      </c>
      <c r="N4169" s="12">
        <v>70.837000000000003</v>
      </c>
      <c r="O4169" s="12">
        <v>41.945999999999998</v>
      </c>
      <c r="P4169" s="12">
        <v>0</v>
      </c>
      <c r="Q4169" s="12">
        <v>0</v>
      </c>
      <c r="R4169" s="12">
        <v>5</v>
      </c>
    </row>
    <row r="4170" spans="1:18" ht="17" customHeight="1" x14ac:dyDescent="0.15">
      <c r="A4170" s="8" t="s">
        <v>22495</v>
      </c>
      <c r="B4170" s="9" t="s">
        <v>22496</v>
      </c>
      <c r="C4170" s="8" t="s">
        <v>22497</v>
      </c>
      <c r="D4170" s="8" t="s">
        <v>22497</v>
      </c>
      <c r="E4170" s="8" t="s">
        <v>22498</v>
      </c>
      <c r="F4170" s="8" t="s">
        <v>22499</v>
      </c>
      <c r="G4170" s="8" t="s">
        <v>22500</v>
      </c>
      <c r="H4170" s="8" t="s">
        <v>22488</v>
      </c>
      <c r="I4170" s="8" t="str">
        <f>HYPERLINK("http://wellwod.com/","wellwod.com")</f>
        <v>wellwod.com</v>
      </c>
      <c r="J4170" s="10">
        <v>150.102</v>
      </c>
      <c r="K4170" s="10">
        <v>150.102</v>
      </c>
      <c r="L4170" s="10">
        <v>264.69499999999999</v>
      </c>
      <c r="M4170" s="10">
        <v>-28.399000000000001</v>
      </c>
      <c r="N4170" s="10">
        <v>-28.399000000000001</v>
      </c>
      <c r="O4170" s="10">
        <v>-28.795000000000002</v>
      </c>
      <c r="P4170" s="10">
        <v>2</v>
      </c>
      <c r="Q4170" s="10">
        <v>2</v>
      </c>
      <c r="R4170" s="10">
        <v>2</v>
      </c>
    </row>
    <row r="4171" spans="1:18" ht="17" customHeight="1" x14ac:dyDescent="0.15">
      <c r="A4171" s="11" t="s">
        <v>22501</v>
      </c>
      <c r="B4171" s="1" t="s">
        <v>22502</v>
      </c>
      <c r="C4171" s="11" t="s">
        <v>22503</v>
      </c>
      <c r="D4171" s="11" t="s">
        <v>22503</v>
      </c>
      <c r="E4171" s="11" t="s">
        <v>22504</v>
      </c>
      <c r="F4171" s="11" t="s">
        <v>22505</v>
      </c>
      <c r="G4171" s="11" t="s">
        <v>22506</v>
      </c>
      <c r="H4171" s="11" t="s">
        <v>22507</v>
      </c>
      <c r="I4171" s="11" t="str">
        <f>HYPERLINK("http://www.numb-wear.it/","www.numb-wear.it")</f>
        <v>www.numb-wear.it</v>
      </c>
      <c r="J4171" s="12">
        <v>336.548</v>
      </c>
      <c r="K4171" s="12">
        <v>336.548</v>
      </c>
      <c r="L4171" s="13">
        <v>264.58</v>
      </c>
      <c r="M4171" s="12">
        <v>15.928000000000001</v>
      </c>
      <c r="N4171" s="12">
        <v>15.928000000000001</v>
      </c>
      <c r="O4171" s="12">
        <v>0.58799999999999997</v>
      </c>
      <c r="P4171" s="12">
        <v>2</v>
      </c>
      <c r="Q4171" s="12">
        <v>2</v>
      </c>
      <c r="R4171" s="12">
        <v>2</v>
      </c>
    </row>
    <row r="4172" spans="1:18" ht="17" customHeight="1" x14ac:dyDescent="0.15">
      <c r="A4172" s="8" t="s">
        <v>22508</v>
      </c>
      <c r="B4172" s="9" t="s">
        <v>22509</v>
      </c>
      <c r="C4172" s="8" t="s">
        <v>22510</v>
      </c>
      <c r="D4172" s="8" t="s">
        <v>22510</v>
      </c>
      <c r="E4172" s="8" t="s">
        <v>22511</v>
      </c>
      <c r="F4172" s="8" t="s">
        <v>22454</v>
      </c>
      <c r="G4172" s="8" t="s">
        <v>22512</v>
      </c>
      <c r="H4172" s="8" t="s">
        <v>22476</v>
      </c>
      <c r="I4172" s="8" t="str">
        <f>HYPERLINK("http://www.micanto.it/","www.micanto.it")</f>
        <v>www.micanto.it</v>
      </c>
      <c r="J4172" s="10">
        <v>224.43799999999999</v>
      </c>
      <c r="K4172" s="10">
        <v>224.43799999999999</v>
      </c>
      <c r="L4172" s="10">
        <v>264.63600000000002</v>
      </c>
      <c r="M4172" s="10">
        <v>0.72099999999999997</v>
      </c>
      <c r="N4172" s="10">
        <v>0.72099999999999997</v>
      </c>
      <c r="O4172" s="10">
        <v>-36.825000000000003</v>
      </c>
      <c r="P4172" s="10">
        <v>7</v>
      </c>
      <c r="Q4172" s="10">
        <v>7</v>
      </c>
      <c r="R4172" s="10">
        <v>10</v>
      </c>
    </row>
    <row r="4173" spans="1:18" ht="17" customHeight="1" x14ac:dyDescent="0.15">
      <c r="A4173" s="11" t="s">
        <v>22513</v>
      </c>
      <c r="B4173" s="1" t="s">
        <v>22514</v>
      </c>
      <c r="C4173" s="11" t="s">
        <v>22515</v>
      </c>
      <c r="D4173" s="11" t="s">
        <v>22515</v>
      </c>
      <c r="E4173" s="11" t="s">
        <v>22516</v>
      </c>
      <c r="F4173" s="11" t="s">
        <v>22517</v>
      </c>
      <c r="G4173" s="11" t="s">
        <v>22518</v>
      </c>
      <c r="H4173" s="11" t="s">
        <v>22519</v>
      </c>
      <c r="I4173" s="11" t="str">
        <f>HYPERLINK("http://www.euphoriasrl.it/","www.euphoriasrl.it")</f>
        <v>www.euphoriasrl.it</v>
      </c>
      <c r="J4173" s="12">
        <v>383.779</v>
      </c>
      <c r="K4173" s="12">
        <v>383.779</v>
      </c>
      <c r="L4173" s="13">
        <v>264.108</v>
      </c>
      <c r="M4173" s="12">
        <v>17.221</v>
      </c>
      <c r="N4173" s="12">
        <v>17.221</v>
      </c>
      <c r="O4173" s="12">
        <v>8.7129999999999992</v>
      </c>
      <c r="P4173" s="14" t="s">
        <v>22456</v>
      </c>
      <c r="Q4173" s="14" t="s">
        <v>22456</v>
      </c>
      <c r="R4173" s="12">
        <v>9</v>
      </c>
    </row>
    <row r="4174" spans="1:18" ht="29.5" customHeight="1" x14ac:dyDescent="0.15">
      <c r="A4174" s="8" t="s">
        <v>22520</v>
      </c>
      <c r="B4174" s="9" t="s">
        <v>22521</v>
      </c>
      <c r="C4174" s="8" t="s">
        <v>22522</v>
      </c>
      <c r="D4174" s="8" t="s">
        <v>22522</v>
      </c>
      <c r="E4174" s="8" t="s">
        <v>22523</v>
      </c>
      <c r="F4174" s="8" t="s">
        <v>22524</v>
      </c>
      <c r="G4174" s="8" t="s">
        <v>22525</v>
      </c>
      <c r="H4174" s="8" t="s">
        <v>22519</v>
      </c>
      <c r="I4174" s="8" t="str">
        <f>HYPERLINK("http://www.puntotech.info/","www.puntotech.info")</f>
        <v>www.puntotech.info</v>
      </c>
      <c r="J4174" s="10">
        <v>301.31400000000002</v>
      </c>
      <c r="K4174" s="10">
        <v>301.31400000000002</v>
      </c>
      <c r="L4174" s="10">
        <v>263.964</v>
      </c>
      <c r="M4174" s="10">
        <v>-1.282</v>
      </c>
      <c r="N4174" s="10">
        <v>-1.282</v>
      </c>
      <c r="O4174" s="10">
        <v>0.69799999999999995</v>
      </c>
      <c r="P4174" s="10">
        <v>2</v>
      </c>
      <c r="Q4174" s="10">
        <v>2</v>
      </c>
      <c r="R4174" s="10">
        <v>4</v>
      </c>
    </row>
    <row r="4175" spans="1:18" ht="17" customHeight="1" x14ac:dyDescent="0.15">
      <c r="A4175" s="11" t="s">
        <v>22526</v>
      </c>
      <c r="B4175" s="1" t="s">
        <v>22527</v>
      </c>
      <c r="C4175" s="11" t="s">
        <v>22528</v>
      </c>
      <c r="D4175" s="11" t="s">
        <v>22528</v>
      </c>
      <c r="E4175" s="11" t="s">
        <v>22529</v>
      </c>
      <c r="F4175" s="11" t="s">
        <v>22517</v>
      </c>
      <c r="G4175" s="11" t="s">
        <v>22530</v>
      </c>
      <c r="H4175" s="11" t="s">
        <v>22488</v>
      </c>
      <c r="I4175" s="11" t="str">
        <f>HYPERLINK("http://www.bagolo.it/","www.bagolo.it")</f>
        <v>www.bagolo.it</v>
      </c>
      <c r="J4175" s="12">
        <v>253.38800000000001</v>
      </c>
      <c r="K4175" s="12">
        <v>253.38800000000001</v>
      </c>
      <c r="L4175" s="13">
        <v>262.625</v>
      </c>
      <c r="M4175" s="12">
        <v>-24.998999999999999</v>
      </c>
      <c r="N4175" s="12">
        <v>-24.998999999999999</v>
      </c>
      <c r="O4175" s="12">
        <v>-4.1689999999999996</v>
      </c>
      <c r="P4175" s="12">
        <v>2</v>
      </c>
      <c r="Q4175" s="12">
        <v>2</v>
      </c>
      <c r="R4175" s="12">
        <v>1</v>
      </c>
    </row>
    <row r="4176" spans="1:18" ht="17" customHeight="1" x14ac:dyDescent="0.15">
      <c r="A4176" s="8" t="s">
        <v>22531</v>
      </c>
      <c r="B4176" s="9" t="s">
        <v>22532</v>
      </c>
      <c r="C4176" s="8" t="s">
        <v>22533</v>
      </c>
      <c r="D4176" s="8" t="s">
        <v>22533</v>
      </c>
      <c r="E4176" s="8" t="s">
        <v>22534</v>
      </c>
      <c r="F4176" s="8" t="s">
        <v>22535</v>
      </c>
      <c r="G4176" s="8" t="s">
        <v>22455</v>
      </c>
      <c r="H4176" s="8" t="s">
        <v>22442</v>
      </c>
      <c r="I4176" s="8" t="str">
        <f>HYPERLINK("http://www.jetcamicie.it/","www.jetcamicie.it")</f>
        <v>www.jetcamicie.it</v>
      </c>
      <c r="J4176" s="10">
        <v>261.67899999999997</v>
      </c>
      <c r="K4176" s="15" t="s">
        <v>22456</v>
      </c>
      <c r="L4176" s="10">
        <v>261.67899999999997</v>
      </c>
      <c r="M4176" s="10">
        <v>-31.995999999999999</v>
      </c>
      <c r="N4176" s="15" t="s">
        <v>22456</v>
      </c>
      <c r="O4176" s="10">
        <v>-31.995999999999999</v>
      </c>
      <c r="P4176" s="10">
        <v>5</v>
      </c>
      <c r="Q4176" s="15" t="s">
        <v>22456</v>
      </c>
      <c r="R4176" s="10">
        <v>5</v>
      </c>
    </row>
    <row r="4177" spans="1:18" ht="17" customHeight="1" x14ac:dyDescent="0.15">
      <c r="A4177" s="11" t="s">
        <v>22536</v>
      </c>
      <c r="B4177" s="1" t="s">
        <v>22537</v>
      </c>
      <c r="C4177" s="11" t="s">
        <v>22538</v>
      </c>
      <c r="D4177" s="11" t="s">
        <v>22538</v>
      </c>
      <c r="E4177" s="11" t="s">
        <v>22539</v>
      </c>
      <c r="F4177" s="11" t="s">
        <v>22540</v>
      </c>
      <c r="G4177" s="11" t="s">
        <v>22500</v>
      </c>
      <c r="H4177" s="11" t="s">
        <v>22488</v>
      </c>
      <c r="I4177" s="11" t="str">
        <f>HYPERLINK("http://www.confezionirg.it/","www.confezionirg.it")</f>
        <v>www.confezionirg.it</v>
      </c>
      <c r="J4177" s="12">
        <v>335.75599999999997</v>
      </c>
      <c r="K4177" s="12">
        <v>335.75599999999997</v>
      </c>
      <c r="L4177" s="13">
        <v>261.58</v>
      </c>
      <c r="M4177" s="12">
        <v>84.600999999999999</v>
      </c>
      <c r="N4177" s="12">
        <v>84.600999999999999</v>
      </c>
      <c r="O4177" s="12">
        <v>13.624000000000001</v>
      </c>
      <c r="P4177" s="14" t="s">
        <v>22456</v>
      </c>
      <c r="Q4177" s="14" t="s">
        <v>22456</v>
      </c>
      <c r="R4177" s="12">
        <v>8</v>
      </c>
    </row>
    <row r="4178" spans="1:18" ht="17" customHeight="1" x14ac:dyDescent="0.15">
      <c r="A4178" s="8" t="s">
        <v>22541</v>
      </c>
      <c r="B4178" s="9" t="s">
        <v>22542</v>
      </c>
      <c r="C4178" s="8" t="s">
        <v>22543</v>
      </c>
      <c r="D4178" s="8" t="s">
        <v>22543</v>
      </c>
      <c r="E4178" s="8" t="s">
        <v>22544</v>
      </c>
      <c r="F4178" s="8" t="s">
        <v>22535</v>
      </c>
      <c r="G4178" s="8" t="s">
        <v>22462</v>
      </c>
      <c r="H4178" s="8" t="s">
        <v>22463</v>
      </c>
      <c r="I4178" s="8" t="str">
        <f>HYPERLINK("http://pivert-store.com/","pivert-store.com")</f>
        <v>pivert-store.com</v>
      </c>
      <c r="J4178" s="10">
        <v>151.82400000000001</v>
      </c>
      <c r="K4178" s="10">
        <v>151.82400000000001</v>
      </c>
      <c r="L4178" s="10">
        <v>261.05900000000003</v>
      </c>
      <c r="M4178" s="10">
        <v>6.29</v>
      </c>
      <c r="N4178" s="10">
        <v>6.29</v>
      </c>
      <c r="O4178" s="10">
        <v>5.258</v>
      </c>
      <c r="P4178" s="10">
        <v>0</v>
      </c>
      <c r="Q4178" s="10">
        <v>0</v>
      </c>
      <c r="R4178" s="10">
        <v>4</v>
      </c>
    </row>
    <row r="4179" spans="1:18" ht="17" customHeight="1" x14ac:dyDescent="0.15">
      <c r="A4179" s="11" t="s">
        <v>22545</v>
      </c>
      <c r="B4179" s="1" t="s">
        <v>22546</v>
      </c>
      <c r="C4179" s="11" t="s">
        <v>22547</v>
      </c>
      <c r="D4179" s="11" t="s">
        <v>22547</v>
      </c>
      <c r="E4179" s="11" t="s">
        <v>22548</v>
      </c>
      <c r="F4179" s="11" t="s">
        <v>22440</v>
      </c>
      <c r="G4179" s="11" t="s">
        <v>22549</v>
      </c>
      <c r="H4179" s="11" t="s">
        <v>22507</v>
      </c>
      <c r="I4179" s="11" t="str">
        <f>HYPERLINK("http://www.partyoftwo.it/","www.partyoftwo.it")</f>
        <v>www.partyoftwo.it</v>
      </c>
      <c r="J4179" s="12">
        <v>293.23700000000002</v>
      </c>
      <c r="K4179" s="12">
        <v>293.23700000000002</v>
      </c>
      <c r="L4179" s="13">
        <v>260.416</v>
      </c>
      <c r="M4179" s="12">
        <v>20.539000000000001</v>
      </c>
      <c r="N4179" s="12">
        <v>20.539000000000001</v>
      </c>
      <c r="O4179" s="12">
        <v>23.535</v>
      </c>
      <c r="P4179" s="14" t="s">
        <v>22456</v>
      </c>
      <c r="Q4179" s="14" t="s">
        <v>22456</v>
      </c>
      <c r="R4179" s="12">
        <v>1</v>
      </c>
    </row>
    <row r="4180" spans="1:18" ht="17" customHeight="1" x14ac:dyDescent="0.15">
      <c r="A4180" s="8" t="s">
        <v>22550</v>
      </c>
      <c r="B4180" s="9" t="s">
        <v>22551</v>
      </c>
      <c r="C4180" s="8" t="s">
        <v>22552</v>
      </c>
      <c r="D4180" s="8" t="s">
        <v>22552</v>
      </c>
      <c r="E4180" s="8" t="s">
        <v>22553</v>
      </c>
      <c r="F4180" s="8" t="s">
        <v>22468</v>
      </c>
      <c r="G4180" s="8" t="s">
        <v>22554</v>
      </c>
      <c r="H4180" s="8" t="s">
        <v>22449</v>
      </c>
      <c r="I4180" s="8" t="str">
        <f>HYPERLINK("http://www.chiarabertani.com/","www.chiarabertani.com")</f>
        <v>www.chiarabertani.com</v>
      </c>
      <c r="J4180" s="10">
        <v>236.578</v>
      </c>
      <c r="K4180" s="10">
        <v>236.578</v>
      </c>
      <c r="L4180" s="10">
        <v>260.02699999999999</v>
      </c>
      <c r="M4180" s="10">
        <v>-25.303000000000001</v>
      </c>
      <c r="N4180" s="10">
        <v>-25.303000000000001</v>
      </c>
      <c r="O4180" s="10">
        <v>-73.028000000000006</v>
      </c>
      <c r="P4180" s="15" t="s">
        <v>22456</v>
      </c>
      <c r="Q4180" s="15" t="s">
        <v>22456</v>
      </c>
      <c r="R4180" s="10">
        <v>1</v>
      </c>
    </row>
    <row r="4181" spans="1:18" ht="17" customHeight="1" x14ac:dyDescent="0.15">
      <c r="A4181" s="11" t="s">
        <v>22555</v>
      </c>
      <c r="B4181" s="1" t="s">
        <v>22556</v>
      </c>
      <c r="C4181" s="11" t="s">
        <v>22557</v>
      </c>
      <c r="D4181" s="11" t="s">
        <v>22557</v>
      </c>
      <c r="E4181" s="11" t="s">
        <v>22558</v>
      </c>
      <c r="F4181" s="11" t="s">
        <v>22517</v>
      </c>
      <c r="G4181" s="11" t="s">
        <v>22469</v>
      </c>
      <c r="H4181" s="11" t="s">
        <v>22470</v>
      </c>
      <c r="I4181" s="11" t="str">
        <f>HYPERLINK("http://www.militarystyle.com/","www.militarystyle.com")</f>
        <v>www.militarystyle.com</v>
      </c>
      <c r="J4181" s="12">
        <v>322.89400000000001</v>
      </c>
      <c r="K4181" s="12">
        <v>322.89400000000001</v>
      </c>
      <c r="L4181" s="13">
        <v>259.63799999999998</v>
      </c>
      <c r="M4181" s="12">
        <v>2.9209999999999998</v>
      </c>
      <c r="N4181" s="12">
        <v>2.9209999999999998</v>
      </c>
      <c r="O4181" s="12">
        <v>25.145</v>
      </c>
      <c r="P4181" s="12">
        <v>0</v>
      </c>
      <c r="Q4181" s="12">
        <v>0</v>
      </c>
      <c r="R4181" s="12">
        <v>0</v>
      </c>
    </row>
    <row r="4182" spans="1:18" ht="17" customHeight="1" x14ac:dyDescent="0.15">
      <c r="A4182" s="8" t="s">
        <v>22559</v>
      </c>
      <c r="B4182" s="9" t="s">
        <v>22560</v>
      </c>
      <c r="C4182" s="8" t="s">
        <v>22561</v>
      </c>
      <c r="D4182" s="8" t="s">
        <v>22561</v>
      </c>
      <c r="E4182" s="8" t="s">
        <v>22562</v>
      </c>
      <c r="F4182" s="8" t="s">
        <v>22454</v>
      </c>
      <c r="G4182" s="8" t="s">
        <v>22563</v>
      </c>
      <c r="H4182" s="8" t="s">
        <v>22564</v>
      </c>
      <c r="I4182" s="8" t="str">
        <f>HYPERLINK("http://www.orthopant.com/","www.orthopant.com")</f>
        <v>www.orthopant.com</v>
      </c>
      <c r="J4182" s="10">
        <v>215.816</v>
      </c>
      <c r="K4182" s="10">
        <v>215.816</v>
      </c>
      <c r="L4182" s="10">
        <v>259.59399999999999</v>
      </c>
      <c r="M4182" s="10">
        <v>-48.52</v>
      </c>
      <c r="N4182" s="10">
        <v>-48.52</v>
      </c>
      <c r="O4182" s="10">
        <v>-12.368</v>
      </c>
      <c r="P4182" s="10">
        <v>2</v>
      </c>
      <c r="Q4182" s="10">
        <v>2</v>
      </c>
      <c r="R4182" s="10">
        <v>2</v>
      </c>
    </row>
    <row r="4183" spans="1:18" ht="43" customHeight="1" x14ac:dyDescent="0.15">
      <c r="A4183" s="11" t="s">
        <v>22565</v>
      </c>
      <c r="B4183" s="1" t="s">
        <v>22566</v>
      </c>
      <c r="C4183" s="11" t="s">
        <v>22567</v>
      </c>
      <c r="D4183" s="11" t="s">
        <v>22567</v>
      </c>
      <c r="E4183" s="11" t="s">
        <v>22568</v>
      </c>
      <c r="F4183" s="11" t="s">
        <v>22569</v>
      </c>
      <c r="G4183" s="11" t="s">
        <v>22455</v>
      </c>
      <c r="H4183" s="11" t="s">
        <v>22442</v>
      </c>
      <c r="I4183" s="11" t="str">
        <f>HYPERLINK("http://www.sartoriapisano.it/","www.sartoriapisano.it")</f>
        <v>www.sartoriapisano.it</v>
      </c>
      <c r="J4183" s="12">
        <v>265.899</v>
      </c>
      <c r="K4183" s="12">
        <v>265.899</v>
      </c>
      <c r="L4183" s="13">
        <v>258.31900000000002</v>
      </c>
      <c r="M4183" s="12">
        <v>6.6909999999999998</v>
      </c>
      <c r="N4183" s="12">
        <v>6.6909999999999998</v>
      </c>
      <c r="O4183" s="12">
        <v>-18.059999999999999</v>
      </c>
      <c r="P4183" s="12">
        <v>6</v>
      </c>
      <c r="Q4183" s="12">
        <v>6</v>
      </c>
      <c r="R4183" s="12">
        <v>6</v>
      </c>
    </row>
    <row r="4184" spans="1:18" ht="17" customHeight="1" x14ac:dyDescent="0.15">
      <c r="A4184" s="8" t="s">
        <v>22570</v>
      </c>
      <c r="B4184" s="9" t="s">
        <v>22571</v>
      </c>
      <c r="C4184" s="8" t="s">
        <v>22572</v>
      </c>
      <c r="D4184" s="8" t="s">
        <v>22572</v>
      </c>
      <c r="E4184" s="8" t="s">
        <v>22573</v>
      </c>
      <c r="F4184" s="8" t="s">
        <v>22535</v>
      </c>
      <c r="G4184" s="8" t="s">
        <v>22574</v>
      </c>
      <c r="H4184" s="8" t="s">
        <v>22575</v>
      </c>
      <c r="I4184" s="8" t="str">
        <f>HYPERLINK("http://www.officine904.it/","www.officine904.it")</f>
        <v>www.officine904.it</v>
      </c>
      <c r="J4184" s="10">
        <v>246.035</v>
      </c>
      <c r="K4184" s="10">
        <v>246.035</v>
      </c>
      <c r="L4184" s="10">
        <v>258.25200000000001</v>
      </c>
      <c r="M4184" s="10">
        <v>31.972000000000001</v>
      </c>
      <c r="N4184" s="10">
        <v>31.972000000000001</v>
      </c>
      <c r="O4184" s="10">
        <v>23.922999999999998</v>
      </c>
      <c r="P4184" s="10">
        <v>2</v>
      </c>
      <c r="Q4184" s="10">
        <v>2</v>
      </c>
      <c r="R4184" s="10">
        <v>2</v>
      </c>
    </row>
    <row r="4185" spans="1:18" ht="17" customHeight="1" x14ac:dyDescent="0.15">
      <c r="A4185" s="11" t="s">
        <v>22576</v>
      </c>
      <c r="B4185" s="1" t="s">
        <v>22577</v>
      </c>
      <c r="C4185" s="11" t="s">
        <v>22578</v>
      </c>
      <c r="D4185" s="11" t="s">
        <v>22578</v>
      </c>
      <c r="E4185" s="11" t="s">
        <v>22579</v>
      </c>
      <c r="F4185" s="11" t="s">
        <v>22517</v>
      </c>
      <c r="G4185" s="11" t="s">
        <v>22455</v>
      </c>
      <c r="H4185" s="11" t="s">
        <v>22442</v>
      </c>
      <c r="I4185" s="11" t="str">
        <f>HYPERLINK("http://blog.ornellaauzino.it/","blog.ornellaauzino.it")</f>
        <v>blog.ornellaauzino.it</v>
      </c>
      <c r="J4185" s="12">
        <v>267.49299999999999</v>
      </c>
      <c r="K4185" s="12">
        <v>267.49299999999999</v>
      </c>
      <c r="L4185" s="13">
        <v>257.76100000000002</v>
      </c>
      <c r="M4185" s="12">
        <v>14.651999999999999</v>
      </c>
      <c r="N4185" s="12">
        <v>14.651999999999999</v>
      </c>
      <c r="O4185" s="12">
        <v>13.464</v>
      </c>
      <c r="P4185" s="12">
        <v>1</v>
      </c>
      <c r="Q4185" s="12">
        <v>1</v>
      </c>
      <c r="R4185" s="12">
        <v>1</v>
      </c>
    </row>
    <row r="4186" spans="1:18" ht="17" customHeight="1" x14ac:dyDescent="0.15">
      <c r="A4186" s="8" t="s">
        <v>22580</v>
      </c>
      <c r="B4186" s="9" t="s">
        <v>22581</v>
      </c>
      <c r="C4186" s="8" t="s">
        <v>22582</v>
      </c>
      <c r="D4186" s="8" t="s">
        <v>22582</v>
      </c>
      <c r="E4186" s="8" t="s">
        <v>22583</v>
      </c>
      <c r="F4186" s="8" t="s">
        <v>22454</v>
      </c>
      <c r="G4186" s="8" t="s">
        <v>22584</v>
      </c>
      <c r="H4186" s="8" t="s">
        <v>22488</v>
      </c>
      <c r="I4186" s="8" t="str">
        <f>HYPERLINK("http://maestriciccone.com/","maestriciccone.com")</f>
        <v>maestriciccone.com</v>
      </c>
      <c r="J4186" s="10">
        <v>421.95400000000001</v>
      </c>
      <c r="K4186" s="10">
        <v>421.95400000000001</v>
      </c>
      <c r="L4186" s="10">
        <v>257.67700000000002</v>
      </c>
      <c r="M4186" s="10">
        <v>0.66900000000000004</v>
      </c>
      <c r="N4186" s="10">
        <v>0.66900000000000004</v>
      </c>
      <c r="O4186" s="10">
        <v>0.97299999999999998</v>
      </c>
      <c r="P4186" s="10">
        <v>2</v>
      </c>
      <c r="Q4186" s="10">
        <v>2</v>
      </c>
      <c r="R4186" s="10">
        <v>1</v>
      </c>
    </row>
    <row r="4187" spans="1:18" ht="17" customHeight="1" x14ac:dyDescent="0.15">
      <c r="A4187" s="11" t="s">
        <v>22585</v>
      </c>
      <c r="B4187" s="1" t="s">
        <v>22586</v>
      </c>
      <c r="C4187" s="11" t="s">
        <v>22587</v>
      </c>
      <c r="D4187" s="11" t="s">
        <v>22587</v>
      </c>
      <c r="E4187" s="11" t="s">
        <v>22588</v>
      </c>
      <c r="F4187" s="11" t="s">
        <v>22454</v>
      </c>
      <c r="G4187" s="11" t="s">
        <v>22589</v>
      </c>
      <c r="H4187" s="11" t="s">
        <v>22590</v>
      </c>
      <c r="I4187" s="11" t="str">
        <f>HYPERLINK("http://www.nuovacervinio.it/","www.nuovacervinio.it")</f>
        <v>www.nuovacervinio.it</v>
      </c>
      <c r="J4187" s="12">
        <v>232.63900000000001</v>
      </c>
      <c r="K4187" s="12">
        <v>232.63900000000001</v>
      </c>
      <c r="L4187" s="13">
        <v>257.49700000000001</v>
      </c>
      <c r="M4187" s="12">
        <v>0.54300000000000004</v>
      </c>
      <c r="N4187" s="12">
        <v>0.54300000000000004</v>
      </c>
      <c r="O4187" s="12">
        <v>2.1459999999999999</v>
      </c>
      <c r="P4187" s="12">
        <v>2</v>
      </c>
      <c r="Q4187" s="12">
        <v>2</v>
      </c>
      <c r="R4187" s="12">
        <v>4</v>
      </c>
    </row>
    <row r="4188" spans="1:18" ht="17" customHeight="1" x14ac:dyDescent="0.15">
      <c r="A4188" s="8" t="s">
        <v>22591</v>
      </c>
      <c r="B4188" s="9" t="s">
        <v>22592</v>
      </c>
      <c r="C4188" s="8" t="s">
        <v>22593</v>
      </c>
      <c r="D4188" s="8" t="s">
        <v>22593</v>
      </c>
      <c r="E4188" s="8" t="s">
        <v>22594</v>
      </c>
      <c r="F4188" s="8" t="s">
        <v>22535</v>
      </c>
      <c r="G4188" s="8" t="s">
        <v>22595</v>
      </c>
      <c r="H4188" s="8" t="s">
        <v>22507</v>
      </c>
      <c r="I4188" s="8" t="str">
        <f>HYPERLINK("http://www.manisrl.it/","www.manisrl.it")</f>
        <v>www.manisrl.it</v>
      </c>
      <c r="J4188" s="10">
        <v>478.85</v>
      </c>
      <c r="K4188" s="10">
        <v>478.85</v>
      </c>
      <c r="L4188" s="10">
        <v>257.06200000000001</v>
      </c>
      <c r="M4188" s="10">
        <v>-31.577999999999999</v>
      </c>
      <c r="N4188" s="10">
        <v>-31.577999999999999</v>
      </c>
      <c r="O4188" s="10">
        <v>-56.539000000000001</v>
      </c>
      <c r="P4188" s="10">
        <v>3</v>
      </c>
      <c r="Q4188" s="10">
        <v>3</v>
      </c>
      <c r="R4188" s="10">
        <v>2</v>
      </c>
    </row>
    <row r="4189" spans="1:18" ht="29.5" customHeight="1" x14ac:dyDescent="0.15">
      <c r="A4189" s="11" t="s">
        <v>22596</v>
      </c>
      <c r="B4189" s="1" t="s">
        <v>22597</v>
      </c>
      <c r="C4189" s="11" t="s">
        <v>22598</v>
      </c>
      <c r="D4189" s="11" t="s">
        <v>22598</v>
      </c>
      <c r="E4189" s="11" t="s">
        <v>22599</v>
      </c>
      <c r="F4189" s="11" t="s">
        <v>22447</v>
      </c>
      <c r="G4189" s="11" t="s">
        <v>22600</v>
      </c>
      <c r="H4189" s="11" t="s">
        <v>22449</v>
      </c>
      <c r="I4189" s="11" t="str">
        <f>HYPERLINK("http://www.italbrand.net/","www.italbrand.net")</f>
        <v>www.italbrand.net</v>
      </c>
      <c r="J4189" s="12">
        <v>455.565</v>
      </c>
      <c r="K4189" s="12">
        <v>455.565</v>
      </c>
      <c r="L4189" s="13">
        <v>256.97800000000001</v>
      </c>
      <c r="M4189" s="12">
        <v>7.056</v>
      </c>
      <c r="N4189" s="12">
        <v>7.056</v>
      </c>
      <c r="O4189" s="12">
        <v>8.56</v>
      </c>
      <c r="P4189" s="14" t="s">
        <v>22456</v>
      </c>
      <c r="Q4189" s="14" t="s">
        <v>22456</v>
      </c>
      <c r="R4189" s="12">
        <v>2</v>
      </c>
    </row>
    <row r="4190" spans="1:18" ht="17" customHeight="1" x14ac:dyDescent="0.15">
      <c r="A4190" s="8" t="s">
        <v>22601</v>
      </c>
      <c r="B4190" s="9" t="s">
        <v>22602</v>
      </c>
      <c r="C4190" s="8" t="s">
        <v>22603</v>
      </c>
      <c r="D4190" s="8" t="s">
        <v>22603</v>
      </c>
      <c r="E4190" s="8" t="s">
        <v>22604</v>
      </c>
      <c r="F4190" s="8" t="s">
        <v>22524</v>
      </c>
      <c r="G4190" s="8" t="s">
        <v>22605</v>
      </c>
      <c r="H4190" s="8" t="s">
        <v>22575</v>
      </c>
      <c r="I4190" s="8" t="str">
        <f>HYPERLINK("http://www.vestindustria.it/","www.vestindustria.it")</f>
        <v>www.vestindustria.it</v>
      </c>
      <c r="J4190" s="10">
        <v>331.483</v>
      </c>
      <c r="K4190" s="10">
        <v>331.483</v>
      </c>
      <c r="L4190" s="10">
        <v>256.84800000000001</v>
      </c>
      <c r="M4190" s="10">
        <v>18.222000000000001</v>
      </c>
      <c r="N4190" s="10">
        <v>18.222000000000001</v>
      </c>
      <c r="O4190" s="10">
        <v>8.5000000000000006E-2</v>
      </c>
      <c r="P4190" s="10">
        <v>1</v>
      </c>
      <c r="Q4190" s="10">
        <v>1</v>
      </c>
      <c r="R4190" s="10">
        <v>1</v>
      </c>
    </row>
    <row r="4191" spans="1:18" ht="17" customHeight="1" x14ac:dyDescent="0.15">
      <c r="A4191" s="11" t="s">
        <v>22606</v>
      </c>
      <c r="B4191" s="1" t="s">
        <v>22607</v>
      </c>
      <c r="C4191" s="11" t="s">
        <v>22608</v>
      </c>
      <c r="D4191" s="11" t="s">
        <v>22608</v>
      </c>
      <c r="E4191" s="11" t="s">
        <v>22609</v>
      </c>
      <c r="F4191" s="11" t="s">
        <v>22569</v>
      </c>
      <c r="G4191" s="11" t="s">
        <v>22455</v>
      </c>
      <c r="H4191" s="11" t="s">
        <v>22442</v>
      </c>
      <c r="I4191" s="11" t="str">
        <f>HYPERLINK("http://www.giannimolaro.it/","www.giannimolaro.it")</f>
        <v>www.giannimolaro.it</v>
      </c>
      <c r="J4191" s="12">
        <v>300.13499999999999</v>
      </c>
      <c r="K4191" s="12">
        <v>300.13499999999999</v>
      </c>
      <c r="L4191" s="13">
        <v>256.702</v>
      </c>
      <c r="M4191" s="12">
        <v>30.972000000000001</v>
      </c>
      <c r="N4191" s="12">
        <v>30.972000000000001</v>
      </c>
      <c r="O4191" s="12">
        <v>-111.52800000000001</v>
      </c>
      <c r="P4191" s="12">
        <v>6</v>
      </c>
      <c r="Q4191" s="12">
        <v>6</v>
      </c>
      <c r="R4191" s="12">
        <v>5</v>
      </c>
    </row>
    <row r="4192" spans="1:18" ht="17" customHeight="1" x14ac:dyDescent="0.15">
      <c r="A4192" s="8" t="s">
        <v>22610</v>
      </c>
      <c r="B4192" s="9" t="s">
        <v>22611</v>
      </c>
      <c r="C4192" s="8" t="s">
        <v>22612</v>
      </c>
      <c r="D4192" s="8" t="s">
        <v>22612</v>
      </c>
      <c r="E4192" s="8" t="s">
        <v>22613</v>
      </c>
      <c r="F4192" s="8" t="s">
        <v>22447</v>
      </c>
      <c r="G4192" s="8" t="s">
        <v>22614</v>
      </c>
      <c r="H4192" s="8" t="s">
        <v>22507</v>
      </c>
      <c r="I4192" s="8" t="str">
        <f>HYPERLINK("http://www.ioelulu.it/","www.ioelulu.it")</f>
        <v>www.ioelulu.it</v>
      </c>
      <c r="J4192" s="10">
        <v>345.66800000000001</v>
      </c>
      <c r="K4192" s="10">
        <v>345.66800000000001</v>
      </c>
      <c r="L4192" s="10">
        <v>256.29199999999997</v>
      </c>
      <c r="M4192" s="10">
        <v>-2.6680000000000001</v>
      </c>
      <c r="N4192" s="10">
        <v>-2.6680000000000001</v>
      </c>
      <c r="O4192" s="10">
        <v>1.36</v>
      </c>
      <c r="P4192" s="15" t="s">
        <v>22456</v>
      </c>
      <c r="Q4192" s="15" t="s">
        <v>22456</v>
      </c>
      <c r="R4192" s="10">
        <v>7</v>
      </c>
    </row>
    <row r="4193" spans="1:18" ht="17" customHeight="1" x14ac:dyDescent="0.15">
      <c r="A4193" s="11" t="s">
        <v>22615</v>
      </c>
      <c r="B4193" s="1" t="s">
        <v>22616</v>
      </c>
      <c r="C4193" s="11" t="s">
        <v>22617</v>
      </c>
      <c r="D4193" s="11" t="s">
        <v>22617</v>
      </c>
      <c r="E4193" s="11" t="s">
        <v>22618</v>
      </c>
      <c r="F4193" s="11" t="s">
        <v>22619</v>
      </c>
      <c r="G4193" s="11" t="s">
        <v>22620</v>
      </c>
      <c r="H4193" s="11" t="s">
        <v>22621</v>
      </c>
      <c r="I4193" s="11" t="str">
        <f>HYPERLINK("http://www.calzificiochiara.it/","www.calzificiochiara.it")</f>
        <v>www.calzificiochiara.it</v>
      </c>
      <c r="J4193" s="12">
        <v>648.78</v>
      </c>
      <c r="K4193" s="12">
        <v>648.78</v>
      </c>
      <c r="L4193" s="13">
        <v>256.23700000000002</v>
      </c>
      <c r="M4193" s="12">
        <v>14.593</v>
      </c>
      <c r="N4193" s="12">
        <v>14.593</v>
      </c>
      <c r="O4193" s="12">
        <v>6.8869999999999996</v>
      </c>
      <c r="P4193" s="12">
        <v>18</v>
      </c>
      <c r="Q4193" s="12">
        <v>18</v>
      </c>
      <c r="R4193" s="12">
        <v>16</v>
      </c>
    </row>
    <row r="4194" spans="1:18" ht="17" customHeight="1" x14ac:dyDescent="0.15">
      <c r="A4194" s="8" t="s">
        <v>22622</v>
      </c>
      <c r="B4194" s="9" t="s">
        <v>22623</v>
      </c>
      <c r="C4194" s="8" t="s">
        <v>22624</v>
      </c>
      <c r="D4194" s="8" t="s">
        <v>22624</v>
      </c>
      <c r="E4194" s="8" t="s">
        <v>22625</v>
      </c>
      <c r="F4194" s="8" t="s">
        <v>22626</v>
      </c>
      <c r="G4194" s="8" t="s">
        <v>22627</v>
      </c>
      <c r="H4194" s="8" t="s">
        <v>22628</v>
      </c>
      <c r="I4194" s="8" t="str">
        <f>HYPERLINK("http://www.slmoda.it/","www.slmoda.it")</f>
        <v>www.slmoda.it</v>
      </c>
      <c r="J4194" s="10">
        <v>255.21799999999999</v>
      </c>
      <c r="K4194" s="10">
        <v>255.21799999999999</v>
      </c>
      <c r="L4194" s="10">
        <v>256.05799999999999</v>
      </c>
      <c r="M4194" s="10">
        <v>4.5970000000000004</v>
      </c>
      <c r="N4194" s="10">
        <v>4.5970000000000004</v>
      </c>
      <c r="O4194" s="10">
        <v>7.8789999999999996</v>
      </c>
      <c r="P4194" s="10">
        <v>3</v>
      </c>
      <c r="Q4194" s="10">
        <v>3</v>
      </c>
      <c r="R4194" s="10">
        <v>3</v>
      </c>
    </row>
    <row r="4195" spans="1:18" ht="17" customHeight="1" x14ac:dyDescent="0.15">
      <c r="A4195" s="11" t="s">
        <v>22629</v>
      </c>
      <c r="B4195" s="1" t="s">
        <v>22630</v>
      </c>
      <c r="C4195" s="11" t="s">
        <v>22631</v>
      </c>
      <c r="D4195" s="11" t="s">
        <v>22631</v>
      </c>
      <c r="E4195" s="11" t="s">
        <v>22632</v>
      </c>
      <c r="F4195" s="11" t="s">
        <v>22633</v>
      </c>
      <c r="G4195" s="11" t="s">
        <v>22634</v>
      </c>
      <c r="H4195" s="11" t="s">
        <v>22635</v>
      </c>
      <c r="I4195" s="11" t="str">
        <f>HYPERLINK("http://leathercrown.com/","leathercrown.com")</f>
        <v>leathercrown.com</v>
      </c>
      <c r="J4195" s="12">
        <v>158.51400000000001</v>
      </c>
      <c r="K4195" s="12">
        <v>158.51400000000001</v>
      </c>
      <c r="L4195" s="13">
        <v>255.45699999999999</v>
      </c>
      <c r="M4195" s="12">
        <v>-102.361</v>
      </c>
      <c r="N4195" s="12">
        <v>-102.361</v>
      </c>
      <c r="O4195" s="12">
        <v>-224.16499999999999</v>
      </c>
      <c r="P4195" s="12">
        <v>0</v>
      </c>
      <c r="Q4195" s="12">
        <v>0</v>
      </c>
      <c r="R4195" s="12">
        <v>0</v>
      </c>
    </row>
    <row r="4196" spans="1:18" ht="17" customHeight="1" x14ac:dyDescent="0.15">
      <c r="A4196" s="8" t="s">
        <v>22636</v>
      </c>
      <c r="B4196" s="9" t="s">
        <v>22637</v>
      </c>
      <c r="C4196" s="8" t="s">
        <v>22638</v>
      </c>
      <c r="D4196" s="8" t="s">
        <v>22638</v>
      </c>
      <c r="E4196" s="8" t="s">
        <v>22639</v>
      </c>
      <c r="F4196" s="8" t="s">
        <v>22640</v>
      </c>
      <c r="G4196" s="8" t="s">
        <v>22641</v>
      </c>
      <c r="H4196" s="8" t="s">
        <v>22635</v>
      </c>
      <c r="I4196" s="8" t="str">
        <f>HYPERLINK("http://www.gruppoitaledil.it/","www.gruppoitaledil.it")</f>
        <v>www.gruppoitaledil.it</v>
      </c>
      <c r="J4196" s="10">
        <v>43.774999999999999</v>
      </c>
      <c r="K4196" s="10">
        <v>43.774999999999999</v>
      </c>
      <c r="L4196" s="10">
        <v>255</v>
      </c>
      <c r="M4196" s="10">
        <v>-4.657</v>
      </c>
      <c r="N4196" s="10">
        <v>-4.657</v>
      </c>
      <c r="O4196" s="10">
        <v>-20.760999999999999</v>
      </c>
      <c r="P4196" s="10">
        <v>0</v>
      </c>
      <c r="Q4196" s="10">
        <v>0</v>
      </c>
      <c r="R4196" s="10">
        <v>0</v>
      </c>
    </row>
    <row r="4197" spans="1:18" ht="17" customHeight="1" x14ac:dyDescent="0.15">
      <c r="A4197" s="11" t="s">
        <v>22642</v>
      </c>
      <c r="B4197" s="1" t="s">
        <v>22643</v>
      </c>
      <c r="C4197" s="11" t="s">
        <v>22644</v>
      </c>
      <c r="D4197" s="11" t="s">
        <v>22644</v>
      </c>
      <c r="E4197" s="11" t="s">
        <v>22645</v>
      </c>
      <c r="F4197" s="11" t="s">
        <v>22646</v>
      </c>
      <c r="G4197" s="11" t="s">
        <v>22647</v>
      </c>
      <c r="H4197" s="11" t="s">
        <v>22635</v>
      </c>
      <c r="I4197" s="11" t="str">
        <f>HYPERLINK("http://www.ledart.it/","www.ledart.it")</f>
        <v>www.ledart.it</v>
      </c>
      <c r="J4197" s="12">
        <v>161.583</v>
      </c>
      <c r="K4197" s="12">
        <v>161.583</v>
      </c>
      <c r="L4197" s="13">
        <v>254.38499999999999</v>
      </c>
      <c r="M4197" s="12">
        <v>25.385999999999999</v>
      </c>
      <c r="N4197" s="12">
        <v>25.385999999999999</v>
      </c>
      <c r="O4197" s="12">
        <v>45.972000000000001</v>
      </c>
      <c r="P4197" s="12">
        <v>3</v>
      </c>
      <c r="Q4197" s="12">
        <v>3</v>
      </c>
      <c r="R4197" s="12">
        <v>3</v>
      </c>
    </row>
    <row r="4198" spans="1:18" ht="17" customHeight="1" x14ac:dyDescent="0.15">
      <c r="A4198" s="8" t="s">
        <v>22648</v>
      </c>
      <c r="B4198" s="9" t="s">
        <v>22649</v>
      </c>
      <c r="C4198" s="8" t="s">
        <v>22650</v>
      </c>
      <c r="D4198" s="8" t="s">
        <v>22650</v>
      </c>
      <c r="E4198" s="8" t="s">
        <v>22651</v>
      </c>
      <c r="F4198" s="8" t="s">
        <v>22640</v>
      </c>
      <c r="G4198" s="8" t="s">
        <v>22652</v>
      </c>
      <c r="H4198" s="8" t="s">
        <v>22621</v>
      </c>
      <c r="I4198" s="8" t="str">
        <f>HYPERLINK("http://www.sartoriamassacri.it/","www.sartoriamassacri.it")</f>
        <v>www.sartoriamassacri.it</v>
      </c>
      <c r="J4198" s="10">
        <v>1327.1679999999999</v>
      </c>
      <c r="K4198" s="10">
        <v>1327.1679999999999</v>
      </c>
      <c r="L4198" s="10">
        <v>254.12200000000001</v>
      </c>
      <c r="M4198" s="10">
        <v>46.36</v>
      </c>
      <c r="N4198" s="10">
        <v>46.36</v>
      </c>
      <c r="O4198" s="10">
        <v>11.91</v>
      </c>
      <c r="P4198" s="15" t="s">
        <v>22653</v>
      </c>
      <c r="Q4198" s="15" t="s">
        <v>22653</v>
      </c>
      <c r="R4198" s="10">
        <v>3</v>
      </c>
    </row>
    <row r="4199" spans="1:18" ht="43" customHeight="1" x14ac:dyDescent="0.15">
      <c r="A4199" s="11" t="s">
        <v>22654</v>
      </c>
      <c r="B4199" s="1" t="s">
        <v>22655</v>
      </c>
      <c r="C4199" s="11" t="s">
        <v>22656</v>
      </c>
      <c r="D4199" s="11" t="s">
        <v>22656</v>
      </c>
      <c r="E4199" s="11" t="s">
        <v>22657</v>
      </c>
      <c r="F4199" s="11" t="s">
        <v>22640</v>
      </c>
      <c r="G4199" s="11" t="s">
        <v>22658</v>
      </c>
      <c r="H4199" s="11" t="s">
        <v>22659</v>
      </c>
      <c r="I4199" s="11" t="str">
        <f>HYPERLINK("http://neishacollection.it/","neishacollection.it")</f>
        <v>neishacollection.it</v>
      </c>
      <c r="J4199" s="12">
        <v>300.25799999999998</v>
      </c>
      <c r="K4199" s="12">
        <v>300.25799999999998</v>
      </c>
      <c r="L4199" s="13">
        <v>253.857</v>
      </c>
      <c r="M4199" s="12">
        <v>9.4559999999999995</v>
      </c>
      <c r="N4199" s="12">
        <v>9.4559999999999995</v>
      </c>
      <c r="O4199" s="12">
        <v>7.8460000000000001</v>
      </c>
      <c r="P4199" s="12">
        <v>0</v>
      </c>
      <c r="Q4199" s="12">
        <v>0</v>
      </c>
      <c r="R4199" s="12">
        <v>0</v>
      </c>
    </row>
    <row r="4200" spans="1:18" ht="17" customHeight="1" x14ac:dyDescent="0.15">
      <c r="A4200" s="8" t="s">
        <v>22660</v>
      </c>
      <c r="B4200" s="9" t="s">
        <v>22661</v>
      </c>
      <c r="C4200" s="8" t="s">
        <v>22662</v>
      </c>
      <c r="D4200" s="8" t="s">
        <v>22662</v>
      </c>
      <c r="E4200" s="8" t="s">
        <v>22663</v>
      </c>
      <c r="F4200" s="8" t="s">
        <v>22664</v>
      </c>
      <c r="G4200" s="8" t="s">
        <v>22665</v>
      </c>
      <c r="H4200" s="8" t="s">
        <v>22666</v>
      </c>
      <c r="I4200" s="8" t="str">
        <f>HYPERLINK("http://www.jpcarpini.com/","www.jpcarpini.com")</f>
        <v>www.jpcarpini.com</v>
      </c>
      <c r="J4200" s="10">
        <v>181.4</v>
      </c>
      <c r="K4200" s="10">
        <v>181.4</v>
      </c>
      <c r="L4200" s="10">
        <v>253.46899999999999</v>
      </c>
      <c r="M4200" s="10">
        <v>-45.156999999999996</v>
      </c>
      <c r="N4200" s="10">
        <v>-45.156999999999996</v>
      </c>
      <c r="O4200" s="10">
        <v>1.2410000000000001</v>
      </c>
      <c r="P4200" s="10">
        <v>5</v>
      </c>
      <c r="Q4200" s="10">
        <v>5</v>
      </c>
      <c r="R4200" s="10">
        <v>5</v>
      </c>
    </row>
    <row r="4201" spans="1:18" ht="17" customHeight="1" x14ac:dyDescent="0.15">
      <c r="A4201" s="11" t="s">
        <v>22667</v>
      </c>
      <c r="B4201" s="1" t="s">
        <v>22668</v>
      </c>
      <c r="C4201" s="11" t="s">
        <v>22669</v>
      </c>
      <c r="D4201" s="11" t="s">
        <v>22669</v>
      </c>
      <c r="E4201" s="11" t="s">
        <v>22670</v>
      </c>
      <c r="F4201" s="11" t="s">
        <v>22619</v>
      </c>
      <c r="G4201" s="11" t="s">
        <v>22620</v>
      </c>
      <c r="H4201" s="11" t="s">
        <v>22621</v>
      </c>
      <c r="I4201" s="11" t="str">
        <f>HYPERLINK("http://www.calzificiolord.com/","www.calzificiolord.com")</f>
        <v>www.calzificiolord.com</v>
      </c>
      <c r="J4201" s="12">
        <v>136.93199999999999</v>
      </c>
      <c r="K4201" s="12">
        <v>136.93199999999999</v>
      </c>
      <c r="L4201" s="13">
        <v>253.40799999999999</v>
      </c>
      <c r="M4201" s="12">
        <v>19.189</v>
      </c>
      <c r="N4201" s="12">
        <v>19.189</v>
      </c>
      <c r="O4201" s="12">
        <v>-198.60900000000001</v>
      </c>
      <c r="P4201" s="12">
        <v>1</v>
      </c>
      <c r="Q4201" s="12">
        <v>1</v>
      </c>
      <c r="R4201" s="12">
        <v>1</v>
      </c>
    </row>
    <row r="4202" spans="1:18" ht="29.5" customHeight="1" x14ac:dyDescent="0.15">
      <c r="A4202" s="8" t="s">
        <v>22671</v>
      </c>
      <c r="B4202" s="9" t="s">
        <v>22672</v>
      </c>
      <c r="C4202" s="8" t="s">
        <v>22673</v>
      </c>
      <c r="D4202" s="8" t="s">
        <v>22673</v>
      </c>
      <c r="E4202" s="8" t="s">
        <v>22674</v>
      </c>
      <c r="F4202" s="8" t="s">
        <v>22640</v>
      </c>
      <c r="G4202" s="8" t="s">
        <v>22675</v>
      </c>
      <c r="H4202" s="8" t="s">
        <v>22659</v>
      </c>
      <c r="I4202" s="8" t="str">
        <f>HYPERLINK("http://www.starevolution.it/","http://www.starevolution.it")</f>
        <v>http://www.starevolution.it</v>
      </c>
      <c r="J4202" s="10">
        <v>1005.155</v>
      </c>
      <c r="K4202" s="10">
        <v>862.43</v>
      </c>
      <c r="L4202" s="10">
        <v>253.05699999999999</v>
      </c>
      <c r="M4202" s="10">
        <v>175.36699999999999</v>
      </c>
      <c r="N4202" s="10">
        <v>26.802</v>
      </c>
      <c r="O4202" s="10">
        <v>12.159000000000001</v>
      </c>
      <c r="P4202" s="15" t="s">
        <v>22653</v>
      </c>
      <c r="Q4202" s="15" t="s">
        <v>22653</v>
      </c>
      <c r="R4202" s="10">
        <v>2</v>
      </c>
    </row>
    <row r="4203" spans="1:18" ht="17" customHeight="1" x14ac:dyDescent="0.15">
      <c r="A4203" s="11" t="s">
        <v>22676</v>
      </c>
      <c r="B4203" s="1" t="s">
        <v>22677</v>
      </c>
      <c r="C4203" s="11" t="s">
        <v>22678</v>
      </c>
      <c r="D4203" s="11" t="s">
        <v>22678</v>
      </c>
      <c r="E4203" s="11" t="s">
        <v>22679</v>
      </c>
      <c r="F4203" s="11" t="s">
        <v>22680</v>
      </c>
      <c r="G4203" s="11" t="s">
        <v>22681</v>
      </c>
      <c r="H4203" s="11" t="s">
        <v>22682</v>
      </c>
      <c r="I4203" s="11" t="str">
        <f>HYPERLINK("http://www.pasomar.com/","www.pasomar.com")</f>
        <v>www.pasomar.com</v>
      </c>
      <c r="J4203" s="12">
        <v>345.14499999999998</v>
      </c>
      <c r="K4203" s="12">
        <v>345.14499999999998</v>
      </c>
      <c r="L4203" s="13">
        <v>252.65700000000001</v>
      </c>
      <c r="M4203" s="12">
        <v>3.5139999999999998</v>
      </c>
      <c r="N4203" s="12">
        <v>3.5139999999999998</v>
      </c>
      <c r="O4203" s="12">
        <v>2.8570000000000002</v>
      </c>
      <c r="P4203" s="12">
        <v>3</v>
      </c>
      <c r="Q4203" s="12">
        <v>3</v>
      </c>
      <c r="R4203" s="12">
        <v>3</v>
      </c>
    </row>
    <row r="4204" spans="1:18" ht="17" customHeight="1" x14ac:dyDescent="0.15">
      <c r="A4204" s="8" t="s">
        <v>22683</v>
      </c>
      <c r="B4204" s="9" t="s">
        <v>22684</v>
      </c>
      <c r="C4204" s="8" t="s">
        <v>22685</v>
      </c>
      <c r="D4204" s="8" t="s">
        <v>22685</v>
      </c>
      <c r="E4204" s="8" t="s">
        <v>22686</v>
      </c>
      <c r="F4204" s="8" t="s">
        <v>22640</v>
      </c>
      <c r="G4204" s="8" t="s">
        <v>22687</v>
      </c>
      <c r="H4204" s="8" t="s">
        <v>22635</v>
      </c>
      <c r="I4204" s="8" t="str">
        <f>HYPERLINK("http://www.jubo.it/","www.jubo.it")</f>
        <v>www.jubo.it</v>
      </c>
      <c r="J4204" s="10">
        <v>242.506</v>
      </c>
      <c r="K4204" s="10">
        <v>242.506</v>
      </c>
      <c r="L4204" s="10">
        <v>252.30500000000001</v>
      </c>
      <c r="M4204" s="10">
        <v>-12.195</v>
      </c>
      <c r="N4204" s="10">
        <v>-12.195</v>
      </c>
      <c r="O4204" s="10">
        <v>5.2130000000000001</v>
      </c>
      <c r="P4204" s="10">
        <v>0</v>
      </c>
      <c r="Q4204" s="10">
        <v>0</v>
      </c>
      <c r="R4204" s="10">
        <v>0</v>
      </c>
    </row>
    <row r="4205" spans="1:18" ht="17" customHeight="1" x14ac:dyDescent="0.15">
      <c r="A4205" s="11" t="s">
        <v>22688</v>
      </c>
      <c r="B4205" s="1" t="s">
        <v>22689</v>
      </c>
      <c r="C4205" s="11" t="s">
        <v>22690</v>
      </c>
      <c r="D4205" s="11" t="s">
        <v>22690</v>
      </c>
      <c r="E4205" s="11" t="s">
        <v>22691</v>
      </c>
      <c r="F4205" s="11" t="s">
        <v>22626</v>
      </c>
      <c r="G4205" s="11" t="s">
        <v>22692</v>
      </c>
      <c r="H4205" s="11" t="s">
        <v>22693</v>
      </c>
      <c r="I4205" s="11" t="str">
        <f>HYPERLINK("http://www.antartide.it/","www.antartide.it")</f>
        <v>www.antartide.it</v>
      </c>
      <c r="J4205" s="12">
        <v>193.97300000000001</v>
      </c>
      <c r="K4205" s="12">
        <v>319.80099999999999</v>
      </c>
      <c r="L4205" s="13">
        <v>252.29400000000001</v>
      </c>
      <c r="M4205" s="12">
        <v>-85.843000000000004</v>
      </c>
      <c r="N4205" s="12">
        <v>7.3949999999999996</v>
      </c>
      <c r="O4205" s="12">
        <v>6.21</v>
      </c>
      <c r="P4205" s="12">
        <v>0</v>
      </c>
      <c r="Q4205" s="12">
        <v>0</v>
      </c>
      <c r="R4205" s="12">
        <v>0</v>
      </c>
    </row>
    <row r="4206" spans="1:18" ht="17" customHeight="1" x14ac:dyDescent="0.15">
      <c r="A4206" s="8" t="s">
        <v>22694</v>
      </c>
      <c r="B4206" s="9" t="s">
        <v>22695</v>
      </c>
      <c r="C4206" s="8" t="s">
        <v>22696</v>
      </c>
      <c r="D4206" s="8" t="s">
        <v>22696</v>
      </c>
      <c r="E4206" s="8" t="s">
        <v>22697</v>
      </c>
      <c r="F4206" s="8" t="s">
        <v>22698</v>
      </c>
      <c r="G4206" s="8" t="s">
        <v>22699</v>
      </c>
      <c r="H4206" s="8" t="s">
        <v>22693</v>
      </c>
      <c r="I4206" s="8" t="str">
        <f>HYPERLINK("http://www.capp-brescia.it/","www.capp-brescia.it")</f>
        <v>www.capp-brescia.it</v>
      </c>
      <c r="J4206" s="10">
        <v>230.95400000000001</v>
      </c>
      <c r="K4206" s="10">
        <v>230.95400000000001</v>
      </c>
      <c r="L4206" s="10">
        <v>251.982</v>
      </c>
      <c r="M4206" s="10">
        <v>11.395</v>
      </c>
      <c r="N4206" s="10">
        <v>11.395</v>
      </c>
      <c r="O4206" s="10">
        <v>24.023</v>
      </c>
      <c r="P4206" s="10">
        <v>3</v>
      </c>
      <c r="Q4206" s="10">
        <v>3</v>
      </c>
      <c r="R4206" s="10">
        <v>3</v>
      </c>
    </row>
    <row r="4207" spans="1:18" ht="29.5" customHeight="1" x14ac:dyDescent="0.15">
      <c r="A4207" s="11" t="s">
        <v>22700</v>
      </c>
      <c r="B4207" s="1" t="s">
        <v>22701</v>
      </c>
      <c r="C4207" s="11" t="s">
        <v>22702</v>
      </c>
      <c r="D4207" s="11" t="s">
        <v>22702</v>
      </c>
      <c r="E4207" s="11" t="s">
        <v>22703</v>
      </c>
      <c r="F4207" s="11" t="s">
        <v>22626</v>
      </c>
      <c r="G4207" s="11" t="s">
        <v>22704</v>
      </c>
      <c r="H4207" s="11" t="s">
        <v>22705</v>
      </c>
      <c r="I4207" s="11" t="str">
        <f>HYPERLINK("http://www.undecimsrl.com/","www.undecimsrl.com")</f>
        <v>www.undecimsrl.com</v>
      </c>
      <c r="J4207" s="12">
        <v>195.33600000000001</v>
      </c>
      <c r="K4207" s="12">
        <v>195.33600000000001</v>
      </c>
      <c r="L4207" s="13">
        <v>251.62700000000001</v>
      </c>
      <c r="M4207" s="12">
        <v>2.419</v>
      </c>
      <c r="N4207" s="12">
        <v>2.419</v>
      </c>
      <c r="O4207" s="12">
        <v>2.1520000000000001</v>
      </c>
      <c r="P4207" s="12">
        <v>2</v>
      </c>
      <c r="Q4207" s="12">
        <v>2</v>
      </c>
      <c r="R4207" s="12">
        <v>1</v>
      </c>
    </row>
    <row r="4208" spans="1:18" ht="17" customHeight="1" x14ac:dyDescent="0.15">
      <c r="A4208" s="8" t="s">
        <v>22706</v>
      </c>
      <c r="B4208" s="9" t="s">
        <v>22707</v>
      </c>
      <c r="C4208" s="8" t="s">
        <v>22708</v>
      </c>
      <c r="D4208" s="8" t="s">
        <v>22708</v>
      </c>
      <c r="E4208" s="8" t="s">
        <v>22709</v>
      </c>
      <c r="F4208" s="8" t="s">
        <v>22710</v>
      </c>
      <c r="G4208" s="8" t="s">
        <v>22711</v>
      </c>
      <c r="H4208" s="8" t="s">
        <v>22712</v>
      </c>
      <c r="I4208" s="8" t="str">
        <f>HYPERLINK("http://www.ristorantecolors.it/","www.ristorantecolors.it")</f>
        <v>www.ristorantecolors.it</v>
      </c>
      <c r="J4208" s="10">
        <v>355.43</v>
      </c>
      <c r="K4208" s="10">
        <v>355.43</v>
      </c>
      <c r="L4208" s="10">
        <v>250.90899999999999</v>
      </c>
      <c r="M4208" s="10">
        <v>334.24799999999999</v>
      </c>
      <c r="N4208" s="10">
        <v>334.24799999999999</v>
      </c>
      <c r="O4208" s="10">
        <v>-38.246000000000002</v>
      </c>
      <c r="P4208" s="10">
        <v>6</v>
      </c>
      <c r="Q4208" s="10">
        <v>6</v>
      </c>
      <c r="R4208" s="10">
        <v>6</v>
      </c>
    </row>
    <row r="4209" spans="1:18" ht="43" customHeight="1" x14ac:dyDescent="0.15">
      <c r="A4209" s="11" t="s">
        <v>22713</v>
      </c>
      <c r="B4209" s="1" t="s">
        <v>22714</v>
      </c>
      <c r="C4209" s="11" t="s">
        <v>22715</v>
      </c>
      <c r="D4209" s="11" t="s">
        <v>22715</v>
      </c>
      <c r="E4209" s="11" t="s">
        <v>22716</v>
      </c>
      <c r="F4209" s="11" t="s">
        <v>22633</v>
      </c>
      <c r="G4209" s="11" t="s">
        <v>22620</v>
      </c>
      <c r="H4209" s="11" t="s">
        <v>22621</v>
      </c>
      <c r="I4209" s="11" t="str">
        <f>HYPERLINK("http://www.acgcalzature.com/","www.acgcalzature.com")</f>
        <v>www.acgcalzature.com</v>
      </c>
      <c r="J4209" s="12">
        <v>305.37799999999999</v>
      </c>
      <c r="K4209" s="12">
        <v>305.37799999999999</v>
      </c>
      <c r="L4209" s="13">
        <v>249.36799999999999</v>
      </c>
      <c r="M4209" s="12">
        <v>12.164999999999999</v>
      </c>
      <c r="N4209" s="12">
        <v>12.164999999999999</v>
      </c>
      <c r="O4209" s="12">
        <v>9.5090000000000003</v>
      </c>
      <c r="P4209" s="12">
        <v>7</v>
      </c>
      <c r="Q4209" s="12">
        <v>7</v>
      </c>
      <c r="R4209" s="12">
        <v>5</v>
      </c>
    </row>
    <row r="4210" spans="1:18" ht="17" customHeight="1" x14ac:dyDescent="0.15">
      <c r="A4210" s="8" t="s">
        <v>22717</v>
      </c>
      <c r="B4210" s="9" t="s">
        <v>22718</v>
      </c>
      <c r="C4210" s="8" t="s">
        <v>22719</v>
      </c>
      <c r="D4210" s="8" t="s">
        <v>22719</v>
      </c>
      <c r="E4210" s="8" t="s">
        <v>22720</v>
      </c>
      <c r="F4210" s="8" t="s">
        <v>22721</v>
      </c>
      <c r="G4210" s="8" t="s">
        <v>22658</v>
      </c>
      <c r="H4210" s="8" t="s">
        <v>22659</v>
      </c>
      <c r="I4210" s="8" t="str">
        <f>HYPERLINK("http://loftstudiostore.it/","loftstudiostore.it")</f>
        <v>loftstudiostore.it</v>
      </c>
      <c r="J4210" s="10">
        <v>280.76600000000002</v>
      </c>
      <c r="K4210" s="10">
        <v>280.76600000000002</v>
      </c>
      <c r="L4210" s="10">
        <v>249.33500000000001</v>
      </c>
      <c r="M4210" s="10">
        <v>10.413</v>
      </c>
      <c r="N4210" s="10">
        <v>10.413</v>
      </c>
      <c r="O4210" s="10">
        <v>10.558999999999999</v>
      </c>
      <c r="P4210" s="10">
        <v>1</v>
      </c>
      <c r="Q4210" s="10">
        <v>1</v>
      </c>
      <c r="R4210" s="10">
        <v>1</v>
      </c>
    </row>
    <row r="4211" spans="1:18" ht="43" customHeight="1" x14ac:dyDescent="0.15">
      <c r="A4211" s="11" t="s">
        <v>22722</v>
      </c>
      <c r="B4211" s="1" t="s">
        <v>22723</v>
      </c>
      <c r="C4211" s="11" t="s">
        <v>22724</v>
      </c>
      <c r="D4211" s="11" t="s">
        <v>22724</v>
      </c>
      <c r="E4211" s="11" t="s">
        <v>22725</v>
      </c>
      <c r="F4211" s="11" t="s">
        <v>22633</v>
      </c>
      <c r="G4211" s="11" t="s">
        <v>22726</v>
      </c>
      <c r="H4211" s="11" t="s">
        <v>22659</v>
      </c>
      <c r="I4211" s="11" t="str">
        <f>HYPERLINK("http://drudditalia.com/","drudditalia.com")</f>
        <v>drudditalia.com</v>
      </c>
      <c r="J4211" s="12">
        <v>294.09899999999999</v>
      </c>
      <c r="K4211" s="12">
        <v>294.09899999999999</v>
      </c>
      <c r="L4211" s="13">
        <v>249.184</v>
      </c>
      <c r="M4211" s="12">
        <v>-1.206</v>
      </c>
      <c r="N4211" s="12">
        <v>-1.206</v>
      </c>
      <c r="O4211" s="12">
        <v>-8.984</v>
      </c>
      <c r="P4211" s="14" t="s">
        <v>22653</v>
      </c>
      <c r="Q4211" s="14" t="s">
        <v>22653</v>
      </c>
      <c r="R4211" s="12">
        <v>2</v>
      </c>
    </row>
    <row r="4212" spans="1:18" ht="29.5" customHeight="1" x14ac:dyDescent="0.15">
      <c r="A4212" s="8" t="s">
        <v>22727</v>
      </c>
      <c r="B4212" s="9" t="s">
        <v>22728</v>
      </c>
      <c r="C4212" s="8" t="s">
        <v>22729</v>
      </c>
      <c r="D4212" s="8" t="s">
        <v>22729</v>
      </c>
      <c r="E4212" s="8" t="s">
        <v>22730</v>
      </c>
      <c r="F4212" s="8" t="s">
        <v>22633</v>
      </c>
      <c r="G4212" s="8" t="s">
        <v>22731</v>
      </c>
      <c r="H4212" s="8" t="s">
        <v>22732</v>
      </c>
      <c r="I4212" s="8" t="str">
        <f>HYPERLINK("http://2008calzaturificio.wordpress.com/","2008calzaturificio.wordpress.com")</f>
        <v>2008calzaturificio.wordpress.com</v>
      </c>
      <c r="J4212" s="10">
        <v>258.899</v>
      </c>
      <c r="K4212" s="10">
        <v>258.899</v>
      </c>
      <c r="L4212" s="10">
        <v>249.018</v>
      </c>
      <c r="M4212" s="10">
        <v>1.4930000000000001</v>
      </c>
      <c r="N4212" s="10">
        <v>1.4930000000000001</v>
      </c>
      <c r="O4212" s="10">
        <v>1.1279999999999999</v>
      </c>
      <c r="P4212" s="10">
        <v>4</v>
      </c>
      <c r="Q4212" s="10">
        <v>4</v>
      </c>
      <c r="R4212" s="10">
        <v>4</v>
      </c>
    </row>
    <row r="4213" spans="1:18" ht="17" customHeight="1" x14ac:dyDescent="0.15">
      <c r="A4213" s="11" t="s">
        <v>22733</v>
      </c>
      <c r="B4213" s="1" t="s">
        <v>22734</v>
      </c>
      <c r="C4213" s="11" t="s">
        <v>22735</v>
      </c>
      <c r="D4213" s="11" t="s">
        <v>22735</v>
      </c>
      <c r="E4213" s="11" t="s">
        <v>22736</v>
      </c>
      <c r="F4213" s="11" t="s">
        <v>22737</v>
      </c>
      <c r="G4213" s="11" t="s">
        <v>22738</v>
      </c>
      <c r="H4213" s="11" t="s">
        <v>22739</v>
      </c>
      <c r="I4213" s="11" t="str">
        <f>HYPERLINK("http://shop.montiabbigliamento.com/","shop.montiabbigliamento.com")</f>
        <v>shop.montiabbigliamento.com</v>
      </c>
      <c r="J4213" s="12">
        <v>201.946</v>
      </c>
      <c r="K4213" s="12">
        <v>201.946</v>
      </c>
      <c r="L4213" s="13">
        <v>248.98</v>
      </c>
      <c r="M4213" s="12">
        <v>0.48499999999999999</v>
      </c>
      <c r="N4213" s="12">
        <v>0.48499999999999999</v>
      </c>
      <c r="O4213" s="12">
        <v>3.76</v>
      </c>
      <c r="P4213" s="12">
        <v>1</v>
      </c>
      <c r="Q4213" s="12">
        <v>1</v>
      </c>
      <c r="R4213" s="12">
        <v>2</v>
      </c>
    </row>
    <row r="4214" spans="1:18" ht="17" customHeight="1" x14ac:dyDescent="0.15">
      <c r="A4214" s="8" t="s">
        <v>22740</v>
      </c>
      <c r="B4214" s="9" t="s">
        <v>22741</v>
      </c>
      <c r="C4214" s="8" t="s">
        <v>22742</v>
      </c>
      <c r="D4214" s="8" t="s">
        <v>22742</v>
      </c>
      <c r="E4214" s="8" t="s">
        <v>22743</v>
      </c>
      <c r="F4214" s="8" t="s">
        <v>22680</v>
      </c>
      <c r="G4214" s="8" t="s">
        <v>22744</v>
      </c>
      <c r="H4214" s="8" t="s">
        <v>22705</v>
      </c>
      <c r="I4214" s="8" t="str">
        <f>HYPERLINK("http://tulsi-italy.com/","tulsi-italy.com")</f>
        <v>tulsi-italy.com</v>
      </c>
      <c r="J4214" s="10">
        <v>193.76400000000001</v>
      </c>
      <c r="K4214" s="10">
        <v>193.76400000000001</v>
      </c>
      <c r="L4214" s="10">
        <v>248.667</v>
      </c>
      <c r="M4214" s="10">
        <v>1.069</v>
      </c>
      <c r="N4214" s="10">
        <v>1.069</v>
      </c>
      <c r="O4214" s="10">
        <v>0.124</v>
      </c>
      <c r="P4214" s="10">
        <v>2</v>
      </c>
      <c r="Q4214" s="10">
        <v>2</v>
      </c>
      <c r="R4214" s="10">
        <v>2</v>
      </c>
    </row>
    <row r="4215" spans="1:18" ht="17" customHeight="1" x14ac:dyDescent="0.15">
      <c r="A4215" s="11" t="s">
        <v>22745</v>
      </c>
      <c r="B4215" s="1" t="s">
        <v>22746</v>
      </c>
      <c r="C4215" s="11" t="s">
        <v>22747</v>
      </c>
      <c r="D4215" s="11" t="s">
        <v>22747</v>
      </c>
      <c r="E4215" s="11" t="s">
        <v>22748</v>
      </c>
      <c r="F4215" s="11" t="s">
        <v>22749</v>
      </c>
      <c r="G4215" s="11" t="s">
        <v>22658</v>
      </c>
      <c r="H4215" s="11" t="s">
        <v>22659</v>
      </c>
      <c r="I4215" s="11" t="str">
        <f>HYPERLINK("http://sartoriadelre.it/","sartoriadelre.it")</f>
        <v>sartoriadelre.it</v>
      </c>
      <c r="J4215" s="12">
        <v>421.77100000000002</v>
      </c>
      <c r="K4215" s="12">
        <v>421.77100000000002</v>
      </c>
      <c r="L4215" s="13">
        <v>247.65700000000001</v>
      </c>
      <c r="M4215" s="12">
        <v>-1.1040000000000001</v>
      </c>
      <c r="N4215" s="12">
        <v>-1.1040000000000001</v>
      </c>
      <c r="O4215" s="12">
        <v>9.7539999999999996</v>
      </c>
      <c r="P4215" s="12">
        <v>0</v>
      </c>
      <c r="Q4215" s="12">
        <v>0</v>
      </c>
      <c r="R4215" s="12">
        <v>0</v>
      </c>
    </row>
    <row r="4216" spans="1:18" ht="17" customHeight="1" x14ac:dyDescent="0.15">
      <c r="A4216" s="8" t="s">
        <v>22750</v>
      </c>
      <c r="B4216" s="9" t="s">
        <v>22751</v>
      </c>
      <c r="C4216" s="8" t="s">
        <v>22752</v>
      </c>
      <c r="D4216" s="8" t="s">
        <v>22752</v>
      </c>
      <c r="E4216" s="8" t="s">
        <v>22753</v>
      </c>
      <c r="F4216" s="8" t="s">
        <v>22710</v>
      </c>
      <c r="G4216" s="8" t="s">
        <v>22754</v>
      </c>
      <c r="H4216" s="8" t="s">
        <v>22666</v>
      </c>
      <c r="I4216" s="8" t="str">
        <f>HYPERLINK("http://www.spark-italy.it/","www.spark-italy.it")</f>
        <v>www.spark-italy.it</v>
      </c>
      <c r="J4216" s="10">
        <v>175.47499999999999</v>
      </c>
      <c r="K4216" s="10">
        <v>175.47499999999999</v>
      </c>
      <c r="L4216" s="10">
        <v>247.333</v>
      </c>
      <c r="M4216" s="10">
        <v>-12.573</v>
      </c>
      <c r="N4216" s="10">
        <v>-12.573</v>
      </c>
      <c r="O4216" s="10">
        <v>1.2889999999999999</v>
      </c>
      <c r="P4216" s="10">
        <v>0</v>
      </c>
      <c r="Q4216" s="10">
        <v>0</v>
      </c>
      <c r="R4216" s="15" t="s">
        <v>22653</v>
      </c>
    </row>
    <row r="4217" spans="1:18" ht="17" customHeight="1" x14ac:dyDescent="0.15">
      <c r="A4217" s="11" t="s">
        <v>22755</v>
      </c>
      <c r="B4217" s="1" t="s">
        <v>22756</v>
      </c>
      <c r="C4217" s="11" t="s">
        <v>22757</v>
      </c>
      <c r="D4217" s="11" t="s">
        <v>22757</v>
      </c>
      <c r="E4217" s="11" t="s">
        <v>22758</v>
      </c>
      <c r="F4217" s="11" t="s">
        <v>22626</v>
      </c>
      <c r="G4217" s="11" t="s">
        <v>22759</v>
      </c>
      <c r="H4217" s="11" t="s">
        <v>22705</v>
      </c>
      <c r="I4217" s="11" t="str">
        <f>HYPERLINK("http://starlightsrl.net/","starlightsrl.net")</f>
        <v>starlightsrl.net</v>
      </c>
      <c r="J4217" s="12">
        <v>490.09199999999998</v>
      </c>
      <c r="K4217" s="12">
        <v>490.09199999999998</v>
      </c>
      <c r="L4217" s="13">
        <v>247.20500000000001</v>
      </c>
      <c r="M4217" s="12">
        <v>15.523999999999999</v>
      </c>
      <c r="N4217" s="12">
        <v>15.523999999999999</v>
      </c>
      <c r="O4217" s="12">
        <v>2.609</v>
      </c>
      <c r="P4217" s="12">
        <v>13</v>
      </c>
      <c r="Q4217" s="12">
        <v>13</v>
      </c>
      <c r="R4217" s="12">
        <v>4</v>
      </c>
    </row>
    <row r="4218" spans="1:18" ht="17" customHeight="1" x14ac:dyDescent="0.15">
      <c r="A4218" s="8" t="s">
        <v>22760</v>
      </c>
      <c r="B4218" s="9" t="s">
        <v>22761</v>
      </c>
      <c r="C4218" s="8" t="s">
        <v>22762</v>
      </c>
      <c r="D4218" s="8" t="s">
        <v>22762</v>
      </c>
      <c r="E4218" s="8" t="s">
        <v>22763</v>
      </c>
      <c r="F4218" s="8" t="s">
        <v>22764</v>
      </c>
      <c r="G4218" s="8" t="s">
        <v>22658</v>
      </c>
      <c r="H4218" s="8" t="s">
        <v>22659</v>
      </c>
      <c r="I4218" s="8" t="str">
        <f>HYPERLINK("http://www.iverde.it/","www.iverde.it")</f>
        <v>www.iverde.it</v>
      </c>
      <c r="J4218" s="10">
        <v>267.55900000000003</v>
      </c>
      <c r="K4218" s="10">
        <v>267.55900000000003</v>
      </c>
      <c r="L4218" s="10">
        <v>246.149</v>
      </c>
      <c r="M4218" s="10">
        <v>40.186</v>
      </c>
      <c r="N4218" s="10">
        <v>40.186</v>
      </c>
      <c r="O4218" s="10">
        <v>-5.492</v>
      </c>
      <c r="P4218" s="10">
        <v>4</v>
      </c>
      <c r="Q4218" s="10">
        <v>4</v>
      </c>
      <c r="R4218" s="10">
        <v>4</v>
      </c>
    </row>
    <row r="4219" spans="1:18" ht="17" customHeight="1" x14ac:dyDescent="0.15">
      <c r="A4219" s="11" t="s">
        <v>22765</v>
      </c>
      <c r="B4219" s="1" t="s">
        <v>22766</v>
      </c>
      <c r="C4219" s="11" t="s">
        <v>22767</v>
      </c>
      <c r="D4219" s="11" t="s">
        <v>22767</v>
      </c>
      <c r="E4219" s="11" t="s">
        <v>22768</v>
      </c>
      <c r="F4219" s="11" t="s">
        <v>22626</v>
      </c>
      <c r="G4219" s="11" t="s">
        <v>22769</v>
      </c>
      <c r="H4219" s="11" t="s">
        <v>22732</v>
      </c>
      <c r="I4219" s="11" t="str">
        <f>HYPERLINK("http://www.eurekaaccessori.it/","www.eurekaaccessori.it")</f>
        <v>www.eurekaaccessori.it</v>
      </c>
      <c r="J4219" s="12">
        <v>159.065</v>
      </c>
      <c r="K4219" s="12">
        <v>159.065</v>
      </c>
      <c r="L4219" s="13">
        <v>246.14</v>
      </c>
      <c r="M4219" s="12">
        <v>-82.635000000000005</v>
      </c>
      <c r="N4219" s="12">
        <v>-82.635000000000005</v>
      </c>
      <c r="O4219" s="12">
        <v>2.87</v>
      </c>
      <c r="P4219" s="12">
        <v>2</v>
      </c>
      <c r="Q4219" s="12">
        <v>2</v>
      </c>
      <c r="R4219" s="12">
        <v>3</v>
      </c>
    </row>
    <row r="4220" spans="1:18" ht="17" customHeight="1" x14ac:dyDescent="0.15">
      <c r="A4220" s="8" t="s">
        <v>22770</v>
      </c>
      <c r="B4220" s="9" t="s">
        <v>22771</v>
      </c>
      <c r="C4220" s="8" t="s">
        <v>22772</v>
      </c>
      <c r="D4220" s="8" t="s">
        <v>22772</v>
      </c>
      <c r="E4220" s="8" t="s">
        <v>22773</v>
      </c>
      <c r="F4220" s="8" t="s">
        <v>22640</v>
      </c>
      <c r="G4220" s="8" t="s">
        <v>22652</v>
      </c>
      <c r="H4220" s="8" t="s">
        <v>22621</v>
      </c>
      <c r="I4220" s="8" t="str">
        <f>HYPERLINK("http://ladoralisa.it/","ladoralisa.it")</f>
        <v>ladoralisa.it</v>
      </c>
      <c r="J4220" s="10">
        <v>170.09800000000001</v>
      </c>
      <c r="K4220" s="10">
        <v>170.09800000000001</v>
      </c>
      <c r="L4220" s="10">
        <v>245.952</v>
      </c>
      <c r="M4220" s="10">
        <v>-57.627000000000002</v>
      </c>
      <c r="N4220" s="10">
        <v>-57.627000000000002</v>
      </c>
      <c r="O4220" s="10">
        <v>0.45400000000000001</v>
      </c>
      <c r="P4220" s="10">
        <v>2</v>
      </c>
      <c r="Q4220" s="10">
        <v>2</v>
      </c>
      <c r="R4220" s="10">
        <v>2</v>
      </c>
    </row>
    <row r="4221" spans="1:18" ht="29.5" customHeight="1" x14ac:dyDescent="0.15">
      <c r="A4221" s="11" t="s">
        <v>22774</v>
      </c>
      <c r="B4221" s="1" t="s">
        <v>22775</v>
      </c>
      <c r="C4221" s="11" t="s">
        <v>22776</v>
      </c>
      <c r="D4221" s="11" t="s">
        <v>22776</v>
      </c>
      <c r="E4221" s="11" t="s">
        <v>22777</v>
      </c>
      <c r="F4221" s="11" t="s">
        <v>22640</v>
      </c>
      <c r="G4221" s="11" t="s">
        <v>22778</v>
      </c>
      <c r="H4221" s="11" t="s">
        <v>22628</v>
      </c>
      <c r="I4221" s="11" t="str">
        <f>HYPERLINK("http://www.lineauniform.it/","www.lineauniform.it")</f>
        <v>www.lineauniform.it</v>
      </c>
      <c r="J4221" s="12">
        <v>212.31299999999999</v>
      </c>
      <c r="K4221" s="12">
        <v>212.31299999999999</v>
      </c>
      <c r="L4221" s="13">
        <v>245.74700000000001</v>
      </c>
      <c r="M4221" s="12">
        <v>2.298</v>
      </c>
      <c r="N4221" s="12">
        <v>2.298</v>
      </c>
      <c r="O4221" s="12">
        <v>7.3140000000000001</v>
      </c>
      <c r="P4221" s="12">
        <v>1</v>
      </c>
      <c r="Q4221" s="12">
        <v>1</v>
      </c>
      <c r="R4221" s="12">
        <v>1</v>
      </c>
    </row>
    <row r="4222" spans="1:18" ht="43" customHeight="1" x14ac:dyDescent="0.15">
      <c r="A4222" s="8" t="s">
        <v>22779</v>
      </c>
      <c r="B4222" s="9" t="s">
        <v>22780</v>
      </c>
      <c r="C4222" s="8" t="s">
        <v>22781</v>
      </c>
      <c r="D4222" s="8" t="s">
        <v>22781</v>
      </c>
      <c r="E4222" s="8" t="s">
        <v>22782</v>
      </c>
      <c r="F4222" s="8" t="s">
        <v>22783</v>
      </c>
      <c r="G4222" s="8" t="s">
        <v>22784</v>
      </c>
      <c r="H4222" s="8" t="s">
        <v>22659</v>
      </c>
      <c r="I4222" s="8" t="str">
        <f>HYPERLINK("http://www.enjoyitalia.it/","www.enjoyitalia.it")</f>
        <v>www.enjoyitalia.it</v>
      </c>
      <c r="J4222" s="10">
        <v>193.03299999999999</v>
      </c>
      <c r="K4222" s="10">
        <v>193.03299999999999</v>
      </c>
      <c r="L4222" s="10">
        <v>244.816</v>
      </c>
      <c r="M4222" s="10">
        <v>16.175999999999998</v>
      </c>
      <c r="N4222" s="10">
        <v>16.175999999999998</v>
      </c>
      <c r="O4222" s="10">
        <v>9.01</v>
      </c>
      <c r="P4222" s="10">
        <v>1</v>
      </c>
      <c r="Q4222" s="10">
        <v>1</v>
      </c>
      <c r="R4222" s="10">
        <v>1</v>
      </c>
    </row>
    <row r="4223" spans="1:18" ht="43" customHeight="1" x14ac:dyDescent="0.15">
      <c r="A4223" s="11" t="s">
        <v>22785</v>
      </c>
      <c r="B4223" s="1" t="s">
        <v>22786</v>
      </c>
      <c r="C4223" s="11" t="s">
        <v>22787</v>
      </c>
      <c r="D4223" s="11" t="s">
        <v>22787</v>
      </c>
      <c r="E4223" s="11" t="s">
        <v>22788</v>
      </c>
      <c r="F4223" s="11" t="s">
        <v>22640</v>
      </c>
      <c r="G4223" s="11" t="s">
        <v>22789</v>
      </c>
      <c r="H4223" s="11" t="s">
        <v>22790</v>
      </c>
      <c r="I4223" s="11" t="str">
        <f>HYPERLINK("http://www.musher.it/","www.musher.it")</f>
        <v>www.musher.it</v>
      </c>
      <c r="J4223" s="12">
        <v>44.985999999999997</v>
      </c>
      <c r="K4223" s="12">
        <v>44.985999999999997</v>
      </c>
      <c r="L4223" s="13">
        <v>244.75299999999999</v>
      </c>
      <c r="M4223" s="12">
        <v>-29.021999999999998</v>
      </c>
      <c r="N4223" s="12">
        <v>-29.021999999999998</v>
      </c>
      <c r="O4223" s="12">
        <v>19.977</v>
      </c>
      <c r="P4223" s="12">
        <v>1</v>
      </c>
      <c r="Q4223" s="12">
        <v>1</v>
      </c>
      <c r="R4223" s="12">
        <v>1</v>
      </c>
    </row>
    <row r="4224" spans="1:18" ht="17" customHeight="1" x14ac:dyDescent="0.15">
      <c r="A4224" s="8" t="s">
        <v>22791</v>
      </c>
      <c r="B4224" s="9" t="s">
        <v>22792</v>
      </c>
      <c r="C4224" s="8" t="s">
        <v>22793</v>
      </c>
      <c r="D4224" s="8" t="s">
        <v>22793</v>
      </c>
      <c r="E4224" s="8" t="s">
        <v>22794</v>
      </c>
      <c r="F4224" s="8" t="s">
        <v>22749</v>
      </c>
      <c r="G4224" s="8" t="s">
        <v>22641</v>
      </c>
      <c r="H4224" s="8" t="s">
        <v>22635</v>
      </c>
      <c r="I4224" s="8" t="str">
        <f>HYPERLINK("http://www.ilmagnificosrl.it/","www.ilmagnificosrl.it")</f>
        <v>www.ilmagnificosrl.it</v>
      </c>
      <c r="J4224" s="10">
        <v>239.03299999999999</v>
      </c>
      <c r="K4224" s="10">
        <v>239.03299999999999</v>
      </c>
      <c r="L4224" s="10">
        <v>244.739</v>
      </c>
      <c r="M4224" s="10">
        <v>2.1760000000000002</v>
      </c>
      <c r="N4224" s="10">
        <v>2.1760000000000002</v>
      </c>
      <c r="O4224" s="10">
        <v>1.194</v>
      </c>
      <c r="P4224" s="10">
        <v>1</v>
      </c>
      <c r="Q4224" s="10">
        <v>1</v>
      </c>
      <c r="R4224" s="10">
        <v>1</v>
      </c>
    </row>
    <row r="4225" spans="1:18" ht="17" customHeight="1" x14ac:dyDescent="0.15">
      <c r="A4225" s="11" t="s">
        <v>22795</v>
      </c>
      <c r="B4225" s="1" t="s">
        <v>22796</v>
      </c>
      <c r="C4225" s="11" t="s">
        <v>22797</v>
      </c>
      <c r="D4225" s="11" t="s">
        <v>22797</v>
      </c>
      <c r="E4225" s="11" t="s">
        <v>22798</v>
      </c>
      <c r="F4225" s="11" t="s">
        <v>22799</v>
      </c>
      <c r="G4225" s="11" t="s">
        <v>22800</v>
      </c>
      <c r="H4225" s="11" t="s">
        <v>22801</v>
      </c>
      <c r="I4225" s="11" t="str">
        <f>HYPERLINK("http://www.opieffe.it/","www.opieffe.it")</f>
        <v>www.opieffe.it</v>
      </c>
      <c r="J4225" s="12">
        <v>137.94200000000001</v>
      </c>
      <c r="K4225" s="12">
        <v>137.94200000000001</v>
      </c>
      <c r="L4225" s="13">
        <v>242.90799999999999</v>
      </c>
      <c r="M4225" s="12">
        <v>1.742</v>
      </c>
      <c r="N4225" s="12">
        <v>1.742</v>
      </c>
      <c r="O4225" s="12">
        <v>7.048</v>
      </c>
      <c r="P4225" s="14" t="s">
        <v>22802</v>
      </c>
      <c r="Q4225" s="14" t="s">
        <v>22802</v>
      </c>
      <c r="R4225" s="12">
        <v>1</v>
      </c>
    </row>
    <row r="4226" spans="1:18" ht="17" customHeight="1" x14ac:dyDescent="0.15">
      <c r="A4226" s="8" t="s">
        <v>22803</v>
      </c>
      <c r="B4226" s="9" t="s">
        <v>22804</v>
      </c>
      <c r="C4226" s="8" t="s">
        <v>22805</v>
      </c>
      <c r="D4226" s="8" t="s">
        <v>22805</v>
      </c>
      <c r="E4226" s="8" t="s">
        <v>22806</v>
      </c>
      <c r="F4226" s="8" t="s">
        <v>22807</v>
      </c>
      <c r="G4226" s="8" t="s">
        <v>22808</v>
      </c>
      <c r="H4226" s="8" t="s">
        <v>22809</v>
      </c>
      <c r="I4226" s="8" t="str">
        <f>HYPERLINK("http://www.acquadiperla.com/","www.acquadiperla.com")</f>
        <v>www.acquadiperla.com</v>
      </c>
      <c r="J4226" s="10">
        <v>196.17699999999999</v>
      </c>
      <c r="K4226" s="10">
        <v>196.17699999999999</v>
      </c>
      <c r="L4226" s="10">
        <v>242.07900000000001</v>
      </c>
      <c r="M4226" s="10">
        <v>176.93700000000001</v>
      </c>
      <c r="N4226" s="10">
        <v>176.93700000000001</v>
      </c>
      <c r="O4226" s="10">
        <v>-131.53899999999999</v>
      </c>
      <c r="P4226" s="10">
        <v>1</v>
      </c>
      <c r="Q4226" s="10">
        <v>1</v>
      </c>
      <c r="R4226" s="10">
        <v>1</v>
      </c>
    </row>
    <row r="4227" spans="1:18" ht="29.5" customHeight="1" x14ac:dyDescent="0.15">
      <c r="A4227" s="11" t="s">
        <v>22810</v>
      </c>
      <c r="B4227" s="1" t="s">
        <v>22811</v>
      </c>
      <c r="C4227" s="11" t="s">
        <v>22812</v>
      </c>
      <c r="D4227" s="11" t="s">
        <v>22812</v>
      </c>
      <c r="E4227" s="11" t="s">
        <v>22813</v>
      </c>
      <c r="F4227" s="11" t="s">
        <v>22814</v>
      </c>
      <c r="G4227" s="11" t="s">
        <v>22815</v>
      </c>
      <c r="H4227" s="11" t="s">
        <v>22816</v>
      </c>
      <c r="I4227" s="11" t="str">
        <f>HYPERLINK("http://www.triocalzature.com/","www.triocalzature.com")</f>
        <v>www.triocalzature.com</v>
      </c>
      <c r="J4227" s="12">
        <v>1265.1210000000001</v>
      </c>
      <c r="K4227" s="12">
        <v>121.85599999999999</v>
      </c>
      <c r="L4227" s="13">
        <v>241.77099999999999</v>
      </c>
      <c r="M4227" s="12">
        <v>201.63399999999999</v>
      </c>
      <c r="N4227" s="12">
        <v>23.123000000000001</v>
      </c>
      <c r="O4227" s="12">
        <v>10.183</v>
      </c>
      <c r="P4227" s="14" t="s">
        <v>22802</v>
      </c>
      <c r="Q4227" s="14" t="s">
        <v>22802</v>
      </c>
      <c r="R4227" s="12">
        <v>3</v>
      </c>
    </row>
    <row r="4228" spans="1:18" ht="29.5" customHeight="1" x14ac:dyDescent="0.15">
      <c r="A4228" s="8" t="s">
        <v>22817</v>
      </c>
      <c r="B4228" s="9" t="s">
        <v>22818</v>
      </c>
      <c r="C4228" s="8" t="s">
        <v>22819</v>
      </c>
      <c r="D4228" s="8" t="s">
        <v>22819</v>
      </c>
      <c r="E4228" s="8" t="s">
        <v>22820</v>
      </c>
      <c r="F4228" s="8" t="s">
        <v>22814</v>
      </c>
      <c r="G4228" s="8" t="s">
        <v>22821</v>
      </c>
      <c r="H4228" s="8" t="s">
        <v>22822</v>
      </c>
      <c r="I4228" s="8" t="str">
        <f>HYPERLINK("http://www.primitempi.it/","www.primitempi.it")</f>
        <v>www.primitempi.it</v>
      </c>
      <c r="J4228" s="10">
        <v>261.25</v>
      </c>
      <c r="K4228" s="10">
        <v>261.25</v>
      </c>
      <c r="L4228" s="10">
        <v>241.67400000000001</v>
      </c>
      <c r="M4228" s="10">
        <v>27.420999999999999</v>
      </c>
      <c r="N4228" s="10">
        <v>27.420999999999999</v>
      </c>
      <c r="O4228" s="10">
        <v>12.808999999999999</v>
      </c>
      <c r="P4228" s="10">
        <v>1</v>
      </c>
      <c r="Q4228" s="10">
        <v>1</v>
      </c>
      <c r="R4228" s="10">
        <v>1</v>
      </c>
    </row>
    <row r="4229" spans="1:18" ht="43" customHeight="1" x14ac:dyDescent="0.15">
      <c r="A4229" s="11" t="s">
        <v>22823</v>
      </c>
      <c r="B4229" s="1" t="s">
        <v>22824</v>
      </c>
      <c r="C4229" s="11" t="s">
        <v>22825</v>
      </c>
      <c r="D4229" s="11" t="s">
        <v>22825</v>
      </c>
      <c r="E4229" s="11" t="s">
        <v>22826</v>
      </c>
      <c r="F4229" s="11" t="s">
        <v>22807</v>
      </c>
      <c r="G4229" s="11" t="s">
        <v>22827</v>
      </c>
      <c r="H4229" s="11" t="s">
        <v>22828</v>
      </c>
      <c r="I4229" s="11" t="str">
        <f>HYPERLINK("http://diviseperbandemusicali.com/","diviseperbandemusicali.com")</f>
        <v>diviseperbandemusicali.com</v>
      </c>
      <c r="J4229" s="12">
        <v>323.01499999999999</v>
      </c>
      <c r="K4229" s="12">
        <v>323.01499999999999</v>
      </c>
      <c r="L4229" s="13">
        <v>241.48699999999999</v>
      </c>
      <c r="M4229" s="12">
        <v>2.069</v>
      </c>
      <c r="N4229" s="12">
        <v>2.069</v>
      </c>
      <c r="O4229" s="12">
        <v>56.831000000000003</v>
      </c>
      <c r="P4229" s="12">
        <v>5</v>
      </c>
      <c r="Q4229" s="12">
        <v>5</v>
      </c>
      <c r="R4229" s="12">
        <v>3</v>
      </c>
    </row>
    <row r="4230" spans="1:18" ht="17" customHeight="1" x14ac:dyDescent="0.15">
      <c r="A4230" s="8" t="s">
        <v>22829</v>
      </c>
      <c r="B4230" s="9" t="s">
        <v>22830</v>
      </c>
      <c r="C4230" s="8" t="s">
        <v>22831</v>
      </c>
      <c r="D4230" s="8" t="s">
        <v>22831</v>
      </c>
      <c r="E4230" s="8" t="s">
        <v>22832</v>
      </c>
      <c r="F4230" s="8" t="s">
        <v>22799</v>
      </c>
      <c r="G4230" s="8" t="s">
        <v>22833</v>
      </c>
      <c r="H4230" s="8" t="s">
        <v>22834</v>
      </c>
      <c r="I4230" s="8" t="str">
        <f>HYPERLINK("http://www.terrazzurra.it/","www.terrazzurra.it")</f>
        <v>www.terrazzurra.it</v>
      </c>
      <c r="J4230" s="10">
        <v>288.26</v>
      </c>
      <c r="K4230" s="10">
        <v>288.26</v>
      </c>
      <c r="L4230" s="10">
        <v>241.30600000000001</v>
      </c>
      <c r="M4230" s="10">
        <v>2.8319999999999999</v>
      </c>
      <c r="N4230" s="10">
        <v>2.8319999999999999</v>
      </c>
      <c r="O4230" s="10">
        <v>-7.1189999999999998</v>
      </c>
      <c r="P4230" s="10">
        <v>7</v>
      </c>
      <c r="Q4230" s="10">
        <v>7</v>
      </c>
      <c r="R4230" s="10">
        <v>9</v>
      </c>
    </row>
    <row r="4231" spans="1:18" ht="17" customHeight="1" x14ac:dyDescent="0.15">
      <c r="A4231" s="11" t="s">
        <v>22835</v>
      </c>
      <c r="B4231" s="1" t="s">
        <v>22836</v>
      </c>
      <c r="C4231" s="11" t="s">
        <v>22837</v>
      </c>
      <c r="D4231" s="11" t="s">
        <v>22837</v>
      </c>
      <c r="E4231" s="11" t="s">
        <v>22838</v>
      </c>
      <c r="F4231" s="11" t="s">
        <v>22839</v>
      </c>
      <c r="G4231" s="11" t="s">
        <v>22815</v>
      </c>
      <c r="H4231" s="11" t="s">
        <v>22816</v>
      </c>
      <c r="I4231" s="11" t="str">
        <f>HYPERLINK("http://www.ceampanzera.com/","www.ceampanzera.com")</f>
        <v>www.ceampanzera.com</v>
      </c>
      <c r="J4231" s="12">
        <v>208.09700000000001</v>
      </c>
      <c r="K4231" s="12">
        <v>208.09700000000001</v>
      </c>
      <c r="L4231" s="13">
        <v>241.239</v>
      </c>
      <c r="M4231" s="12">
        <v>15.478999999999999</v>
      </c>
      <c r="N4231" s="12">
        <v>15.478999999999999</v>
      </c>
      <c r="O4231" s="12">
        <v>17.948</v>
      </c>
      <c r="P4231" s="12">
        <v>1</v>
      </c>
      <c r="Q4231" s="12">
        <v>1</v>
      </c>
      <c r="R4231" s="12">
        <v>1</v>
      </c>
    </row>
    <row r="4232" spans="1:18" ht="17" customHeight="1" x14ac:dyDescent="0.15">
      <c r="A4232" s="8" t="s">
        <v>22840</v>
      </c>
      <c r="B4232" s="9" t="s">
        <v>22841</v>
      </c>
      <c r="C4232" s="8" t="s">
        <v>22842</v>
      </c>
      <c r="D4232" s="8" t="s">
        <v>22842</v>
      </c>
      <c r="E4232" s="8" t="s">
        <v>22843</v>
      </c>
      <c r="F4232" s="8" t="s">
        <v>22844</v>
      </c>
      <c r="G4232" s="8" t="s">
        <v>22845</v>
      </c>
      <c r="H4232" s="8" t="s">
        <v>22846</v>
      </c>
      <c r="I4232" s="8" t="str">
        <f>HYPERLINK("http://www.mensclub.it/","www.mensclub.it")</f>
        <v>www.mensclub.it</v>
      </c>
      <c r="J4232" s="10">
        <v>261.87099999999998</v>
      </c>
      <c r="K4232" s="10">
        <v>261.87099999999998</v>
      </c>
      <c r="L4232" s="10">
        <v>241.131</v>
      </c>
      <c r="M4232" s="10">
        <v>31.579000000000001</v>
      </c>
      <c r="N4232" s="10">
        <v>31.579000000000001</v>
      </c>
      <c r="O4232" s="10">
        <v>32.965000000000003</v>
      </c>
      <c r="P4232" s="10">
        <v>2</v>
      </c>
      <c r="Q4232" s="10">
        <v>2</v>
      </c>
      <c r="R4232" s="10">
        <v>2</v>
      </c>
    </row>
    <row r="4233" spans="1:18" ht="17" customHeight="1" x14ac:dyDescent="0.15">
      <c r="A4233" s="11" t="s">
        <v>22847</v>
      </c>
      <c r="B4233" s="1" t="s">
        <v>22848</v>
      </c>
      <c r="C4233" s="11" t="s">
        <v>22849</v>
      </c>
      <c r="D4233" s="11" t="s">
        <v>22849</v>
      </c>
      <c r="E4233" s="11" t="s">
        <v>22850</v>
      </c>
      <c r="F4233" s="11" t="s">
        <v>22799</v>
      </c>
      <c r="G4233" s="11" t="s">
        <v>22851</v>
      </c>
      <c r="H4233" s="11" t="s">
        <v>22816</v>
      </c>
      <c r="I4233" s="11" t="str">
        <f>HYPERLINK("http://www.missmax.it/","www.missmax.it")</f>
        <v>www.missmax.it</v>
      </c>
      <c r="J4233" s="12">
        <v>288.57799999999997</v>
      </c>
      <c r="K4233" s="12">
        <v>288.57799999999997</v>
      </c>
      <c r="L4233" s="13">
        <v>240.89500000000001</v>
      </c>
      <c r="M4233" s="12">
        <v>-173.60599999999999</v>
      </c>
      <c r="N4233" s="12">
        <v>-173.60599999999999</v>
      </c>
      <c r="O4233" s="12">
        <v>2.5750000000000002</v>
      </c>
      <c r="P4233" s="12">
        <v>3</v>
      </c>
      <c r="Q4233" s="12">
        <v>3</v>
      </c>
      <c r="R4233" s="12">
        <v>3</v>
      </c>
    </row>
    <row r="4234" spans="1:18" ht="17" customHeight="1" x14ac:dyDescent="0.15">
      <c r="A4234" s="8" t="s">
        <v>22852</v>
      </c>
      <c r="B4234" s="9" t="s">
        <v>22853</v>
      </c>
      <c r="C4234" s="8" t="s">
        <v>22854</v>
      </c>
      <c r="D4234" s="8" t="s">
        <v>22854</v>
      </c>
      <c r="E4234" s="8" t="s">
        <v>22855</v>
      </c>
      <c r="F4234" s="8" t="s">
        <v>22856</v>
      </c>
      <c r="G4234" s="8" t="s">
        <v>22857</v>
      </c>
      <c r="H4234" s="8" t="s">
        <v>22809</v>
      </c>
      <c r="I4234" s="8" t="str">
        <f>HYPERLINK("http://fammanifatture.it/","fammanifatture.it")</f>
        <v>fammanifatture.it</v>
      </c>
      <c r="J4234" s="10">
        <v>184.76499999999999</v>
      </c>
      <c r="K4234" s="10">
        <v>184.76499999999999</v>
      </c>
      <c r="L4234" s="10">
        <v>240.62799999999999</v>
      </c>
      <c r="M4234" s="10">
        <v>37.648000000000003</v>
      </c>
      <c r="N4234" s="10">
        <v>37.648000000000003</v>
      </c>
      <c r="O4234" s="10">
        <v>45.887</v>
      </c>
      <c r="P4234" s="10">
        <v>5</v>
      </c>
      <c r="Q4234" s="10">
        <v>5</v>
      </c>
      <c r="R4234" s="10">
        <v>5</v>
      </c>
    </row>
    <row r="4235" spans="1:18" ht="17" customHeight="1" x14ac:dyDescent="0.15">
      <c r="A4235" s="11" t="s">
        <v>22858</v>
      </c>
      <c r="B4235" s="1" t="s">
        <v>22859</v>
      </c>
      <c r="C4235" s="11" t="s">
        <v>22860</v>
      </c>
      <c r="D4235" s="11" t="s">
        <v>22860</v>
      </c>
      <c r="E4235" s="11" t="s">
        <v>22861</v>
      </c>
      <c r="F4235" s="11" t="s">
        <v>22862</v>
      </c>
      <c r="G4235" s="11" t="s">
        <v>22863</v>
      </c>
      <c r="H4235" s="11" t="s">
        <v>22864</v>
      </c>
      <c r="I4235" s="11" t="str">
        <f>HYPERLINK("http://www.querre.it/","www.querre.it")</f>
        <v>www.querre.it</v>
      </c>
      <c r="J4235" s="12">
        <v>256.18799999999999</v>
      </c>
      <c r="K4235" s="12">
        <v>256.18799999999999</v>
      </c>
      <c r="L4235" s="13">
        <v>240.191</v>
      </c>
      <c r="M4235" s="12">
        <v>-7.5810000000000004</v>
      </c>
      <c r="N4235" s="12">
        <v>-7.5810000000000004</v>
      </c>
      <c r="O4235" s="12">
        <v>12.930999999999999</v>
      </c>
      <c r="P4235" s="14" t="s">
        <v>22802</v>
      </c>
      <c r="Q4235" s="14" t="s">
        <v>22802</v>
      </c>
      <c r="R4235" s="12">
        <v>7</v>
      </c>
    </row>
    <row r="4236" spans="1:18" ht="17" customHeight="1" x14ac:dyDescent="0.15">
      <c r="A4236" s="8" t="s">
        <v>22865</v>
      </c>
      <c r="B4236" s="9" t="s">
        <v>22866</v>
      </c>
      <c r="C4236" s="8" t="s">
        <v>22867</v>
      </c>
      <c r="D4236" s="8" t="s">
        <v>22867</v>
      </c>
      <c r="E4236" s="8" t="s">
        <v>22868</v>
      </c>
      <c r="F4236" s="8" t="s">
        <v>22807</v>
      </c>
      <c r="G4236" s="8" t="s">
        <v>22857</v>
      </c>
      <c r="H4236" s="8" t="s">
        <v>22809</v>
      </c>
      <c r="I4236" s="8" t="str">
        <f>HYPERLINK("http://www.scarfdesign.it/","www.scarfdesign.it")</f>
        <v>www.scarfdesign.it</v>
      </c>
      <c r="J4236" s="10">
        <v>106.849</v>
      </c>
      <c r="K4236" s="10">
        <v>106.849</v>
      </c>
      <c r="L4236" s="10">
        <v>239.93100000000001</v>
      </c>
      <c r="M4236" s="10">
        <v>0.55700000000000005</v>
      </c>
      <c r="N4236" s="10">
        <v>0.55700000000000005</v>
      </c>
      <c r="O4236" s="10">
        <v>0.91</v>
      </c>
      <c r="P4236" s="15" t="s">
        <v>22802</v>
      </c>
      <c r="Q4236" s="15" t="s">
        <v>22802</v>
      </c>
      <c r="R4236" s="10">
        <v>1</v>
      </c>
    </row>
    <row r="4237" spans="1:18" ht="17" customHeight="1" x14ac:dyDescent="0.15">
      <c r="A4237" s="11" t="s">
        <v>22869</v>
      </c>
      <c r="B4237" s="1" t="s">
        <v>22870</v>
      </c>
      <c r="C4237" s="11" t="s">
        <v>22871</v>
      </c>
      <c r="D4237" s="11" t="s">
        <v>22871</v>
      </c>
      <c r="E4237" s="11" t="s">
        <v>22872</v>
      </c>
      <c r="F4237" s="11" t="s">
        <v>22839</v>
      </c>
      <c r="G4237" s="11" t="s">
        <v>22873</v>
      </c>
      <c r="H4237" s="11" t="s">
        <v>22822</v>
      </c>
      <c r="I4237" s="11" t="str">
        <f>HYPERLINK("http://ateliergabriella.it/","ateliergabriella.it")</f>
        <v>ateliergabriella.it</v>
      </c>
      <c r="J4237" s="12">
        <v>313.70999999999998</v>
      </c>
      <c r="K4237" s="12">
        <v>313.70999999999998</v>
      </c>
      <c r="L4237" s="13">
        <v>239.58500000000001</v>
      </c>
      <c r="M4237" s="12">
        <v>23.622</v>
      </c>
      <c r="N4237" s="12">
        <v>23.622</v>
      </c>
      <c r="O4237" s="12">
        <v>13.577</v>
      </c>
      <c r="P4237" s="12">
        <v>4</v>
      </c>
      <c r="Q4237" s="12">
        <v>4</v>
      </c>
      <c r="R4237" s="12">
        <v>4</v>
      </c>
    </row>
    <row r="4238" spans="1:18" ht="17" customHeight="1" x14ac:dyDescent="0.15">
      <c r="A4238" s="8" t="s">
        <v>22874</v>
      </c>
      <c r="B4238" s="9" t="s">
        <v>22875</v>
      </c>
      <c r="C4238" s="8" t="s">
        <v>22876</v>
      </c>
      <c r="D4238" s="8" t="s">
        <v>22876</v>
      </c>
      <c r="E4238" s="8" t="s">
        <v>22877</v>
      </c>
      <c r="F4238" s="8" t="s">
        <v>22878</v>
      </c>
      <c r="G4238" s="8" t="s">
        <v>22879</v>
      </c>
      <c r="H4238" s="8" t="s">
        <v>22816</v>
      </c>
      <c r="I4238" s="8" t="str">
        <f>HYPERLINK("http://lullabi.it/","lullabi.it")</f>
        <v>lullabi.it</v>
      </c>
      <c r="J4238" s="10">
        <v>249.51</v>
      </c>
      <c r="K4238" s="10">
        <v>249.51</v>
      </c>
      <c r="L4238" s="10">
        <v>239.06200000000001</v>
      </c>
      <c r="M4238" s="10">
        <v>6.4109999999999996</v>
      </c>
      <c r="N4238" s="10">
        <v>6.4109999999999996</v>
      </c>
      <c r="O4238" s="10">
        <v>-6.9640000000000004</v>
      </c>
      <c r="P4238" s="15" t="s">
        <v>22802</v>
      </c>
      <c r="Q4238" s="15" t="s">
        <v>22802</v>
      </c>
      <c r="R4238" s="10">
        <v>7</v>
      </c>
    </row>
    <row r="4239" spans="1:18" ht="17" customHeight="1" x14ac:dyDescent="0.15">
      <c r="A4239" s="11" t="s">
        <v>22880</v>
      </c>
      <c r="B4239" s="1" t="s">
        <v>22881</v>
      </c>
      <c r="C4239" s="11" t="s">
        <v>22882</v>
      </c>
      <c r="D4239" s="11" t="s">
        <v>22882</v>
      </c>
      <c r="E4239" s="11" t="s">
        <v>22883</v>
      </c>
      <c r="F4239" s="11" t="s">
        <v>22799</v>
      </c>
      <c r="G4239" s="11" t="s">
        <v>22884</v>
      </c>
      <c r="H4239" s="11" t="s">
        <v>22822</v>
      </c>
      <c r="I4239" s="11" t="str">
        <f>HYPERLINK("http://jojmilano.com/","jojmilano.com")</f>
        <v>jojmilano.com</v>
      </c>
      <c r="J4239" s="12">
        <v>222.52</v>
      </c>
      <c r="K4239" s="12">
        <v>222.52</v>
      </c>
      <c r="L4239" s="13">
        <v>238.751</v>
      </c>
      <c r="M4239" s="12">
        <v>10.912000000000001</v>
      </c>
      <c r="N4239" s="12">
        <v>10.912000000000001</v>
      </c>
      <c r="O4239" s="12">
        <v>21.67</v>
      </c>
      <c r="P4239" s="12">
        <v>1</v>
      </c>
      <c r="Q4239" s="12">
        <v>1</v>
      </c>
      <c r="R4239" s="12">
        <v>1</v>
      </c>
    </row>
    <row r="4240" spans="1:18" ht="17" customHeight="1" x14ac:dyDescent="0.15">
      <c r="A4240" s="8" t="s">
        <v>22885</v>
      </c>
      <c r="B4240" s="9" t="s">
        <v>22886</v>
      </c>
      <c r="C4240" s="8" t="s">
        <v>22887</v>
      </c>
      <c r="D4240" s="8" t="s">
        <v>22887</v>
      </c>
      <c r="E4240" s="8" t="s">
        <v>22888</v>
      </c>
      <c r="F4240" s="8" t="s">
        <v>22862</v>
      </c>
      <c r="G4240" s="8" t="s">
        <v>22889</v>
      </c>
      <c r="H4240" s="8" t="s">
        <v>22890</v>
      </c>
      <c r="I4240" s="8" t="str">
        <f>HYPERLINK("http://www.web.missmagia.com/","www.web.missmagia.com")</f>
        <v>www.web.missmagia.com</v>
      </c>
      <c r="J4240" s="10">
        <v>161.36699999999999</v>
      </c>
      <c r="K4240" s="10">
        <v>161.36699999999999</v>
      </c>
      <c r="L4240" s="10">
        <v>238.29</v>
      </c>
      <c r="M4240" s="10">
        <v>0.83299999999999996</v>
      </c>
      <c r="N4240" s="10">
        <v>0.83299999999999996</v>
      </c>
      <c r="O4240" s="10">
        <v>0.115</v>
      </c>
      <c r="P4240" s="10">
        <v>1</v>
      </c>
      <c r="Q4240" s="10">
        <v>1</v>
      </c>
      <c r="R4240" s="10">
        <v>1</v>
      </c>
    </row>
    <row r="4241" spans="1:18" ht="43" customHeight="1" x14ac:dyDescent="0.15">
      <c r="A4241" s="11" t="s">
        <v>22891</v>
      </c>
      <c r="B4241" s="1" t="s">
        <v>22892</v>
      </c>
      <c r="C4241" s="11" t="s">
        <v>22893</v>
      </c>
      <c r="D4241" s="11" t="s">
        <v>22893</v>
      </c>
      <c r="E4241" s="11" t="s">
        <v>22894</v>
      </c>
      <c r="F4241" s="11" t="s">
        <v>22814</v>
      </c>
      <c r="G4241" s="11" t="s">
        <v>22895</v>
      </c>
      <c r="H4241" s="11" t="s">
        <v>22834</v>
      </c>
      <c r="I4241" s="11" t="str">
        <f>HYPERLINK("http://www.imputshop.it/","www.imputshop.it")</f>
        <v>www.imputshop.it</v>
      </c>
      <c r="J4241" s="12">
        <v>220.101</v>
      </c>
      <c r="K4241" s="12">
        <v>220.101</v>
      </c>
      <c r="L4241" s="13">
        <v>238.179</v>
      </c>
      <c r="M4241" s="12">
        <v>6.9349999999999996</v>
      </c>
      <c r="N4241" s="12">
        <v>6.9349999999999996</v>
      </c>
      <c r="O4241" s="12">
        <v>5.0780000000000003</v>
      </c>
      <c r="P4241" s="12">
        <v>2</v>
      </c>
      <c r="Q4241" s="12">
        <v>2</v>
      </c>
      <c r="R4241" s="12">
        <v>2</v>
      </c>
    </row>
    <row r="4242" spans="1:18" ht="17" customHeight="1" x14ac:dyDescent="0.15">
      <c r="A4242" s="8" t="s">
        <v>22896</v>
      </c>
      <c r="B4242" s="9" t="s">
        <v>22897</v>
      </c>
      <c r="C4242" s="8" t="s">
        <v>22898</v>
      </c>
      <c r="D4242" s="8" t="s">
        <v>22898</v>
      </c>
      <c r="E4242" s="8" t="s">
        <v>22899</v>
      </c>
      <c r="F4242" s="8" t="s">
        <v>22900</v>
      </c>
      <c r="G4242" s="8" t="s">
        <v>22901</v>
      </c>
      <c r="H4242" s="8" t="s">
        <v>22902</v>
      </c>
      <c r="I4242" s="8" t="str">
        <f>HYPERLINK("http://www.pellicceriaofelia.it/","www.pellicceriaofelia.it")</f>
        <v>www.pellicceriaofelia.it</v>
      </c>
      <c r="J4242" s="10">
        <v>169.28700000000001</v>
      </c>
      <c r="K4242" s="10">
        <v>169.28700000000001</v>
      </c>
      <c r="L4242" s="10">
        <v>238.02500000000001</v>
      </c>
      <c r="M4242" s="10">
        <v>12.372999999999999</v>
      </c>
      <c r="N4242" s="10">
        <v>12.372999999999999</v>
      </c>
      <c r="O4242" s="10">
        <v>14.762</v>
      </c>
      <c r="P4242" s="15" t="s">
        <v>22802</v>
      </c>
      <c r="Q4242" s="15" t="s">
        <v>22802</v>
      </c>
      <c r="R4242" s="10">
        <v>3</v>
      </c>
    </row>
    <row r="4243" spans="1:18" ht="17" customHeight="1" x14ac:dyDescent="0.15">
      <c r="A4243" s="11" t="s">
        <v>22903</v>
      </c>
      <c r="B4243" s="1" t="s">
        <v>22904</v>
      </c>
      <c r="C4243" s="11" t="s">
        <v>22905</v>
      </c>
      <c r="D4243" s="11" t="s">
        <v>22905</v>
      </c>
      <c r="E4243" s="11" t="s">
        <v>22906</v>
      </c>
      <c r="F4243" s="11" t="s">
        <v>22844</v>
      </c>
      <c r="G4243" s="11" t="s">
        <v>22907</v>
      </c>
      <c r="H4243" s="11" t="s">
        <v>22890</v>
      </c>
      <c r="I4243" s="11" t="str">
        <f>HYPERLINK("http://www.lencocamiceriamilano.com/","www.lencocamiceriamilano.com")</f>
        <v>www.lencocamiceriamilano.com</v>
      </c>
      <c r="J4243" s="12">
        <v>237.541</v>
      </c>
      <c r="K4243" s="14" t="s">
        <v>22802</v>
      </c>
      <c r="L4243" s="13">
        <v>237.541</v>
      </c>
      <c r="M4243" s="12">
        <v>4.1429999999999998</v>
      </c>
      <c r="N4243" s="14" t="s">
        <v>22802</v>
      </c>
      <c r="O4243" s="12">
        <v>4.1429999999999998</v>
      </c>
      <c r="P4243" s="12">
        <v>0</v>
      </c>
      <c r="Q4243" s="14" t="s">
        <v>22802</v>
      </c>
      <c r="R4243" s="12">
        <v>0</v>
      </c>
    </row>
    <row r="4244" spans="1:18" ht="17" customHeight="1" x14ac:dyDescent="0.15">
      <c r="A4244" s="8" t="s">
        <v>22908</v>
      </c>
      <c r="B4244" s="9" t="s">
        <v>22909</v>
      </c>
      <c r="C4244" s="8" t="s">
        <v>22910</v>
      </c>
      <c r="D4244" s="8" t="s">
        <v>22910</v>
      </c>
      <c r="E4244" s="8" t="s">
        <v>22911</v>
      </c>
      <c r="F4244" s="8" t="s">
        <v>22912</v>
      </c>
      <c r="G4244" s="8" t="s">
        <v>22913</v>
      </c>
      <c r="H4244" s="8" t="s">
        <v>22890</v>
      </c>
      <c r="I4244" s="8" t="str">
        <f>HYPERLINK("http://www.calzeprestige.com/","www.calzeprestige.com")</f>
        <v>www.calzeprestige.com</v>
      </c>
      <c r="J4244" s="10">
        <v>218.035</v>
      </c>
      <c r="K4244" s="10">
        <v>218.035</v>
      </c>
      <c r="L4244" s="10">
        <v>237.53200000000001</v>
      </c>
      <c r="M4244" s="10">
        <v>-2.8570000000000002</v>
      </c>
      <c r="N4244" s="10">
        <v>-2.8570000000000002</v>
      </c>
      <c r="O4244" s="10">
        <v>5.4589999999999996</v>
      </c>
      <c r="P4244" s="10">
        <v>3</v>
      </c>
      <c r="Q4244" s="10">
        <v>3</v>
      </c>
      <c r="R4244" s="10">
        <v>3</v>
      </c>
    </row>
    <row r="4245" spans="1:18" ht="55.75" customHeight="1" x14ac:dyDescent="0.15">
      <c r="A4245" s="11" t="s">
        <v>22914</v>
      </c>
      <c r="B4245" s="1" t="s">
        <v>22915</v>
      </c>
      <c r="C4245" s="11" t="s">
        <v>22916</v>
      </c>
      <c r="D4245" s="11" t="s">
        <v>22916</v>
      </c>
      <c r="E4245" s="11" t="s">
        <v>22917</v>
      </c>
      <c r="F4245" s="11" t="s">
        <v>22799</v>
      </c>
      <c r="G4245" s="11" t="s">
        <v>22918</v>
      </c>
      <c r="H4245" s="11" t="s">
        <v>22846</v>
      </c>
      <c r="I4245" s="11" t="str">
        <f>HYPERLINK("http://www.manifatturaitalianaartigiani.it/","www.manifatturaitalianaartigiani.it")</f>
        <v>www.manifatturaitalianaartigiani.it</v>
      </c>
      <c r="J4245" s="12">
        <v>236.82</v>
      </c>
      <c r="K4245" s="14" t="s">
        <v>22802</v>
      </c>
      <c r="L4245" s="13">
        <v>236.82</v>
      </c>
      <c r="M4245" s="12">
        <v>33.908000000000001</v>
      </c>
      <c r="N4245" s="14" t="s">
        <v>22802</v>
      </c>
      <c r="O4245" s="12">
        <v>33.908000000000001</v>
      </c>
      <c r="P4245" s="12">
        <v>2</v>
      </c>
      <c r="Q4245" s="14" t="s">
        <v>22802</v>
      </c>
      <c r="R4245" s="12">
        <v>2</v>
      </c>
    </row>
    <row r="4246" spans="1:18" ht="17" customHeight="1" x14ac:dyDescent="0.15">
      <c r="A4246" s="8" t="s">
        <v>22919</v>
      </c>
      <c r="B4246" s="9" t="s">
        <v>22920</v>
      </c>
      <c r="C4246" s="8" t="s">
        <v>22921</v>
      </c>
      <c r="D4246" s="8" t="s">
        <v>22921</v>
      </c>
      <c r="E4246" s="8" t="s">
        <v>22922</v>
      </c>
      <c r="F4246" s="8" t="s">
        <v>22923</v>
      </c>
      <c r="G4246" s="8" t="s">
        <v>22924</v>
      </c>
      <c r="H4246" s="8" t="s">
        <v>22890</v>
      </c>
      <c r="I4246" s="8" t="str">
        <f>HYPERLINK("http://www.corame.it/","www.corame.it")</f>
        <v>www.corame.it</v>
      </c>
      <c r="J4246" s="10">
        <v>249.72499999999999</v>
      </c>
      <c r="K4246" s="10">
        <v>249.72499999999999</v>
      </c>
      <c r="L4246" s="10">
        <v>236.66300000000001</v>
      </c>
      <c r="M4246" s="10">
        <v>269.13299999999998</v>
      </c>
      <c r="N4246" s="10">
        <v>269.13299999999998</v>
      </c>
      <c r="O4246" s="10">
        <v>258.10700000000003</v>
      </c>
      <c r="P4246" s="10">
        <v>0</v>
      </c>
      <c r="Q4246" s="10">
        <v>0</v>
      </c>
      <c r="R4246" s="10">
        <v>0</v>
      </c>
    </row>
    <row r="4247" spans="1:18" ht="17" customHeight="1" x14ac:dyDescent="0.15">
      <c r="A4247" s="11" t="s">
        <v>22925</v>
      </c>
      <c r="B4247" s="1" t="s">
        <v>22926</v>
      </c>
      <c r="C4247" s="11" t="s">
        <v>22927</v>
      </c>
      <c r="D4247" s="11" t="s">
        <v>22927</v>
      </c>
      <c r="E4247" s="11" t="s">
        <v>22928</v>
      </c>
      <c r="F4247" s="11" t="s">
        <v>22799</v>
      </c>
      <c r="G4247" s="11" t="s">
        <v>22918</v>
      </c>
      <c r="H4247" s="11" t="s">
        <v>22846</v>
      </c>
      <c r="I4247" s="11" t="str">
        <f>HYPERLINK("http://www.dethomasis.it/","www.dethomasis.it")</f>
        <v>www.dethomasis.it</v>
      </c>
      <c r="J4247" s="12">
        <v>663.23699999999997</v>
      </c>
      <c r="K4247" s="12">
        <v>663.23699999999997</v>
      </c>
      <c r="L4247" s="13">
        <v>236.31200000000001</v>
      </c>
      <c r="M4247" s="12">
        <v>18.478999999999999</v>
      </c>
      <c r="N4247" s="12">
        <v>18.478999999999999</v>
      </c>
      <c r="O4247" s="12">
        <v>-27.271999999999998</v>
      </c>
      <c r="P4247" s="12">
        <v>3</v>
      </c>
      <c r="Q4247" s="12">
        <v>3</v>
      </c>
      <c r="R4247" s="12">
        <v>3</v>
      </c>
    </row>
    <row r="4248" spans="1:18" ht="43" customHeight="1" x14ac:dyDescent="0.15">
      <c r="A4248" s="8" t="s">
        <v>22929</v>
      </c>
      <c r="B4248" s="9" t="s">
        <v>22930</v>
      </c>
      <c r="C4248" s="8" t="s">
        <v>22931</v>
      </c>
      <c r="D4248" s="8" t="s">
        <v>22931</v>
      </c>
      <c r="E4248" s="8" t="s">
        <v>22932</v>
      </c>
      <c r="F4248" s="8" t="s">
        <v>22933</v>
      </c>
      <c r="G4248" s="8" t="s">
        <v>22934</v>
      </c>
      <c r="H4248" s="8" t="s">
        <v>22935</v>
      </c>
      <c r="I4248" s="8" t="str">
        <f>HYPERLINK("http://safetyeprotection.com/","safetyeprotection.com")</f>
        <v>safetyeprotection.com</v>
      </c>
      <c r="J4248" s="10">
        <v>466.36399999999998</v>
      </c>
      <c r="K4248" s="10">
        <v>466.36399999999998</v>
      </c>
      <c r="L4248" s="10">
        <v>236.23699999999999</v>
      </c>
      <c r="M4248" s="10">
        <v>27.26</v>
      </c>
      <c r="N4248" s="10">
        <v>27.26</v>
      </c>
      <c r="O4248" s="10">
        <v>8.33</v>
      </c>
      <c r="P4248" s="10">
        <v>13</v>
      </c>
      <c r="Q4248" s="10">
        <v>13</v>
      </c>
      <c r="R4248" s="10">
        <v>12</v>
      </c>
    </row>
    <row r="4249" spans="1:18" ht="29.5" customHeight="1" x14ac:dyDescent="0.15">
      <c r="A4249" s="11" t="s">
        <v>22936</v>
      </c>
      <c r="B4249" s="1" t="s">
        <v>22937</v>
      </c>
      <c r="C4249" s="11" t="s">
        <v>22938</v>
      </c>
      <c r="D4249" s="11" t="s">
        <v>22938</v>
      </c>
      <c r="E4249" s="11" t="s">
        <v>22939</v>
      </c>
      <c r="F4249" s="11" t="s">
        <v>22940</v>
      </c>
      <c r="G4249" s="11" t="s">
        <v>22941</v>
      </c>
      <c r="H4249" s="11" t="s">
        <v>22935</v>
      </c>
      <c r="I4249" s="11" t="str">
        <f>HYPERLINK("http://piccolagiuggiola.com/","piccolagiuggiola.com")</f>
        <v>piccolagiuggiola.com</v>
      </c>
      <c r="J4249" s="12">
        <v>212.452</v>
      </c>
      <c r="K4249" s="12">
        <v>212.452</v>
      </c>
      <c r="L4249" s="13">
        <v>236.15899999999999</v>
      </c>
      <c r="M4249" s="12">
        <v>-3.2989999999999999</v>
      </c>
      <c r="N4249" s="12">
        <v>-3.2989999999999999</v>
      </c>
      <c r="O4249" s="12">
        <v>25.847999999999999</v>
      </c>
      <c r="P4249" s="14" t="s">
        <v>22802</v>
      </c>
      <c r="Q4249" s="14" t="s">
        <v>22802</v>
      </c>
      <c r="R4249" s="12">
        <v>4</v>
      </c>
    </row>
    <row r="4250" spans="1:18" ht="17" customHeight="1" x14ac:dyDescent="0.15">
      <c r="A4250" s="8" t="s">
        <v>22942</v>
      </c>
      <c r="B4250" s="9" t="s">
        <v>22943</v>
      </c>
      <c r="C4250" s="8" t="s">
        <v>22944</v>
      </c>
      <c r="D4250" s="8" t="s">
        <v>22944</v>
      </c>
      <c r="E4250" s="8" t="s">
        <v>22945</v>
      </c>
      <c r="F4250" s="8" t="s">
        <v>22946</v>
      </c>
      <c r="G4250" s="8" t="s">
        <v>22947</v>
      </c>
      <c r="H4250" s="8" t="s">
        <v>22801</v>
      </c>
      <c r="I4250" s="8" t="str">
        <f>HYPERLINK("http://www.lexiapel.com/","www.lexiapel.com")</f>
        <v>www.lexiapel.com</v>
      </c>
      <c r="J4250" s="10">
        <v>254.488</v>
      </c>
      <c r="K4250" s="10">
        <v>254.488</v>
      </c>
      <c r="L4250" s="10">
        <v>235.71600000000001</v>
      </c>
      <c r="M4250" s="10">
        <v>0.38100000000000001</v>
      </c>
      <c r="N4250" s="10">
        <v>0.38100000000000001</v>
      </c>
      <c r="O4250" s="10">
        <v>-30.783999999999999</v>
      </c>
      <c r="P4250" s="15" t="s">
        <v>22802</v>
      </c>
      <c r="Q4250" s="15" t="s">
        <v>22802</v>
      </c>
      <c r="R4250" s="10">
        <v>6</v>
      </c>
    </row>
    <row r="4251" spans="1:18" ht="17" customHeight="1" x14ac:dyDescent="0.15">
      <c r="A4251" s="11" t="s">
        <v>22948</v>
      </c>
      <c r="B4251" s="1" t="s">
        <v>22949</v>
      </c>
      <c r="C4251" s="11" t="s">
        <v>22950</v>
      </c>
      <c r="D4251" s="11" t="s">
        <v>22950</v>
      </c>
      <c r="E4251" s="11" t="s">
        <v>22951</v>
      </c>
      <c r="F4251" s="11" t="s">
        <v>22933</v>
      </c>
      <c r="G4251" s="11" t="s">
        <v>22952</v>
      </c>
      <c r="H4251" s="11" t="s">
        <v>22801</v>
      </c>
      <c r="I4251" s="11" t="str">
        <f>HYPERLINK("http://www.gistabitidalavoro.it/","www.gistabitidalavoro.it")</f>
        <v>www.gistabitidalavoro.it</v>
      </c>
      <c r="J4251" s="12">
        <v>293.964</v>
      </c>
      <c r="K4251" s="12">
        <v>293.964</v>
      </c>
      <c r="L4251" s="13">
        <v>234.762</v>
      </c>
      <c r="M4251" s="12">
        <v>0.253</v>
      </c>
      <c r="N4251" s="12">
        <v>0.253</v>
      </c>
      <c r="O4251" s="12">
        <v>-2.2610000000000001</v>
      </c>
      <c r="P4251" s="12">
        <v>6</v>
      </c>
      <c r="Q4251" s="12">
        <v>6</v>
      </c>
      <c r="R4251" s="12">
        <v>5</v>
      </c>
    </row>
    <row r="4252" spans="1:18" ht="17" customHeight="1" x14ac:dyDescent="0.15">
      <c r="A4252" s="8" t="s">
        <v>22953</v>
      </c>
      <c r="B4252" s="9" t="s">
        <v>22954</v>
      </c>
      <c r="C4252" s="8" t="s">
        <v>22955</v>
      </c>
      <c r="D4252" s="8" t="s">
        <v>22955</v>
      </c>
      <c r="E4252" s="8" t="s">
        <v>22956</v>
      </c>
      <c r="F4252" s="8" t="s">
        <v>22862</v>
      </c>
      <c r="G4252" s="8" t="s">
        <v>22879</v>
      </c>
      <c r="H4252" s="8" t="s">
        <v>22816</v>
      </c>
      <c r="I4252" s="8" t="str">
        <f>HYPERLINK("http://www.top2.it/","www.top2.it")</f>
        <v>www.top2.it</v>
      </c>
      <c r="J4252" s="10">
        <v>245.56800000000001</v>
      </c>
      <c r="K4252" s="10">
        <v>245.56800000000001</v>
      </c>
      <c r="L4252" s="10">
        <v>234.38499999999999</v>
      </c>
      <c r="M4252" s="10">
        <v>15.279</v>
      </c>
      <c r="N4252" s="10">
        <v>15.279</v>
      </c>
      <c r="O4252" s="10">
        <v>14.988</v>
      </c>
      <c r="P4252" s="10">
        <v>1</v>
      </c>
      <c r="Q4252" s="10">
        <v>1</v>
      </c>
      <c r="R4252" s="10">
        <v>1</v>
      </c>
    </row>
    <row r="4253" spans="1:18" ht="17" customHeight="1" x14ac:dyDescent="0.15">
      <c r="A4253" s="11" t="s">
        <v>22957</v>
      </c>
      <c r="B4253" s="1" t="s">
        <v>22958</v>
      </c>
      <c r="C4253" s="11" t="s">
        <v>22959</v>
      </c>
      <c r="D4253" s="11" t="s">
        <v>22959</v>
      </c>
      <c r="E4253" s="11" t="s">
        <v>22960</v>
      </c>
      <c r="F4253" s="11" t="s">
        <v>22799</v>
      </c>
      <c r="G4253" s="11" t="s">
        <v>22889</v>
      </c>
      <c r="H4253" s="11" t="s">
        <v>22890</v>
      </c>
      <c r="I4253" s="11" t="str">
        <f>HYPERLINK("http://www.carbotti1969.it/","www.carbotti1969.it")</f>
        <v>www.carbotti1969.it</v>
      </c>
      <c r="J4253" s="12">
        <v>243.06200000000001</v>
      </c>
      <c r="K4253" s="12">
        <v>243.06200000000001</v>
      </c>
      <c r="L4253" s="13">
        <v>233.77799999999999</v>
      </c>
      <c r="M4253" s="12">
        <v>3.0430000000000001</v>
      </c>
      <c r="N4253" s="12">
        <v>3.0430000000000001</v>
      </c>
      <c r="O4253" s="12">
        <v>-9.26</v>
      </c>
      <c r="P4253" s="14" t="s">
        <v>22802</v>
      </c>
      <c r="Q4253" s="14" t="s">
        <v>22802</v>
      </c>
      <c r="R4253" s="12">
        <v>3</v>
      </c>
    </row>
    <row r="4254" spans="1:18" ht="17" customHeight="1" x14ac:dyDescent="0.15">
      <c r="A4254" s="8" t="s">
        <v>22961</v>
      </c>
      <c r="B4254" s="9" t="s">
        <v>22962</v>
      </c>
      <c r="C4254" s="8" t="s">
        <v>22963</v>
      </c>
      <c r="D4254" s="8" t="s">
        <v>22963</v>
      </c>
      <c r="E4254" s="8" t="s">
        <v>22964</v>
      </c>
      <c r="F4254" s="8" t="s">
        <v>22965</v>
      </c>
      <c r="G4254" s="8" t="s">
        <v>22966</v>
      </c>
      <c r="H4254" s="8" t="s">
        <v>22816</v>
      </c>
      <c r="I4254" s="8" t="str">
        <f>HYPERLINK("http://www.frecciablleather.it/","www.frecciablleather.it")</f>
        <v>www.frecciablleather.it</v>
      </c>
      <c r="J4254" s="10">
        <v>515.95399999999995</v>
      </c>
      <c r="K4254" s="10">
        <v>515.95399999999995</v>
      </c>
      <c r="L4254" s="10">
        <v>232.672</v>
      </c>
      <c r="M4254" s="10">
        <v>1.3260000000000001</v>
      </c>
      <c r="N4254" s="10">
        <v>1.3260000000000001</v>
      </c>
      <c r="O4254" s="10">
        <v>8.6999999999999994E-2</v>
      </c>
      <c r="P4254" s="10">
        <v>0</v>
      </c>
      <c r="Q4254" s="10">
        <v>0</v>
      </c>
      <c r="R4254" s="10">
        <v>0</v>
      </c>
    </row>
    <row r="4255" spans="1:18" ht="17" customHeight="1" x14ac:dyDescent="0.15">
      <c r="A4255" s="11" t="s">
        <v>22967</v>
      </c>
      <c r="B4255" s="1" t="s">
        <v>22968</v>
      </c>
      <c r="C4255" s="11" t="s">
        <v>22969</v>
      </c>
      <c r="D4255" s="11" t="s">
        <v>22969</v>
      </c>
      <c r="E4255" s="11" t="s">
        <v>22970</v>
      </c>
      <c r="F4255" s="11" t="s">
        <v>22923</v>
      </c>
      <c r="G4255" s="11" t="s">
        <v>22833</v>
      </c>
      <c r="H4255" s="11" t="s">
        <v>22834</v>
      </c>
      <c r="I4255" s="11" t="str">
        <f>HYPERLINK("http://www.gianniserena.it/","www.gianniserena.it")</f>
        <v>www.gianniserena.it</v>
      </c>
      <c r="J4255" s="12">
        <v>321.44600000000003</v>
      </c>
      <c r="K4255" s="12">
        <v>321.44600000000003</v>
      </c>
      <c r="L4255" s="13">
        <v>232.27500000000001</v>
      </c>
      <c r="M4255" s="12">
        <v>5.4870000000000001</v>
      </c>
      <c r="N4255" s="12">
        <v>5.4870000000000001</v>
      </c>
      <c r="O4255" s="12">
        <v>2.7770000000000001</v>
      </c>
      <c r="P4255" s="12">
        <v>1</v>
      </c>
      <c r="Q4255" s="12">
        <v>1</v>
      </c>
      <c r="R4255" s="12">
        <v>1</v>
      </c>
    </row>
    <row r="4256" spans="1:18" ht="17" customHeight="1" x14ac:dyDescent="0.15">
      <c r="A4256" s="8" t="s">
        <v>22971</v>
      </c>
      <c r="B4256" s="9" t="s">
        <v>22972</v>
      </c>
      <c r="C4256" s="8" t="s">
        <v>22973</v>
      </c>
      <c r="D4256" s="8" t="s">
        <v>22973</v>
      </c>
      <c r="E4256" s="8" t="s">
        <v>22974</v>
      </c>
      <c r="F4256" s="8" t="s">
        <v>22807</v>
      </c>
      <c r="G4256" s="8" t="s">
        <v>22975</v>
      </c>
      <c r="H4256" s="8" t="s">
        <v>22902</v>
      </c>
      <c r="I4256" s="8" t="str">
        <f>HYPERLINK("http://www.lechapeauforli.it/","www.lechapeauforli.it")</f>
        <v>www.lechapeauforli.it</v>
      </c>
      <c r="J4256" s="10">
        <v>413.58699999999999</v>
      </c>
      <c r="K4256" s="10">
        <v>413.58699999999999</v>
      </c>
      <c r="L4256" s="10">
        <v>231.90100000000001</v>
      </c>
      <c r="M4256" s="10">
        <v>24.974</v>
      </c>
      <c r="N4256" s="10">
        <v>24.974</v>
      </c>
      <c r="O4256" s="10">
        <v>-18.815999999999999</v>
      </c>
      <c r="P4256" s="10">
        <v>3</v>
      </c>
      <c r="Q4256" s="10">
        <v>3</v>
      </c>
      <c r="R4256" s="10">
        <v>3</v>
      </c>
    </row>
    <row r="4257" spans="1:18" ht="17" customHeight="1" x14ac:dyDescent="0.15">
      <c r="A4257" s="11" t="s">
        <v>22976</v>
      </c>
      <c r="B4257" s="1" t="s">
        <v>22977</v>
      </c>
      <c r="C4257" s="11" t="s">
        <v>22978</v>
      </c>
      <c r="D4257" s="11" t="s">
        <v>22978</v>
      </c>
      <c r="E4257" s="11" t="s">
        <v>22979</v>
      </c>
      <c r="F4257" s="11" t="s">
        <v>22980</v>
      </c>
      <c r="G4257" s="11" t="s">
        <v>22981</v>
      </c>
      <c r="H4257" s="11" t="s">
        <v>22982</v>
      </c>
      <c r="I4257" s="11" t="str">
        <f>HYPERLINK("http://theamafordance.it/","theamafordance.it")</f>
        <v>theamafordance.it</v>
      </c>
      <c r="J4257" s="12">
        <v>277.065</v>
      </c>
      <c r="K4257" s="12">
        <v>277.065</v>
      </c>
      <c r="L4257" s="13">
        <v>231.786</v>
      </c>
      <c r="M4257" s="12">
        <v>-2.0190000000000001</v>
      </c>
      <c r="N4257" s="12">
        <v>-2.0190000000000001</v>
      </c>
      <c r="O4257" s="12">
        <v>-22.648</v>
      </c>
      <c r="P4257" s="12">
        <v>12</v>
      </c>
      <c r="Q4257" s="12">
        <v>12</v>
      </c>
      <c r="R4257" s="12">
        <v>7</v>
      </c>
    </row>
    <row r="4258" spans="1:18" ht="17" customHeight="1" x14ac:dyDescent="0.15">
      <c r="A4258" s="8" t="s">
        <v>22983</v>
      </c>
      <c r="B4258" s="9" t="s">
        <v>22984</v>
      </c>
      <c r="C4258" s="8" t="s">
        <v>22985</v>
      </c>
      <c r="D4258" s="8" t="s">
        <v>22985</v>
      </c>
      <c r="E4258" s="8" t="s">
        <v>22986</v>
      </c>
      <c r="F4258" s="8" t="s">
        <v>22987</v>
      </c>
      <c r="G4258" s="8" t="s">
        <v>22988</v>
      </c>
      <c r="H4258" s="8" t="s">
        <v>22989</v>
      </c>
      <c r="I4258" s="8" t="str">
        <f>HYPERLINK("http://www.tulipanointimo.it/","www.tulipanointimo.it")</f>
        <v>www.tulipanointimo.it</v>
      </c>
      <c r="J4258" s="10">
        <v>169.97800000000001</v>
      </c>
      <c r="K4258" s="10">
        <v>169.97800000000001</v>
      </c>
      <c r="L4258" s="10">
        <v>231.279</v>
      </c>
      <c r="M4258" s="10">
        <v>16.256</v>
      </c>
      <c r="N4258" s="10">
        <v>16.256</v>
      </c>
      <c r="O4258" s="10">
        <v>15.635999999999999</v>
      </c>
      <c r="P4258" s="10">
        <v>3</v>
      </c>
      <c r="Q4258" s="10">
        <v>3</v>
      </c>
      <c r="R4258" s="10">
        <v>4</v>
      </c>
    </row>
    <row r="4259" spans="1:18" ht="17" customHeight="1" x14ac:dyDescent="0.15">
      <c r="A4259" s="11" t="s">
        <v>22990</v>
      </c>
      <c r="B4259" s="1" t="s">
        <v>22991</v>
      </c>
      <c r="C4259" s="11" t="s">
        <v>22992</v>
      </c>
      <c r="D4259" s="11" t="s">
        <v>22992</v>
      </c>
      <c r="E4259" s="11" t="s">
        <v>22993</v>
      </c>
      <c r="F4259" s="11" t="s">
        <v>22994</v>
      </c>
      <c r="G4259" s="11" t="s">
        <v>22995</v>
      </c>
      <c r="H4259" s="11" t="s">
        <v>22996</v>
      </c>
      <c r="I4259" s="11" t="str">
        <f>HYPERLINK("http://www.duein.it/","www.duein.it")</f>
        <v>www.duein.it</v>
      </c>
      <c r="J4259" s="12">
        <v>196.04900000000001</v>
      </c>
      <c r="K4259" s="12">
        <v>196.04900000000001</v>
      </c>
      <c r="L4259" s="13">
        <v>230.83799999999999</v>
      </c>
      <c r="M4259" s="12">
        <v>-59.536999999999999</v>
      </c>
      <c r="N4259" s="12">
        <v>-59.536999999999999</v>
      </c>
      <c r="O4259" s="12">
        <v>-29.120999999999999</v>
      </c>
      <c r="P4259" s="12">
        <v>7</v>
      </c>
      <c r="Q4259" s="12">
        <v>7</v>
      </c>
      <c r="R4259" s="12">
        <v>3</v>
      </c>
    </row>
    <row r="4260" spans="1:18" ht="17" customHeight="1" x14ac:dyDescent="0.15">
      <c r="A4260" s="8" t="s">
        <v>22997</v>
      </c>
      <c r="B4260" s="9" t="s">
        <v>22998</v>
      </c>
      <c r="C4260" s="8" t="s">
        <v>22999</v>
      </c>
      <c r="D4260" s="8" t="s">
        <v>22999</v>
      </c>
      <c r="E4260" s="8" t="s">
        <v>23000</v>
      </c>
      <c r="F4260" s="8" t="s">
        <v>23001</v>
      </c>
      <c r="G4260" s="8" t="s">
        <v>23002</v>
      </c>
      <c r="H4260" s="8" t="s">
        <v>23003</v>
      </c>
      <c r="I4260" s="8" t="str">
        <f>HYPERLINK("http://www.descal.it/","www.descal.it")</f>
        <v>www.descal.it</v>
      </c>
      <c r="J4260" s="10">
        <v>235</v>
      </c>
      <c r="K4260" s="10">
        <v>235</v>
      </c>
      <c r="L4260" s="10">
        <v>230.68700000000001</v>
      </c>
      <c r="M4260" s="10">
        <v>31.725999999999999</v>
      </c>
      <c r="N4260" s="10">
        <v>31.725999999999999</v>
      </c>
      <c r="O4260" s="10">
        <v>25.343</v>
      </c>
      <c r="P4260" s="10">
        <v>2</v>
      </c>
      <c r="Q4260" s="10">
        <v>2</v>
      </c>
      <c r="R4260" s="10">
        <v>2</v>
      </c>
    </row>
    <row r="4261" spans="1:18" ht="17" customHeight="1" x14ac:dyDescent="0.15">
      <c r="A4261" s="11" t="s">
        <v>23004</v>
      </c>
      <c r="B4261" s="1" t="s">
        <v>23005</v>
      </c>
      <c r="C4261" s="11" t="s">
        <v>23006</v>
      </c>
      <c r="D4261" s="11" t="s">
        <v>23006</v>
      </c>
      <c r="E4261" s="11" t="s">
        <v>23007</v>
      </c>
      <c r="F4261" s="11" t="s">
        <v>23008</v>
      </c>
      <c r="G4261" s="11" t="s">
        <v>23009</v>
      </c>
      <c r="H4261" s="11" t="s">
        <v>22982</v>
      </c>
      <c r="I4261" s="11" t="str">
        <f>HYPERLINK("http://www.castellanasrl.com/","www.castellanasrl.com")</f>
        <v>www.castellanasrl.com</v>
      </c>
      <c r="J4261" s="12">
        <v>261.57299999999998</v>
      </c>
      <c r="K4261" s="12">
        <v>261.57299999999998</v>
      </c>
      <c r="L4261" s="13">
        <v>229.13499999999999</v>
      </c>
      <c r="M4261" s="12">
        <v>4.2560000000000002</v>
      </c>
      <c r="N4261" s="12">
        <v>4.2560000000000002</v>
      </c>
      <c r="O4261" s="12">
        <v>8.1750000000000007</v>
      </c>
      <c r="P4261" s="12">
        <v>7</v>
      </c>
      <c r="Q4261" s="12">
        <v>7</v>
      </c>
      <c r="R4261" s="12">
        <v>6</v>
      </c>
    </row>
    <row r="4262" spans="1:18" ht="17" customHeight="1" x14ac:dyDescent="0.15">
      <c r="A4262" s="8" t="s">
        <v>23010</v>
      </c>
      <c r="B4262" s="9" t="s">
        <v>23011</v>
      </c>
      <c r="C4262" s="8" t="s">
        <v>23012</v>
      </c>
      <c r="D4262" s="8" t="s">
        <v>23012</v>
      </c>
      <c r="E4262" s="8" t="s">
        <v>23013</v>
      </c>
      <c r="F4262" s="8" t="s">
        <v>23014</v>
      </c>
      <c r="G4262" s="8" t="s">
        <v>23015</v>
      </c>
      <c r="H4262" s="8" t="s">
        <v>23016</v>
      </c>
      <c r="I4262" s="8" t="str">
        <f>HYPERLINK("http://www.ilpuntomoda.it/","www.ilpuntomoda.it")</f>
        <v>www.ilpuntomoda.it</v>
      </c>
      <c r="J4262" s="10">
        <v>213.99799999999999</v>
      </c>
      <c r="K4262" s="10">
        <v>213.99799999999999</v>
      </c>
      <c r="L4262" s="10">
        <v>229.02199999999999</v>
      </c>
      <c r="M4262" s="10">
        <v>5.1929999999999996</v>
      </c>
      <c r="N4262" s="10">
        <v>5.1929999999999996</v>
      </c>
      <c r="O4262" s="10">
        <v>10.502000000000001</v>
      </c>
      <c r="P4262" s="10">
        <v>1</v>
      </c>
      <c r="Q4262" s="10">
        <v>1</v>
      </c>
      <c r="R4262" s="10">
        <v>1</v>
      </c>
    </row>
    <row r="4263" spans="1:18" ht="17" customHeight="1" x14ac:dyDescent="0.15">
      <c r="A4263" s="11" t="s">
        <v>23017</v>
      </c>
      <c r="B4263" s="1" t="s">
        <v>23018</v>
      </c>
      <c r="C4263" s="11" t="s">
        <v>23019</v>
      </c>
      <c r="D4263" s="11" t="s">
        <v>23019</v>
      </c>
      <c r="E4263" s="11" t="s">
        <v>23020</v>
      </c>
      <c r="F4263" s="11" t="s">
        <v>23008</v>
      </c>
      <c r="G4263" s="11" t="s">
        <v>23021</v>
      </c>
      <c r="H4263" s="11" t="s">
        <v>23003</v>
      </c>
      <c r="I4263" s="11" t="str">
        <f>HYPERLINK("http://www.engelman.it/","www.engelman.it")</f>
        <v>www.engelman.it</v>
      </c>
      <c r="J4263" s="12">
        <v>224.827</v>
      </c>
      <c r="K4263" s="12">
        <v>224.827</v>
      </c>
      <c r="L4263" s="13">
        <v>228.79400000000001</v>
      </c>
      <c r="M4263" s="12">
        <v>10.406000000000001</v>
      </c>
      <c r="N4263" s="12">
        <v>10.406000000000001</v>
      </c>
      <c r="O4263" s="12">
        <v>1.9890000000000001</v>
      </c>
      <c r="P4263" s="12">
        <v>0</v>
      </c>
      <c r="Q4263" s="12">
        <v>0</v>
      </c>
      <c r="R4263" s="12">
        <v>0</v>
      </c>
    </row>
    <row r="4264" spans="1:18" ht="17" customHeight="1" x14ac:dyDescent="0.15">
      <c r="A4264" s="8" t="s">
        <v>23022</v>
      </c>
      <c r="B4264" s="9" t="s">
        <v>23023</v>
      </c>
      <c r="C4264" s="8" t="s">
        <v>23024</v>
      </c>
      <c r="D4264" s="8" t="s">
        <v>23024</v>
      </c>
      <c r="E4264" s="8" t="s">
        <v>23025</v>
      </c>
      <c r="F4264" s="8" t="s">
        <v>23014</v>
      </c>
      <c r="G4264" s="8" t="s">
        <v>23026</v>
      </c>
      <c r="H4264" s="8" t="s">
        <v>22989</v>
      </c>
      <c r="I4264" s="8" t="str">
        <f>HYPERLINK("http://coccoledimamma.it/","coccoledimamma.it")</f>
        <v>coccoledimamma.it</v>
      </c>
      <c r="J4264" s="10">
        <v>237.624</v>
      </c>
      <c r="K4264" s="10">
        <v>237.624</v>
      </c>
      <c r="L4264" s="10">
        <v>228.50200000000001</v>
      </c>
      <c r="M4264" s="10">
        <v>31.526</v>
      </c>
      <c r="N4264" s="10">
        <v>31.526</v>
      </c>
      <c r="O4264" s="10">
        <v>11.967000000000001</v>
      </c>
      <c r="P4264" s="10">
        <v>1</v>
      </c>
      <c r="Q4264" s="10">
        <v>1</v>
      </c>
      <c r="R4264" s="10">
        <v>2</v>
      </c>
    </row>
    <row r="4265" spans="1:18" ht="29.5" customHeight="1" x14ac:dyDescent="0.15">
      <c r="A4265" s="11" t="s">
        <v>23027</v>
      </c>
      <c r="B4265" s="1" t="s">
        <v>23028</v>
      </c>
      <c r="C4265" s="11" t="s">
        <v>23029</v>
      </c>
      <c r="D4265" s="11" t="s">
        <v>23029</v>
      </c>
      <c r="E4265" s="11" t="s">
        <v>23030</v>
      </c>
      <c r="F4265" s="11" t="s">
        <v>22994</v>
      </c>
      <c r="G4265" s="11" t="s">
        <v>23002</v>
      </c>
      <c r="H4265" s="11" t="s">
        <v>23003</v>
      </c>
      <c r="I4265" s="11" t="str">
        <f>HYPERLINK("http://www.hexismilano.it/","www.hexismilano.it")</f>
        <v>www.hexismilano.it</v>
      </c>
      <c r="J4265" s="12">
        <v>215.57400000000001</v>
      </c>
      <c r="K4265" s="12">
        <v>215.57400000000001</v>
      </c>
      <c r="L4265" s="13">
        <v>228.08099999999999</v>
      </c>
      <c r="M4265" s="12">
        <v>-23.338000000000001</v>
      </c>
      <c r="N4265" s="12">
        <v>-23.338000000000001</v>
      </c>
      <c r="O4265" s="12">
        <v>-35.036000000000001</v>
      </c>
      <c r="P4265" s="14" t="s">
        <v>23031</v>
      </c>
      <c r="Q4265" s="14" t="s">
        <v>23031</v>
      </c>
      <c r="R4265" s="14" t="s">
        <v>23031</v>
      </c>
    </row>
    <row r="4266" spans="1:18" ht="17" customHeight="1" x14ac:dyDescent="0.15">
      <c r="A4266" s="8" t="s">
        <v>23032</v>
      </c>
      <c r="B4266" s="9" t="s">
        <v>23033</v>
      </c>
      <c r="C4266" s="8" t="s">
        <v>23034</v>
      </c>
      <c r="D4266" s="8" t="s">
        <v>23034</v>
      </c>
      <c r="E4266" s="8" t="s">
        <v>23035</v>
      </c>
      <c r="F4266" s="8" t="s">
        <v>23036</v>
      </c>
      <c r="G4266" s="8" t="s">
        <v>23037</v>
      </c>
      <c r="H4266" s="8" t="s">
        <v>22989</v>
      </c>
      <c r="I4266" s="8" t="str">
        <f>HYPERLINK("http://www.stylgrand.com/","www.stylgrand.com")</f>
        <v>www.stylgrand.com</v>
      </c>
      <c r="J4266" s="10">
        <v>174.26900000000001</v>
      </c>
      <c r="K4266" s="10">
        <v>210.6</v>
      </c>
      <c r="L4266" s="10">
        <v>227.31200000000001</v>
      </c>
      <c r="M4266" s="10">
        <v>-336.59699999999998</v>
      </c>
      <c r="N4266" s="10">
        <v>-157.30600000000001</v>
      </c>
      <c r="O4266" s="10">
        <v>-138.43899999999999</v>
      </c>
      <c r="P4266" s="10">
        <v>0</v>
      </c>
      <c r="Q4266" s="10">
        <v>0</v>
      </c>
      <c r="R4266" s="10">
        <v>0</v>
      </c>
    </row>
    <row r="4267" spans="1:18" ht="17" customHeight="1" x14ac:dyDescent="0.15">
      <c r="A4267" s="11" t="s">
        <v>23038</v>
      </c>
      <c r="B4267" s="1" t="s">
        <v>23039</v>
      </c>
      <c r="C4267" s="11" t="s">
        <v>23040</v>
      </c>
      <c r="D4267" s="11" t="s">
        <v>23040</v>
      </c>
      <c r="E4267" s="11" t="s">
        <v>23041</v>
      </c>
      <c r="F4267" s="11" t="s">
        <v>23042</v>
      </c>
      <c r="G4267" s="11" t="s">
        <v>23021</v>
      </c>
      <c r="H4267" s="11" t="s">
        <v>23003</v>
      </c>
      <c r="I4267" s="11" t="str">
        <f>HYPERLINK("http://www.duepalme.com/","www.duepalme.com")</f>
        <v>www.duepalme.com</v>
      </c>
      <c r="J4267" s="12">
        <v>398.00099999999998</v>
      </c>
      <c r="K4267" s="12">
        <v>398.00099999999998</v>
      </c>
      <c r="L4267" s="13">
        <v>226.86799999999999</v>
      </c>
      <c r="M4267" s="12">
        <v>23.260999999999999</v>
      </c>
      <c r="N4267" s="12">
        <v>23.260999999999999</v>
      </c>
      <c r="O4267" s="12">
        <v>16.881</v>
      </c>
      <c r="P4267" s="12">
        <v>0</v>
      </c>
      <c r="Q4267" s="12">
        <v>0</v>
      </c>
      <c r="R4267" s="12">
        <v>0</v>
      </c>
    </row>
    <row r="4268" spans="1:18" ht="17" customHeight="1" x14ac:dyDescent="0.15">
      <c r="A4268" s="8" t="s">
        <v>23043</v>
      </c>
      <c r="B4268" s="9" t="s">
        <v>23044</v>
      </c>
      <c r="C4268" s="8" t="s">
        <v>23045</v>
      </c>
      <c r="D4268" s="8" t="s">
        <v>23045</v>
      </c>
      <c r="E4268" s="8" t="s">
        <v>23046</v>
      </c>
      <c r="F4268" s="8" t="s">
        <v>22987</v>
      </c>
      <c r="G4268" s="8" t="s">
        <v>22995</v>
      </c>
      <c r="H4268" s="8" t="s">
        <v>22996</v>
      </c>
      <c r="I4268" s="8" t="str">
        <f>HYPERLINK("http://www.infinityintimo.it/","www.infinityintimo.it")</f>
        <v>www.infinityintimo.it</v>
      </c>
      <c r="J4268" s="10">
        <v>226.69200000000001</v>
      </c>
      <c r="K4268" s="15" t="s">
        <v>23031</v>
      </c>
      <c r="L4268" s="10">
        <v>226.69200000000001</v>
      </c>
      <c r="M4268" s="10">
        <v>5.0679999999999996</v>
      </c>
      <c r="N4268" s="15" t="s">
        <v>23031</v>
      </c>
      <c r="O4268" s="10">
        <v>5.0679999999999996</v>
      </c>
      <c r="P4268" s="15" t="s">
        <v>23031</v>
      </c>
      <c r="Q4268" s="15" t="s">
        <v>23031</v>
      </c>
      <c r="R4268" s="15" t="s">
        <v>23031</v>
      </c>
    </row>
    <row r="4269" spans="1:18" ht="29.5" customHeight="1" x14ac:dyDescent="0.15">
      <c r="A4269" s="11" t="s">
        <v>23047</v>
      </c>
      <c r="B4269" s="1" t="s">
        <v>23048</v>
      </c>
      <c r="C4269" s="11" t="s">
        <v>23049</v>
      </c>
      <c r="D4269" s="11" t="s">
        <v>23049</v>
      </c>
      <c r="E4269" s="11" t="s">
        <v>23050</v>
      </c>
      <c r="F4269" s="11" t="s">
        <v>23036</v>
      </c>
      <c r="G4269" s="11" t="s">
        <v>23051</v>
      </c>
      <c r="H4269" s="11" t="s">
        <v>23052</v>
      </c>
      <c r="I4269" s="11" t="str">
        <f>HYPERLINK("http://www.calzaturificiopratika.it/","www.calzaturificiopratika.it")</f>
        <v>www.calzaturificiopratika.it</v>
      </c>
      <c r="J4269" s="12">
        <v>203.25200000000001</v>
      </c>
      <c r="K4269" s="12">
        <v>203.25200000000001</v>
      </c>
      <c r="L4269" s="13">
        <v>226.1</v>
      </c>
      <c r="M4269" s="12">
        <v>1.03</v>
      </c>
      <c r="N4269" s="12">
        <v>1.03</v>
      </c>
      <c r="O4269" s="12">
        <v>-6.2309999999999999</v>
      </c>
      <c r="P4269" s="12">
        <v>3</v>
      </c>
      <c r="Q4269" s="12">
        <v>3</v>
      </c>
      <c r="R4269" s="12">
        <v>5</v>
      </c>
    </row>
    <row r="4270" spans="1:18" ht="17" customHeight="1" x14ac:dyDescent="0.15">
      <c r="A4270" s="8" t="s">
        <v>23053</v>
      </c>
      <c r="B4270" s="9" t="s">
        <v>23054</v>
      </c>
      <c r="C4270" s="8" t="s">
        <v>23055</v>
      </c>
      <c r="D4270" s="8" t="s">
        <v>23055</v>
      </c>
      <c r="E4270" s="8" t="s">
        <v>23056</v>
      </c>
      <c r="F4270" s="8" t="s">
        <v>22980</v>
      </c>
      <c r="G4270" s="8" t="s">
        <v>23057</v>
      </c>
      <c r="H4270" s="8" t="s">
        <v>22996</v>
      </c>
      <c r="I4270" s="8" t="str">
        <f>HYPERLINK("http://palazzo1991.it/","palazzo1991.it")</f>
        <v>palazzo1991.it</v>
      </c>
      <c r="J4270" s="10">
        <v>1184.43</v>
      </c>
      <c r="K4270" s="10">
        <v>1184.43</v>
      </c>
      <c r="L4270" s="10">
        <v>225.78</v>
      </c>
      <c r="M4270" s="10">
        <v>74.013999999999996</v>
      </c>
      <c r="N4270" s="10">
        <v>74.013999999999996</v>
      </c>
      <c r="O4270" s="10">
        <v>3.0760000000000001</v>
      </c>
      <c r="P4270" s="10">
        <v>0</v>
      </c>
      <c r="Q4270" s="10">
        <v>0</v>
      </c>
      <c r="R4270" s="10">
        <v>0</v>
      </c>
    </row>
    <row r="4271" spans="1:18" ht="17" customHeight="1" x14ac:dyDescent="0.15">
      <c r="A4271" s="11" t="s">
        <v>23058</v>
      </c>
      <c r="B4271" s="1" t="s">
        <v>23059</v>
      </c>
      <c r="C4271" s="11" t="s">
        <v>23060</v>
      </c>
      <c r="D4271" s="11" t="s">
        <v>23060</v>
      </c>
      <c r="E4271" s="11" t="s">
        <v>23061</v>
      </c>
      <c r="F4271" s="11" t="s">
        <v>23062</v>
      </c>
      <c r="G4271" s="11" t="s">
        <v>22988</v>
      </c>
      <c r="H4271" s="11" t="s">
        <v>22989</v>
      </c>
      <c r="I4271" s="11" t="str">
        <f>HYPERLINK("http://www.veronarunner.it/","www.veronarunner.it")</f>
        <v>www.veronarunner.it</v>
      </c>
      <c r="J4271" s="12">
        <v>160.917</v>
      </c>
      <c r="K4271" s="12">
        <v>160.917</v>
      </c>
      <c r="L4271" s="13">
        <v>224.94499999999999</v>
      </c>
      <c r="M4271" s="12">
        <v>4.0590000000000002</v>
      </c>
      <c r="N4271" s="12">
        <v>4.0590000000000002</v>
      </c>
      <c r="O4271" s="12">
        <v>5.3040000000000003</v>
      </c>
      <c r="P4271" s="14" t="s">
        <v>23031</v>
      </c>
      <c r="Q4271" s="14" t="s">
        <v>23031</v>
      </c>
      <c r="R4271" s="14" t="s">
        <v>23031</v>
      </c>
    </row>
    <row r="4272" spans="1:18" ht="17" customHeight="1" x14ac:dyDescent="0.15">
      <c r="A4272" s="8" t="s">
        <v>23063</v>
      </c>
      <c r="B4272" s="9" t="s">
        <v>23064</v>
      </c>
      <c r="C4272" s="8" t="s">
        <v>23065</v>
      </c>
      <c r="D4272" s="8" t="s">
        <v>23065</v>
      </c>
      <c r="E4272" s="8" t="s">
        <v>23066</v>
      </c>
      <c r="F4272" s="8" t="s">
        <v>23067</v>
      </c>
      <c r="G4272" s="8" t="s">
        <v>23068</v>
      </c>
      <c r="H4272" s="8" t="s">
        <v>23069</v>
      </c>
      <c r="I4272" s="8" t="str">
        <f>HYPERLINK("http://www.ddties.it/","www.ddties.it")</f>
        <v>www.ddties.it</v>
      </c>
      <c r="J4272" s="10">
        <v>300.32499999999999</v>
      </c>
      <c r="K4272" s="10">
        <v>300.32499999999999</v>
      </c>
      <c r="L4272" s="10">
        <v>223.76499999999999</v>
      </c>
      <c r="M4272" s="10">
        <v>-14.590999999999999</v>
      </c>
      <c r="N4272" s="10">
        <v>-14.590999999999999</v>
      </c>
      <c r="O4272" s="10">
        <v>5.7389999999999999</v>
      </c>
      <c r="P4272" s="10">
        <v>6</v>
      </c>
      <c r="Q4272" s="10">
        <v>6</v>
      </c>
      <c r="R4272" s="10">
        <v>10</v>
      </c>
    </row>
    <row r="4273" spans="1:18" ht="17" customHeight="1" x14ac:dyDescent="0.15">
      <c r="A4273" s="11" t="s">
        <v>23070</v>
      </c>
      <c r="B4273" s="1" t="s">
        <v>23071</v>
      </c>
      <c r="C4273" s="11" t="s">
        <v>23072</v>
      </c>
      <c r="D4273" s="11" t="s">
        <v>23072</v>
      </c>
      <c r="E4273" s="11" t="s">
        <v>23073</v>
      </c>
      <c r="F4273" s="11" t="s">
        <v>23067</v>
      </c>
      <c r="G4273" s="11" t="s">
        <v>23074</v>
      </c>
      <c r="H4273" s="11" t="s">
        <v>23003</v>
      </c>
      <c r="I4273" s="11" t="str">
        <f>HYPERLINK("http://www.ltateam.com/","www.ltateam.com")</f>
        <v>www.ltateam.com</v>
      </c>
      <c r="J4273" s="12">
        <v>223.511</v>
      </c>
      <c r="K4273" s="14" t="s">
        <v>23031</v>
      </c>
      <c r="L4273" s="13">
        <v>223.511</v>
      </c>
      <c r="M4273" s="12">
        <v>5.16</v>
      </c>
      <c r="N4273" s="14" t="s">
        <v>23031</v>
      </c>
      <c r="O4273" s="12">
        <v>5.16</v>
      </c>
      <c r="P4273" s="12">
        <v>1</v>
      </c>
      <c r="Q4273" s="14" t="s">
        <v>23031</v>
      </c>
      <c r="R4273" s="12">
        <v>1</v>
      </c>
    </row>
    <row r="4274" spans="1:18" ht="17" customHeight="1" x14ac:dyDescent="0.15">
      <c r="A4274" s="8" t="s">
        <v>23075</v>
      </c>
      <c r="B4274" s="9" t="s">
        <v>23076</v>
      </c>
      <c r="C4274" s="8" t="s">
        <v>23077</v>
      </c>
      <c r="D4274" s="8" t="s">
        <v>23077</v>
      </c>
      <c r="E4274" s="8" t="s">
        <v>23078</v>
      </c>
      <c r="F4274" s="8" t="s">
        <v>23036</v>
      </c>
      <c r="G4274" s="8" t="s">
        <v>23079</v>
      </c>
      <c r="H4274" s="8" t="s">
        <v>22989</v>
      </c>
      <c r="I4274" s="8" t="str">
        <f>HYPERLINK("http://www.ojour.it/","www.ojour.it")</f>
        <v>www.ojour.it</v>
      </c>
      <c r="J4274" s="10">
        <v>20.3</v>
      </c>
      <c r="K4274" s="10">
        <v>20.3</v>
      </c>
      <c r="L4274" s="10">
        <v>222.68899999999999</v>
      </c>
      <c r="M4274" s="10">
        <v>-64.054000000000002</v>
      </c>
      <c r="N4274" s="10">
        <v>-64.054000000000002</v>
      </c>
      <c r="O4274" s="10">
        <v>96.734999999999999</v>
      </c>
      <c r="P4274" s="10">
        <v>1</v>
      </c>
      <c r="Q4274" s="10">
        <v>1</v>
      </c>
      <c r="R4274" s="10">
        <v>0</v>
      </c>
    </row>
    <row r="4275" spans="1:18" ht="29.5" customHeight="1" x14ac:dyDescent="0.15">
      <c r="A4275" s="11" t="s">
        <v>23080</v>
      </c>
      <c r="B4275" s="1" t="s">
        <v>23081</v>
      </c>
      <c r="C4275" s="11" t="s">
        <v>23082</v>
      </c>
      <c r="D4275" s="11" t="s">
        <v>23082</v>
      </c>
      <c r="E4275" s="11" t="s">
        <v>23083</v>
      </c>
      <c r="F4275" s="11" t="s">
        <v>22987</v>
      </c>
      <c r="G4275" s="11" t="s">
        <v>23015</v>
      </c>
      <c r="H4275" s="11" t="s">
        <v>23016</v>
      </c>
      <c r="I4275" s="11" t="str">
        <f>HYPERLINK("http://www.flaviapadovan.com/","www.flaviapadovan.com")</f>
        <v>www.flaviapadovan.com</v>
      </c>
      <c r="J4275" s="12">
        <v>189.55500000000001</v>
      </c>
      <c r="K4275" s="12">
        <v>189.55500000000001</v>
      </c>
      <c r="L4275" s="13">
        <v>222.40700000000001</v>
      </c>
      <c r="M4275" s="12">
        <v>-21.193999999999999</v>
      </c>
      <c r="N4275" s="12">
        <v>-21.193999999999999</v>
      </c>
      <c r="O4275" s="12">
        <v>7.3369999999999997</v>
      </c>
      <c r="P4275" s="12">
        <v>1</v>
      </c>
      <c r="Q4275" s="12">
        <v>1</v>
      </c>
      <c r="R4275" s="12">
        <v>2</v>
      </c>
    </row>
    <row r="4276" spans="1:18" ht="29.5" customHeight="1" x14ac:dyDescent="0.15">
      <c r="A4276" s="8" t="s">
        <v>23084</v>
      </c>
      <c r="B4276" s="9" t="s">
        <v>23085</v>
      </c>
      <c r="C4276" s="8" t="s">
        <v>23086</v>
      </c>
      <c r="D4276" s="8" t="s">
        <v>23086</v>
      </c>
      <c r="E4276" s="8" t="s">
        <v>23087</v>
      </c>
      <c r="F4276" s="8" t="s">
        <v>23088</v>
      </c>
      <c r="G4276" s="8" t="s">
        <v>23089</v>
      </c>
      <c r="H4276" s="8" t="s">
        <v>23090</v>
      </c>
      <c r="I4276" s="8" t="str">
        <f>HYPERLINK("http://www.etnomarca.com/","www.etnomarca.com")</f>
        <v>www.etnomarca.com</v>
      </c>
      <c r="J4276" s="10">
        <v>238.44900000000001</v>
      </c>
      <c r="K4276" s="10">
        <v>238.44900000000001</v>
      </c>
      <c r="L4276" s="10">
        <v>222.333</v>
      </c>
      <c r="M4276" s="10">
        <v>20.117000000000001</v>
      </c>
      <c r="N4276" s="10">
        <v>20.117000000000001</v>
      </c>
      <c r="O4276" s="10">
        <v>-5.1639999999999997</v>
      </c>
      <c r="P4276" s="10">
        <v>6</v>
      </c>
      <c r="Q4276" s="10">
        <v>6</v>
      </c>
      <c r="R4276" s="10">
        <v>7</v>
      </c>
    </row>
    <row r="4277" spans="1:18" ht="29.5" customHeight="1" x14ac:dyDescent="0.15">
      <c r="A4277" s="11" t="s">
        <v>23091</v>
      </c>
      <c r="B4277" s="1" t="s">
        <v>23092</v>
      </c>
      <c r="C4277" s="11" t="s">
        <v>23093</v>
      </c>
      <c r="D4277" s="11" t="s">
        <v>23093</v>
      </c>
      <c r="E4277" s="11" t="s">
        <v>23094</v>
      </c>
      <c r="F4277" s="11" t="s">
        <v>23067</v>
      </c>
      <c r="G4277" s="11" t="s">
        <v>23095</v>
      </c>
      <c r="H4277" s="11" t="s">
        <v>23096</v>
      </c>
      <c r="I4277" s="11" t="str">
        <f>HYPERLINK("http://www.amcrio.it/","www.amcrio.it")</f>
        <v>www.amcrio.it</v>
      </c>
      <c r="J4277" s="12">
        <v>249.184</v>
      </c>
      <c r="K4277" s="12">
        <v>249.184</v>
      </c>
      <c r="L4277" s="13">
        <v>222.21199999999999</v>
      </c>
      <c r="M4277" s="12">
        <v>7.7110000000000003</v>
      </c>
      <c r="N4277" s="12">
        <v>7.7110000000000003</v>
      </c>
      <c r="O4277" s="12">
        <v>37.994999999999997</v>
      </c>
      <c r="P4277" s="12">
        <v>4</v>
      </c>
      <c r="Q4277" s="12">
        <v>4</v>
      </c>
      <c r="R4277" s="12">
        <v>4</v>
      </c>
    </row>
    <row r="4278" spans="1:18" ht="17" customHeight="1" x14ac:dyDescent="0.15">
      <c r="A4278" s="8" t="s">
        <v>23097</v>
      </c>
      <c r="B4278" s="9" t="s">
        <v>23098</v>
      </c>
      <c r="C4278" s="8" t="s">
        <v>23099</v>
      </c>
      <c r="D4278" s="8" t="s">
        <v>23099</v>
      </c>
      <c r="E4278" s="8" t="s">
        <v>23100</v>
      </c>
      <c r="F4278" s="8" t="s">
        <v>23062</v>
      </c>
      <c r="G4278" s="8" t="s">
        <v>23101</v>
      </c>
      <c r="H4278" s="8" t="s">
        <v>23102</v>
      </c>
      <c r="I4278" s="8" t="str">
        <f>HYPERLINK("http://www.assistenzasub.it/","www.assistenzasub.it")</f>
        <v>www.assistenzasub.it</v>
      </c>
      <c r="J4278" s="10">
        <v>221.74799999999999</v>
      </c>
      <c r="K4278" s="10">
        <v>221.74799999999999</v>
      </c>
      <c r="L4278" s="10">
        <v>222.00700000000001</v>
      </c>
      <c r="M4278" s="10">
        <v>11.159000000000001</v>
      </c>
      <c r="N4278" s="10">
        <v>11.159000000000001</v>
      </c>
      <c r="O4278" s="10">
        <v>13.798999999999999</v>
      </c>
      <c r="P4278" s="10">
        <v>4</v>
      </c>
      <c r="Q4278" s="10">
        <v>4</v>
      </c>
      <c r="R4278" s="10">
        <v>4</v>
      </c>
    </row>
    <row r="4279" spans="1:18" ht="17" customHeight="1" x14ac:dyDescent="0.15">
      <c r="A4279" s="11" t="s">
        <v>23103</v>
      </c>
      <c r="B4279" s="1" t="s">
        <v>23104</v>
      </c>
      <c r="C4279" s="11" t="s">
        <v>23105</v>
      </c>
      <c r="D4279" s="11" t="s">
        <v>23106</v>
      </c>
      <c r="E4279" s="11" t="s">
        <v>23107</v>
      </c>
      <c r="F4279" s="11" t="s">
        <v>23014</v>
      </c>
      <c r="G4279" s="11" t="s">
        <v>23108</v>
      </c>
      <c r="H4279" s="11" t="s">
        <v>23096</v>
      </c>
      <c r="I4279" s="11" t="str">
        <f>HYPERLINK("http://www.musianimaglieria.it/","www.musianimaglieria.it")</f>
        <v>www.musianimaglieria.it</v>
      </c>
      <c r="J4279" s="12">
        <v>200.114</v>
      </c>
      <c r="K4279" s="12">
        <v>200.114</v>
      </c>
      <c r="L4279" s="13">
        <v>221.15700000000001</v>
      </c>
      <c r="M4279" s="12">
        <v>-11.182</v>
      </c>
      <c r="N4279" s="12">
        <v>-11.182</v>
      </c>
      <c r="O4279" s="12">
        <v>-2.4079999999999999</v>
      </c>
      <c r="P4279" s="14" t="s">
        <v>23031</v>
      </c>
      <c r="Q4279" s="14" t="s">
        <v>23031</v>
      </c>
      <c r="R4279" s="12">
        <v>4</v>
      </c>
    </row>
    <row r="4280" spans="1:18" ht="17" customHeight="1" x14ac:dyDescent="0.15">
      <c r="A4280" s="8" t="s">
        <v>23109</v>
      </c>
      <c r="B4280" s="9" t="s">
        <v>23110</v>
      </c>
      <c r="C4280" s="8" t="s">
        <v>23111</v>
      </c>
      <c r="D4280" s="8" t="s">
        <v>23111</v>
      </c>
      <c r="E4280" s="8" t="s">
        <v>23112</v>
      </c>
      <c r="F4280" s="8" t="s">
        <v>22994</v>
      </c>
      <c r="G4280" s="8" t="s">
        <v>23113</v>
      </c>
      <c r="H4280" s="8" t="s">
        <v>22996</v>
      </c>
      <c r="I4280" s="8" t="str">
        <f>HYPERLINK("http://www.francescaconoci.it/","www.francescaconoci.it")</f>
        <v>www.francescaconoci.it</v>
      </c>
      <c r="J4280" s="10">
        <v>142.084</v>
      </c>
      <c r="K4280" s="10">
        <v>142.084</v>
      </c>
      <c r="L4280" s="10">
        <v>220.25299999999999</v>
      </c>
      <c r="M4280" s="10">
        <v>6.1449999999999996</v>
      </c>
      <c r="N4280" s="10">
        <v>6.1449999999999996</v>
      </c>
      <c r="O4280" s="10">
        <v>7.6669999999999998</v>
      </c>
      <c r="P4280" s="15" t="s">
        <v>23031</v>
      </c>
      <c r="Q4280" s="15" t="s">
        <v>23031</v>
      </c>
      <c r="R4280" s="10">
        <v>2</v>
      </c>
    </row>
    <row r="4281" spans="1:18" ht="17" customHeight="1" x14ac:dyDescent="0.15">
      <c r="A4281" s="11" t="s">
        <v>23114</v>
      </c>
      <c r="B4281" s="1" t="s">
        <v>23115</v>
      </c>
      <c r="C4281" s="11" t="s">
        <v>23116</v>
      </c>
      <c r="D4281" s="11" t="s">
        <v>23116</v>
      </c>
      <c r="E4281" s="11" t="s">
        <v>23117</v>
      </c>
      <c r="F4281" s="11" t="s">
        <v>23088</v>
      </c>
      <c r="G4281" s="11" t="s">
        <v>23118</v>
      </c>
      <c r="H4281" s="11" t="s">
        <v>23102</v>
      </c>
      <c r="I4281" s="11" t="str">
        <f>HYPERLINK("http://www.simonebiagioni.com/","www.simonebiagioni.com")</f>
        <v>www.simonebiagioni.com</v>
      </c>
      <c r="J4281" s="12">
        <v>236.42599999999999</v>
      </c>
      <c r="K4281" s="12">
        <v>236.42599999999999</v>
      </c>
      <c r="L4281" s="13">
        <v>219.625</v>
      </c>
      <c r="M4281" s="12">
        <v>0.68</v>
      </c>
      <c r="N4281" s="12">
        <v>0.68</v>
      </c>
      <c r="O4281" s="12">
        <v>15.112</v>
      </c>
      <c r="P4281" s="14" t="s">
        <v>23031</v>
      </c>
      <c r="Q4281" s="14" t="s">
        <v>23031</v>
      </c>
      <c r="R4281" s="12">
        <v>0</v>
      </c>
    </row>
    <row r="4282" spans="1:18" ht="29.5" customHeight="1" x14ac:dyDescent="0.15">
      <c r="A4282" s="8" t="s">
        <v>23119</v>
      </c>
      <c r="B4282" s="9" t="s">
        <v>23120</v>
      </c>
      <c r="C4282" s="8" t="s">
        <v>23121</v>
      </c>
      <c r="D4282" s="8" t="s">
        <v>23121</v>
      </c>
      <c r="E4282" s="8" t="s">
        <v>23122</v>
      </c>
      <c r="F4282" s="8" t="s">
        <v>23123</v>
      </c>
      <c r="G4282" s="8" t="s">
        <v>23026</v>
      </c>
      <c r="H4282" s="8" t="s">
        <v>22989</v>
      </c>
      <c r="I4282" s="8" t="str">
        <f>HYPERLINK("http://www.zanconato.it/","www.zanconato.it")</f>
        <v>www.zanconato.it</v>
      </c>
      <c r="J4282" s="10">
        <v>286.685</v>
      </c>
      <c r="K4282" s="10">
        <v>286.685</v>
      </c>
      <c r="L4282" s="10">
        <v>219.197</v>
      </c>
      <c r="M4282" s="10">
        <v>-25.212</v>
      </c>
      <c r="N4282" s="10">
        <v>-25.212</v>
      </c>
      <c r="O4282" s="10">
        <v>-4.7229999999999999</v>
      </c>
      <c r="P4282" s="10">
        <v>2</v>
      </c>
      <c r="Q4282" s="10">
        <v>2</v>
      </c>
      <c r="R4282" s="10">
        <v>2</v>
      </c>
    </row>
    <row r="4283" spans="1:18" ht="17" customHeight="1" x14ac:dyDescent="0.15">
      <c r="A4283" s="11" t="s">
        <v>23124</v>
      </c>
      <c r="B4283" s="1" t="s">
        <v>23125</v>
      </c>
      <c r="C4283" s="11" t="s">
        <v>23126</v>
      </c>
      <c r="D4283" s="11" t="s">
        <v>23126</v>
      </c>
      <c r="E4283" s="11" t="s">
        <v>23127</v>
      </c>
      <c r="F4283" s="11" t="s">
        <v>23128</v>
      </c>
      <c r="G4283" s="11" t="s">
        <v>23002</v>
      </c>
      <c r="H4283" s="11" t="s">
        <v>23003</v>
      </c>
      <c r="I4283" s="11" t="str">
        <f>HYPERLINK("http://www.bauli.emilioscolari.it/","www.bauli.emilioscolari.it")</f>
        <v>www.bauli.emilioscolari.it</v>
      </c>
      <c r="J4283" s="12">
        <v>188.90199999999999</v>
      </c>
      <c r="K4283" s="12">
        <v>188.90199999999999</v>
      </c>
      <c r="L4283" s="13">
        <v>218.191</v>
      </c>
      <c r="M4283" s="12">
        <v>-2.94</v>
      </c>
      <c r="N4283" s="12">
        <v>-2.94</v>
      </c>
      <c r="O4283" s="12">
        <v>-15.005000000000001</v>
      </c>
      <c r="P4283" s="12">
        <v>1</v>
      </c>
      <c r="Q4283" s="12">
        <v>1</v>
      </c>
      <c r="R4283" s="12">
        <v>1</v>
      </c>
    </row>
    <row r="4284" spans="1:18" ht="17" customHeight="1" x14ac:dyDescent="0.15">
      <c r="A4284" s="8" t="s">
        <v>23129</v>
      </c>
      <c r="B4284" s="9" t="s">
        <v>23130</v>
      </c>
      <c r="C4284" s="8" t="s">
        <v>23131</v>
      </c>
      <c r="D4284" s="8" t="s">
        <v>23131</v>
      </c>
      <c r="E4284" s="8" t="s">
        <v>23132</v>
      </c>
      <c r="F4284" s="8" t="s">
        <v>23036</v>
      </c>
      <c r="G4284" s="8" t="s">
        <v>23037</v>
      </c>
      <c r="H4284" s="8" t="s">
        <v>22989</v>
      </c>
      <c r="I4284" s="8" t="str">
        <f>HYPERLINK("http://www.ventesimastrada.it/","www.ventesimastrada.it")</f>
        <v>www.ventesimastrada.it</v>
      </c>
      <c r="J4284" s="10">
        <v>116.833</v>
      </c>
      <c r="K4284" s="10">
        <v>116.833</v>
      </c>
      <c r="L4284" s="10">
        <v>217.23400000000001</v>
      </c>
      <c r="M4284" s="10">
        <v>-30.584</v>
      </c>
      <c r="N4284" s="10">
        <v>-30.584</v>
      </c>
      <c r="O4284" s="10">
        <v>10.209</v>
      </c>
      <c r="P4284" s="10">
        <v>4</v>
      </c>
      <c r="Q4284" s="10">
        <v>4</v>
      </c>
      <c r="R4284" s="10">
        <v>4</v>
      </c>
    </row>
    <row r="4285" spans="1:18" ht="29.5" customHeight="1" x14ac:dyDescent="0.15">
      <c r="A4285" s="11" t="s">
        <v>23133</v>
      </c>
      <c r="B4285" s="1" t="s">
        <v>23134</v>
      </c>
      <c r="C4285" s="11" t="s">
        <v>23135</v>
      </c>
      <c r="D4285" s="11" t="s">
        <v>23135</v>
      </c>
      <c r="E4285" s="11" t="s">
        <v>23136</v>
      </c>
      <c r="F4285" s="11" t="s">
        <v>23067</v>
      </c>
      <c r="G4285" s="11" t="s">
        <v>23137</v>
      </c>
      <c r="H4285" s="11" t="s">
        <v>23069</v>
      </c>
      <c r="I4285" s="11" t="str">
        <f>HYPERLINK("http://www.mygloves.it/","www.mygloves.it")</f>
        <v>www.mygloves.it</v>
      </c>
      <c r="J4285" s="12">
        <v>210.80699999999999</v>
      </c>
      <c r="K4285" s="12">
        <v>210.80699999999999</v>
      </c>
      <c r="L4285" s="13">
        <v>216.828</v>
      </c>
      <c r="M4285" s="12">
        <v>1.661</v>
      </c>
      <c r="N4285" s="12">
        <v>1.661</v>
      </c>
      <c r="O4285" s="12">
        <v>0.51300000000000001</v>
      </c>
      <c r="P4285" s="14" t="s">
        <v>23031</v>
      </c>
      <c r="Q4285" s="14" t="s">
        <v>23031</v>
      </c>
      <c r="R4285" s="12">
        <v>0</v>
      </c>
    </row>
    <row r="4286" spans="1:18" ht="17" customHeight="1" x14ac:dyDescent="0.15">
      <c r="A4286" s="8" t="s">
        <v>23138</v>
      </c>
      <c r="B4286" s="9" t="s">
        <v>23139</v>
      </c>
      <c r="C4286" s="8" t="s">
        <v>23140</v>
      </c>
      <c r="D4286" s="8" t="s">
        <v>23140</v>
      </c>
      <c r="E4286" s="8" t="s">
        <v>23141</v>
      </c>
      <c r="F4286" s="8" t="s">
        <v>23014</v>
      </c>
      <c r="G4286" s="8" t="s">
        <v>23142</v>
      </c>
      <c r="H4286" s="8" t="s">
        <v>23096</v>
      </c>
      <c r="I4286" s="8" t="str">
        <f>HYPERLINK("http://modachallenger.it/","modachallenger.it")</f>
        <v>modachallenger.it</v>
      </c>
      <c r="J4286" s="10">
        <v>245.8</v>
      </c>
      <c r="K4286" s="10">
        <v>245.8</v>
      </c>
      <c r="L4286" s="10">
        <v>215.666</v>
      </c>
      <c r="M4286" s="10">
        <v>0.83899999999999997</v>
      </c>
      <c r="N4286" s="10">
        <v>0.83899999999999997</v>
      </c>
      <c r="O4286" s="10">
        <v>0.88700000000000001</v>
      </c>
      <c r="P4286" s="10">
        <v>2</v>
      </c>
      <c r="Q4286" s="10">
        <v>2</v>
      </c>
      <c r="R4286" s="10">
        <v>2</v>
      </c>
    </row>
    <row r="4287" spans="1:18" ht="17" customHeight="1" x14ac:dyDescent="0.15">
      <c r="A4287" s="11" t="s">
        <v>23143</v>
      </c>
      <c r="B4287" s="1" t="s">
        <v>23144</v>
      </c>
      <c r="C4287" s="11" t="s">
        <v>23145</v>
      </c>
      <c r="D4287" s="11" t="s">
        <v>23145</v>
      </c>
      <c r="E4287" s="11" t="s">
        <v>23146</v>
      </c>
      <c r="F4287" s="11" t="s">
        <v>22994</v>
      </c>
      <c r="G4287" s="11" t="s">
        <v>23026</v>
      </c>
      <c r="H4287" s="11" t="s">
        <v>22989</v>
      </c>
      <c r="I4287" s="11" t="str">
        <f>HYPERLINK("http://taglieriaerrepi.it/","taglieriaerrepi.it")</f>
        <v>taglieriaerrepi.it</v>
      </c>
      <c r="J4287" s="12">
        <v>223.327</v>
      </c>
      <c r="K4287" s="12">
        <v>223.327</v>
      </c>
      <c r="L4287" s="13">
        <v>215.542</v>
      </c>
      <c r="M4287" s="12">
        <v>15.875</v>
      </c>
      <c r="N4287" s="12">
        <v>15.875</v>
      </c>
      <c r="O4287" s="12">
        <v>29.637</v>
      </c>
      <c r="P4287" s="12">
        <v>3</v>
      </c>
      <c r="Q4287" s="12">
        <v>3</v>
      </c>
      <c r="R4287" s="12">
        <v>4</v>
      </c>
    </row>
    <row r="4288" spans="1:18" ht="17" customHeight="1" x14ac:dyDescent="0.15">
      <c r="A4288" s="8" t="s">
        <v>23147</v>
      </c>
      <c r="B4288" s="9" t="s">
        <v>23148</v>
      </c>
      <c r="C4288" s="8" t="s">
        <v>23149</v>
      </c>
      <c r="D4288" s="8" t="s">
        <v>23149</v>
      </c>
      <c r="E4288" s="8" t="s">
        <v>23150</v>
      </c>
      <c r="F4288" s="8" t="s">
        <v>22980</v>
      </c>
      <c r="G4288" s="8" t="s">
        <v>23015</v>
      </c>
      <c r="H4288" s="8" t="s">
        <v>23016</v>
      </c>
      <c r="I4288" s="8" t="str">
        <f>HYPERLINK("http://www.sartoriagallo.com/","www.sartoriagallo.com")</f>
        <v>www.sartoriagallo.com</v>
      </c>
      <c r="J4288" s="10">
        <v>225.619</v>
      </c>
      <c r="K4288" s="10">
        <v>225.619</v>
      </c>
      <c r="L4288" s="10">
        <v>215.29400000000001</v>
      </c>
      <c r="M4288" s="10">
        <v>2.27</v>
      </c>
      <c r="N4288" s="10">
        <v>2.27</v>
      </c>
      <c r="O4288" s="10">
        <v>3.2789999999999999</v>
      </c>
      <c r="P4288" s="15" t="s">
        <v>23031</v>
      </c>
      <c r="Q4288" s="15" t="s">
        <v>23031</v>
      </c>
      <c r="R4288" s="10">
        <v>2</v>
      </c>
    </row>
    <row r="4289" spans="1:18" ht="17" customHeight="1" x14ac:dyDescent="0.15">
      <c r="A4289" s="11" t="s">
        <v>23151</v>
      </c>
      <c r="B4289" s="1" t="s">
        <v>23152</v>
      </c>
      <c r="C4289" s="11" t="s">
        <v>23153</v>
      </c>
      <c r="D4289" s="11" t="s">
        <v>23154</v>
      </c>
      <c r="E4289" s="11" t="s">
        <v>23155</v>
      </c>
      <c r="F4289" s="11" t="s">
        <v>23156</v>
      </c>
      <c r="G4289" s="11" t="s">
        <v>23157</v>
      </c>
      <c r="H4289" s="11" t="s">
        <v>23158</v>
      </c>
      <c r="I4289" s="11" t="str">
        <f>HYPERLINK("http://www.tagliotessutibebi.com/","www.tagliotessutibebi.com")</f>
        <v>www.tagliotessutibebi.com</v>
      </c>
      <c r="J4289" s="12">
        <v>193.47300000000001</v>
      </c>
      <c r="K4289" s="12">
        <v>193.47300000000001</v>
      </c>
      <c r="L4289" s="13">
        <v>215.303</v>
      </c>
      <c r="M4289" s="12">
        <v>-7.16</v>
      </c>
      <c r="N4289" s="12">
        <v>-7.16</v>
      </c>
      <c r="O4289" s="12">
        <v>29.902000000000001</v>
      </c>
      <c r="P4289" s="12">
        <v>3</v>
      </c>
      <c r="Q4289" s="12">
        <v>3</v>
      </c>
      <c r="R4289" s="12">
        <v>4</v>
      </c>
    </row>
    <row r="4290" spans="1:18" ht="43" customHeight="1" x14ac:dyDescent="0.15">
      <c r="A4290" s="8" t="s">
        <v>23159</v>
      </c>
      <c r="B4290" s="9" t="s">
        <v>23160</v>
      </c>
      <c r="C4290" s="8" t="s">
        <v>23161</v>
      </c>
      <c r="D4290" s="8" t="s">
        <v>23161</v>
      </c>
      <c r="E4290" s="8" t="s">
        <v>23162</v>
      </c>
      <c r="F4290" s="8" t="s">
        <v>23163</v>
      </c>
      <c r="G4290" s="8" t="s">
        <v>23164</v>
      </c>
      <c r="H4290" s="8" t="s">
        <v>23165</v>
      </c>
      <c r="I4290" s="8" t="str">
        <f>HYPERLINK("http://www.sol-e-mar.it/","www.sol-e-mar.it")</f>
        <v>www.sol-e-mar.it</v>
      </c>
      <c r="J4290" s="10">
        <v>215.20500000000001</v>
      </c>
      <c r="K4290" s="15" t="s">
        <v>23166</v>
      </c>
      <c r="L4290" s="10">
        <v>215.20500000000001</v>
      </c>
      <c r="M4290" s="10">
        <v>3.2490000000000001</v>
      </c>
      <c r="N4290" s="15" t="s">
        <v>23166</v>
      </c>
      <c r="O4290" s="10">
        <v>3.2490000000000001</v>
      </c>
      <c r="P4290" s="10">
        <v>4</v>
      </c>
      <c r="Q4290" s="15" t="s">
        <v>23166</v>
      </c>
      <c r="R4290" s="10">
        <v>4</v>
      </c>
    </row>
    <row r="4291" spans="1:18" ht="43" customHeight="1" x14ac:dyDescent="0.15">
      <c r="A4291" s="11" t="s">
        <v>23167</v>
      </c>
      <c r="B4291" s="1" t="s">
        <v>23168</v>
      </c>
      <c r="C4291" s="11" t="s">
        <v>23169</v>
      </c>
      <c r="D4291" s="11" t="s">
        <v>23169</v>
      </c>
      <c r="E4291" s="11" t="s">
        <v>23170</v>
      </c>
      <c r="F4291" s="11" t="s">
        <v>23156</v>
      </c>
      <c r="G4291" s="11" t="s">
        <v>23171</v>
      </c>
      <c r="H4291" s="11" t="s">
        <v>23172</v>
      </c>
      <c r="I4291" s="11" t="str">
        <f>HYPERLINK("http://ojiitalia.com/","ojiitalia.com")</f>
        <v>ojiitalia.com</v>
      </c>
      <c r="J4291" s="12">
        <v>298.05200000000002</v>
      </c>
      <c r="K4291" s="12">
        <v>298.05200000000002</v>
      </c>
      <c r="L4291" s="13">
        <v>214.482</v>
      </c>
      <c r="M4291" s="12">
        <v>-9.4629999999999992</v>
      </c>
      <c r="N4291" s="12">
        <v>-9.4629999999999992</v>
      </c>
      <c r="O4291" s="12">
        <v>-11.396000000000001</v>
      </c>
      <c r="P4291" s="12">
        <v>1</v>
      </c>
      <c r="Q4291" s="12">
        <v>1</v>
      </c>
      <c r="R4291" s="12">
        <v>1</v>
      </c>
    </row>
    <row r="4292" spans="1:18" ht="17" customHeight="1" x14ac:dyDescent="0.15">
      <c r="A4292" s="8" t="s">
        <v>23173</v>
      </c>
      <c r="B4292" s="9" t="s">
        <v>23174</v>
      </c>
      <c r="C4292" s="8" t="s">
        <v>23175</v>
      </c>
      <c r="D4292" s="8" t="s">
        <v>23175</v>
      </c>
      <c r="E4292" s="8" t="s">
        <v>23176</v>
      </c>
      <c r="F4292" s="8" t="s">
        <v>23177</v>
      </c>
      <c r="G4292" s="8" t="s">
        <v>23178</v>
      </c>
      <c r="H4292" s="8" t="s">
        <v>23179</v>
      </c>
      <c r="I4292" s="8" t="str">
        <f>HYPERLINK("http://eshop.lavacchettagrassamodena.it/","eshop.lavacchettagrassamodena.it")</f>
        <v>eshop.lavacchettagrassamodena.it</v>
      </c>
      <c r="J4292" s="10">
        <v>284.42200000000003</v>
      </c>
      <c r="K4292" s="10">
        <v>284.42200000000003</v>
      </c>
      <c r="L4292" s="10">
        <v>213.42099999999999</v>
      </c>
      <c r="M4292" s="10">
        <v>55.819000000000003</v>
      </c>
      <c r="N4292" s="10">
        <v>55.819000000000003</v>
      </c>
      <c r="O4292" s="10">
        <v>46.048000000000002</v>
      </c>
      <c r="P4292" s="10">
        <v>2</v>
      </c>
      <c r="Q4292" s="10">
        <v>2</v>
      </c>
      <c r="R4292" s="10">
        <v>1</v>
      </c>
    </row>
    <row r="4293" spans="1:18" ht="17" customHeight="1" x14ac:dyDescent="0.15">
      <c r="A4293" s="11" t="s">
        <v>23180</v>
      </c>
      <c r="B4293" s="1" t="s">
        <v>23181</v>
      </c>
      <c r="C4293" s="11" t="s">
        <v>23182</v>
      </c>
      <c r="D4293" s="11" t="s">
        <v>23182</v>
      </c>
      <c r="E4293" s="11" t="s">
        <v>23183</v>
      </c>
      <c r="F4293" s="11" t="s">
        <v>23163</v>
      </c>
      <c r="G4293" s="11" t="s">
        <v>23184</v>
      </c>
      <c r="H4293" s="11" t="s">
        <v>23158</v>
      </c>
      <c r="I4293" s="11" t="str">
        <f>HYPERLINK("http://www.cristinasport.com/","www.cristinasport.com")</f>
        <v>www.cristinasport.com</v>
      </c>
      <c r="J4293" s="12">
        <v>226.24600000000001</v>
      </c>
      <c r="K4293" s="12">
        <v>226.24600000000001</v>
      </c>
      <c r="L4293" s="13">
        <v>212.441</v>
      </c>
      <c r="M4293" s="12">
        <v>14.038</v>
      </c>
      <c r="N4293" s="12">
        <v>14.038</v>
      </c>
      <c r="O4293" s="12">
        <v>10.427</v>
      </c>
      <c r="P4293" s="12">
        <v>1</v>
      </c>
      <c r="Q4293" s="12">
        <v>1</v>
      </c>
      <c r="R4293" s="12">
        <v>2</v>
      </c>
    </row>
    <row r="4294" spans="1:18" ht="17" customHeight="1" x14ac:dyDescent="0.15">
      <c r="A4294" s="8" t="s">
        <v>23185</v>
      </c>
      <c r="B4294" s="9" t="s">
        <v>23186</v>
      </c>
      <c r="C4294" s="8" t="s">
        <v>23187</v>
      </c>
      <c r="D4294" s="8" t="s">
        <v>23187</v>
      </c>
      <c r="E4294" s="8" t="s">
        <v>23188</v>
      </c>
      <c r="F4294" s="8" t="s">
        <v>23189</v>
      </c>
      <c r="G4294" s="8" t="s">
        <v>23190</v>
      </c>
      <c r="H4294" s="8" t="s">
        <v>23191</v>
      </c>
      <c r="I4294" s="8" t="str">
        <f>HYPERLINK("http://www.risorsefuture.net/","www.risorsefuture.net")</f>
        <v>www.risorsefuture.net</v>
      </c>
      <c r="J4294" s="10">
        <v>175.98</v>
      </c>
      <c r="K4294" s="10">
        <v>175.98</v>
      </c>
      <c r="L4294" s="10">
        <v>211.88200000000001</v>
      </c>
      <c r="M4294" s="10">
        <v>6.077</v>
      </c>
      <c r="N4294" s="10">
        <v>6.077</v>
      </c>
      <c r="O4294" s="10">
        <v>9.0190000000000001</v>
      </c>
      <c r="P4294" s="15" t="s">
        <v>23166</v>
      </c>
      <c r="Q4294" s="15" t="s">
        <v>23166</v>
      </c>
      <c r="R4294" s="10">
        <v>0</v>
      </c>
    </row>
    <row r="4295" spans="1:18" ht="17" customHeight="1" x14ac:dyDescent="0.15">
      <c r="A4295" s="11" t="s">
        <v>23192</v>
      </c>
      <c r="B4295" s="1" t="s">
        <v>23193</v>
      </c>
      <c r="C4295" s="11" t="s">
        <v>23194</v>
      </c>
      <c r="D4295" s="11" t="s">
        <v>23194</v>
      </c>
      <c r="E4295" s="11" t="s">
        <v>23195</v>
      </c>
      <c r="F4295" s="11" t="s">
        <v>23156</v>
      </c>
      <c r="G4295" s="11" t="s">
        <v>23196</v>
      </c>
      <c r="H4295" s="11" t="s">
        <v>23197</v>
      </c>
      <c r="I4295" s="11" t="str">
        <f>HYPERLINK("http://www.ansteffan.it/","www.ansteffan.it")</f>
        <v>www.ansteffan.it</v>
      </c>
      <c r="J4295" s="12">
        <v>322.52699999999999</v>
      </c>
      <c r="K4295" s="12">
        <v>322.52699999999999</v>
      </c>
      <c r="L4295" s="13">
        <v>211.81399999999999</v>
      </c>
      <c r="M4295" s="12">
        <v>-32.085999999999999</v>
      </c>
      <c r="N4295" s="12">
        <v>-32.085999999999999</v>
      </c>
      <c r="O4295" s="12">
        <v>-82.239000000000004</v>
      </c>
      <c r="P4295" s="12">
        <v>2</v>
      </c>
      <c r="Q4295" s="12">
        <v>2</v>
      </c>
      <c r="R4295" s="12">
        <v>3</v>
      </c>
    </row>
    <row r="4296" spans="1:18" ht="29.5" customHeight="1" x14ac:dyDescent="0.15">
      <c r="A4296" s="8" t="s">
        <v>23198</v>
      </c>
      <c r="B4296" s="9" t="s">
        <v>23199</v>
      </c>
      <c r="C4296" s="8" t="s">
        <v>23200</v>
      </c>
      <c r="D4296" s="8" t="s">
        <v>23200</v>
      </c>
      <c r="E4296" s="8" t="s">
        <v>23201</v>
      </c>
      <c r="F4296" s="8" t="s">
        <v>23202</v>
      </c>
      <c r="G4296" s="8" t="s">
        <v>23203</v>
      </c>
      <c r="H4296" s="8" t="s">
        <v>23197</v>
      </c>
      <c r="I4296" s="8" t="str">
        <f>HYPERLINK("http://www.chemicalincisionprocess.com/","www.chemicalincisionprocess.com")</f>
        <v>www.chemicalincisionprocess.com</v>
      </c>
      <c r="J4296" s="10">
        <v>232.25899999999999</v>
      </c>
      <c r="K4296" s="10">
        <v>232.25899999999999</v>
      </c>
      <c r="L4296" s="10">
        <v>211.13</v>
      </c>
      <c r="M4296" s="10">
        <v>-16.936</v>
      </c>
      <c r="N4296" s="10">
        <v>-16.936</v>
      </c>
      <c r="O4296" s="10">
        <v>-17.856000000000002</v>
      </c>
      <c r="P4296" s="10">
        <v>2</v>
      </c>
      <c r="Q4296" s="10">
        <v>2</v>
      </c>
      <c r="R4296" s="10">
        <v>4</v>
      </c>
    </row>
    <row r="4297" spans="1:18" ht="17" customHeight="1" x14ac:dyDescent="0.15">
      <c r="A4297" s="11" t="s">
        <v>23204</v>
      </c>
      <c r="B4297" s="1" t="s">
        <v>23205</v>
      </c>
      <c r="C4297" s="11" t="s">
        <v>23206</v>
      </c>
      <c r="D4297" s="11" t="s">
        <v>23206</v>
      </c>
      <c r="E4297" s="11" t="s">
        <v>23207</v>
      </c>
      <c r="F4297" s="11" t="s">
        <v>23156</v>
      </c>
      <c r="G4297" s="11" t="s">
        <v>23208</v>
      </c>
      <c r="H4297" s="11" t="s">
        <v>23165</v>
      </c>
      <c r="I4297" s="11" t="str">
        <f>HYPERLINK("http://www.ajhami.it/","www.ajhami.it")</f>
        <v>www.ajhami.it</v>
      </c>
      <c r="J4297" s="12">
        <v>668.46500000000003</v>
      </c>
      <c r="K4297" s="12">
        <v>668.46500000000003</v>
      </c>
      <c r="L4297" s="13">
        <v>210.46</v>
      </c>
      <c r="M4297" s="12">
        <v>269.27</v>
      </c>
      <c r="N4297" s="12">
        <v>269.27</v>
      </c>
      <c r="O4297" s="12">
        <v>-2.6970000000000001</v>
      </c>
      <c r="P4297" s="12">
        <v>5</v>
      </c>
      <c r="Q4297" s="12">
        <v>5</v>
      </c>
      <c r="R4297" s="12">
        <v>2</v>
      </c>
    </row>
    <row r="4298" spans="1:18" ht="17" customHeight="1" x14ac:dyDescent="0.15">
      <c r="A4298" s="8" t="s">
        <v>23209</v>
      </c>
      <c r="B4298" s="9" t="s">
        <v>23210</v>
      </c>
      <c r="C4298" s="8" t="s">
        <v>23211</v>
      </c>
      <c r="D4298" s="8" t="s">
        <v>23211</v>
      </c>
      <c r="E4298" s="8" t="s">
        <v>23212</v>
      </c>
      <c r="F4298" s="8" t="s">
        <v>23213</v>
      </c>
      <c r="G4298" s="8" t="s">
        <v>23214</v>
      </c>
      <c r="H4298" s="8" t="s">
        <v>23197</v>
      </c>
      <c r="I4298" s="8" t="str">
        <f>HYPERLINK("http://poemodesign.it/","poemodesign.it")</f>
        <v>poemodesign.it</v>
      </c>
      <c r="J4298" s="10">
        <v>172.15600000000001</v>
      </c>
      <c r="K4298" s="10">
        <v>172.15600000000001</v>
      </c>
      <c r="L4298" s="10">
        <v>209.786</v>
      </c>
      <c r="M4298" s="10">
        <v>-24.79</v>
      </c>
      <c r="N4298" s="10">
        <v>-24.79</v>
      </c>
      <c r="O4298" s="10">
        <v>14.146000000000001</v>
      </c>
      <c r="P4298" s="10">
        <v>5</v>
      </c>
      <c r="Q4298" s="10">
        <v>5</v>
      </c>
      <c r="R4298" s="10">
        <v>5</v>
      </c>
    </row>
    <row r="4299" spans="1:18" ht="17" customHeight="1" x14ac:dyDescent="0.15">
      <c r="A4299" s="11" t="s">
        <v>23215</v>
      </c>
      <c r="B4299" s="1" t="s">
        <v>23216</v>
      </c>
      <c r="C4299" s="11" t="s">
        <v>23217</v>
      </c>
      <c r="D4299" s="11" t="s">
        <v>23217</v>
      </c>
      <c r="E4299" s="11" t="s">
        <v>23218</v>
      </c>
      <c r="F4299" s="11" t="s">
        <v>23219</v>
      </c>
      <c r="G4299" s="11" t="s">
        <v>23196</v>
      </c>
      <c r="H4299" s="11" t="s">
        <v>23197</v>
      </c>
      <c r="I4299" s="11" t="str">
        <f>HYPERLINK("http://domenicocaraceni.com/","domenicocaraceni.com")</f>
        <v>domenicocaraceni.com</v>
      </c>
      <c r="J4299" s="12">
        <v>234.489</v>
      </c>
      <c r="K4299" s="12">
        <v>234.489</v>
      </c>
      <c r="L4299" s="13">
        <v>209.68600000000001</v>
      </c>
      <c r="M4299" s="12">
        <v>9.5559999999999992</v>
      </c>
      <c r="N4299" s="12">
        <v>9.5559999999999992</v>
      </c>
      <c r="O4299" s="12">
        <v>7.3520000000000003</v>
      </c>
      <c r="P4299" s="14" t="s">
        <v>23166</v>
      </c>
      <c r="Q4299" s="14" t="s">
        <v>23166</v>
      </c>
      <c r="R4299" s="12">
        <v>7</v>
      </c>
    </row>
    <row r="4300" spans="1:18" ht="17" customHeight="1" x14ac:dyDescent="0.15">
      <c r="A4300" s="8" t="s">
        <v>23220</v>
      </c>
      <c r="B4300" s="9" t="s">
        <v>23221</v>
      </c>
      <c r="C4300" s="8" t="s">
        <v>23222</v>
      </c>
      <c r="D4300" s="8" t="s">
        <v>23222</v>
      </c>
      <c r="E4300" s="8" t="s">
        <v>23223</v>
      </c>
      <c r="F4300" s="8" t="s">
        <v>23177</v>
      </c>
      <c r="G4300" s="8" t="s">
        <v>23224</v>
      </c>
      <c r="H4300" s="8" t="s">
        <v>23225</v>
      </c>
      <c r="I4300" s="8" t="str">
        <f>HYPERLINK("http://italiandesignpelletterie.it/","italiandesignpelletterie.it")</f>
        <v>italiandesignpelletterie.it</v>
      </c>
      <c r="J4300" s="10">
        <v>225.56299999999999</v>
      </c>
      <c r="K4300" s="10">
        <v>225.56299999999999</v>
      </c>
      <c r="L4300" s="10">
        <v>209.70099999999999</v>
      </c>
      <c r="M4300" s="10">
        <v>-20.986000000000001</v>
      </c>
      <c r="N4300" s="10">
        <v>-20.986000000000001</v>
      </c>
      <c r="O4300" s="10">
        <v>9.4819999999999993</v>
      </c>
      <c r="P4300" s="10">
        <v>4</v>
      </c>
      <c r="Q4300" s="10">
        <v>4</v>
      </c>
      <c r="R4300" s="10">
        <v>4</v>
      </c>
    </row>
    <row r="4301" spans="1:18" ht="43" customHeight="1" x14ac:dyDescent="0.15">
      <c r="A4301" s="11" t="s">
        <v>23226</v>
      </c>
      <c r="B4301" s="1" t="s">
        <v>23227</v>
      </c>
      <c r="C4301" s="11" t="s">
        <v>23228</v>
      </c>
      <c r="D4301" s="11" t="s">
        <v>23228</v>
      </c>
      <c r="E4301" s="11" t="s">
        <v>23229</v>
      </c>
      <c r="F4301" s="11" t="s">
        <v>23219</v>
      </c>
      <c r="G4301" s="11" t="s">
        <v>23196</v>
      </c>
      <c r="H4301" s="11" t="s">
        <v>23197</v>
      </c>
      <c r="I4301" s="11" t="str">
        <f>HYPERLINK("http://www.thesavilecompany.it/","www.thesavilecompany.it")</f>
        <v>www.thesavilecompany.it</v>
      </c>
      <c r="J4301" s="12">
        <v>209.613</v>
      </c>
      <c r="K4301" s="12">
        <v>209.613</v>
      </c>
      <c r="L4301" s="13">
        <v>209.11</v>
      </c>
      <c r="M4301" s="12">
        <v>3.5659999999999998</v>
      </c>
      <c r="N4301" s="12">
        <v>3.5659999999999998</v>
      </c>
      <c r="O4301" s="12">
        <v>-9.9589999999999996</v>
      </c>
      <c r="P4301" s="12">
        <v>1</v>
      </c>
      <c r="Q4301" s="12">
        <v>1</v>
      </c>
      <c r="R4301" s="12">
        <v>1</v>
      </c>
    </row>
    <row r="4302" spans="1:18" ht="17" customHeight="1" x14ac:dyDescent="0.15">
      <c r="A4302" s="8" t="s">
        <v>23230</v>
      </c>
      <c r="B4302" s="9" t="s">
        <v>23231</v>
      </c>
      <c r="C4302" s="8" t="s">
        <v>23232</v>
      </c>
      <c r="D4302" s="8" t="s">
        <v>23232</v>
      </c>
      <c r="E4302" s="8" t="s">
        <v>23233</v>
      </c>
      <c r="F4302" s="8" t="s">
        <v>23189</v>
      </c>
      <c r="G4302" s="8" t="s">
        <v>23208</v>
      </c>
      <c r="H4302" s="8" t="s">
        <v>23165</v>
      </c>
      <c r="I4302" s="8" t="str">
        <f>HYPERLINK("http://www.friven.it/","www.friven.it")</f>
        <v>www.friven.it</v>
      </c>
      <c r="J4302" s="10">
        <v>756.60400000000004</v>
      </c>
      <c r="K4302" s="10">
        <v>756.60400000000004</v>
      </c>
      <c r="L4302" s="10">
        <v>208.39500000000001</v>
      </c>
      <c r="M4302" s="10">
        <v>39.970999999999997</v>
      </c>
      <c r="N4302" s="10">
        <v>39.970999999999997</v>
      </c>
      <c r="O4302" s="10">
        <v>41.069000000000003</v>
      </c>
      <c r="P4302" s="10">
        <v>14</v>
      </c>
      <c r="Q4302" s="10">
        <v>14</v>
      </c>
      <c r="R4302" s="10">
        <v>14</v>
      </c>
    </row>
    <row r="4303" spans="1:18" ht="17" customHeight="1" x14ac:dyDescent="0.15">
      <c r="A4303" s="11" t="s">
        <v>23234</v>
      </c>
      <c r="B4303" s="1" t="s">
        <v>23235</v>
      </c>
      <c r="C4303" s="11" t="s">
        <v>23236</v>
      </c>
      <c r="D4303" s="11" t="s">
        <v>23236</v>
      </c>
      <c r="E4303" s="11" t="s">
        <v>23237</v>
      </c>
      <c r="F4303" s="11" t="s">
        <v>23238</v>
      </c>
      <c r="G4303" s="11" t="s">
        <v>23239</v>
      </c>
      <c r="H4303" s="11" t="s">
        <v>23197</v>
      </c>
      <c r="I4303" s="11" t="str">
        <f>HYPERLINK("http://www.ramtexsrl.com/","www.ramtexsrl.com")</f>
        <v>www.ramtexsrl.com</v>
      </c>
      <c r="J4303" s="12">
        <v>180.11099999999999</v>
      </c>
      <c r="K4303" s="12">
        <v>180.11099999999999</v>
      </c>
      <c r="L4303" s="13">
        <v>208.21299999999999</v>
      </c>
      <c r="M4303" s="12">
        <v>0.28799999999999998</v>
      </c>
      <c r="N4303" s="12">
        <v>0.28799999999999998</v>
      </c>
      <c r="O4303" s="12">
        <v>-0.57699999999999996</v>
      </c>
      <c r="P4303" s="12">
        <v>4</v>
      </c>
      <c r="Q4303" s="12">
        <v>4</v>
      </c>
      <c r="R4303" s="12">
        <v>4</v>
      </c>
    </row>
    <row r="4304" spans="1:18" ht="17" customHeight="1" x14ac:dyDescent="0.15">
      <c r="A4304" s="8" t="s">
        <v>23240</v>
      </c>
      <c r="B4304" s="9" t="s">
        <v>23241</v>
      </c>
      <c r="C4304" s="8" t="s">
        <v>23242</v>
      </c>
      <c r="D4304" s="8" t="s">
        <v>23242</v>
      </c>
      <c r="E4304" s="8" t="s">
        <v>23243</v>
      </c>
      <c r="F4304" s="8" t="s">
        <v>23163</v>
      </c>
      <c r="G4304" s="8" t="s">
        <v>23244</v>
      </c>
      <c r="H4304" s="8" t="s">
        <v>23172</v>
      </c>
      <c r="I4304" s="8" t="str">
        <f>HYPERLINK("http://ortopedici.offertetoptoscana.it/","ortopedici.offertetoptoscana.it")</f>
        <v>ortopedici.offertetoptoscana.it</v>
      </c>
      <c r="J4304" s="10">
        <v>882.98800000000006</v>
      </c>
      <c r="K4304" s="10">
        <v>882.98800000000006</v>
      </c>
      <c r="L4304" s="10">
        <v>206.874</v>
      </c>
      <c r="M4304" s="10">
        <v>39.457999999999998</v>
      </c>
      <c r="N4304" s="10">
        <v>39.457999999999998</v>
      </c>
      <c r="O4304" s="10">
        <v>8.6069999999999993</v>
      </c>
      <c r="P4304" s="15" t="s">
        <v>23166</v>
      </c>
      <c r="Q4304" s="15" t="s">
        <v>23166</v>
      </c>
      <c r="R4304" s="10">
        <v>2</v>
      </c>
    </row>
    <row r="4305" spans="1:18" ht="17" customHeight="1" x14ac:dyDescent="0.15">
      <c r="A4305" s="11" t="s">
        <v>23245</v>
      </c>
      <c r="B4305" s="1" t="s">
        <v>23246</v>
      </c>
      <c r="C4305" s="11" t="s">
        <v>23247</v>
      </c>
      <c r="D4305" s="11" t="s">
        <v>23247</v>
      </c>
      <c r="E4305" s="11" t="s">
        <v>23248</v>
      </c>
      <c r="F4305" s="11" t="s">
        <v>23249</v>
      </c>
      <c r="G4305" s="11" t="s">
        <v>23250</v>
      </c>
      <c r="H4305" s="11" t="s">
        <v>23165</v>
      </c>
      <c r="I4305" s="11" t="str">
        <f>HYPERLINK("http://www.zetaeffesrl.it/","www.zetaeffesrl.it")</f>
        <v>www.zetaeffesrl.it</v>
      </c>
      <c r="J4305" s="12">
        <v>104.002</v>
      </c>
      <c r="K4305" s="12">
        <v>104.002</v>
      </c>
      <c r="L4305" s="13">
        <v>206.92</v>
      </c>
      <c r="M4305" s="12">
        <v>3.7970000000000002</v>
      </c>
      <c r="N4305" s="12">
        <v>3.7970000000000002</v>
      </c>
      <c r="O4305" s="12">
        <v>2.9369999999999998</v>
      </c>
      <c r="P4305" s="12">
        <v>2</v>
      </c>
      <c r="Q4305" s="12">
        <v>2</v>
      </c>
      <c r="R4305" s="12">
        <v>2</v>
      </c>
    </row>
    <row r="4306" spans="1:18" ht="17" customHeight="1" x14ac:dyDescent="0.15">
      <c r="A4306" s="8" t="s">
        <v>23251</v>
      </c>
      <c r="B4306" s="9" t="s">
        <v>23252</v>
      </c>
      <c r="C4306" s="8" t="s">
        <v>23253</v>
      </c>
      <c r="D4306" s="8" t="s">
        <v>23253</v>
      </c>
      <c r="E4306" s="8" t="s">
        <v>23254</v>
      </c>
      <c r="F4306" s="8" t="s">
        <v>23177</v>
      </c>
      <c r="G4306" s="8" t="s">
        <v>23255</v>
      </c>
      <c r="H4306" s="8" t="s">
        <v>23179</v>
      </c>
      <c r="I4306" s="8" t="str">
        <f>HYPERLINK("http://www.wildhog.it/","www.wildhog.it")</f>
        <v>www.wildhog.it</v>
      </c>
      <c r="J4306" s="10">
        <v>198.24299999999999</v>
      </c>
      <c r="K4306" s="10">
        <v>198.24299999999999</v>
      </c>
      <c r="L4306" s="10">
        <v>206.65700000000001</v>
      </c>
      <c r="M4306" s="10">
        <v>1.3959999999999999</v>
      </c>
      <c r="N4306" s="10">
        <v>1.3959999999999999</v>
      </c>
      <c r="O4306" s="10">
        <v>0.96399999999999997</v>
      </c>
      <c r="P4306" s="10">
        <v>4</v>
      </c>
      <c r="Q4306" s="10">
        <v>4</v>
      </c>
      <c r="R4306" s="10">
        <v>4</v>
      </c>
    </row>
    <row r="4307" spans="1:18" ht="17" customHeight="1" x14ac:dyDescent="0.15">
      <c r="A4307" s="11" t="s">
        <v>23256</v>
      </c>
      <c r="B4307" s="1" t="s">
        <v>23257</v>
      </c>
      <c r="C4307" s="11" t="s">
        <v>23258</v>
      </c>
      <c r="D4307" s="11" t="s">
        <v>23258</v>
      </c>
      <c r="E4307" s="11" t="s">
        <v>23259</v>
      </c>
      <c r="F4307" s="11" t="s">
        <v>23189</v>
      </c>
      <c r="G4307" s="11" t="s">
        <v>23208</v>
      </c>
      <c r="H4307" s="11" t="s">
        <v>23165</v>
      </c>
      <c r="I4307" s="11" t="str">
        <f>HYPERLINK("http://www.teamform.it/","www.teamform.it")</f>
        <v>www.teamform.it</v>
      </c>
      <c r="J4307" s="12">
        <v>202.34800000000001</v>
      </c>
      <c r="K4307" s="12">
        <v>202.34800000000001</v>
      </c>
      <c r="L4307" s="13">
        <v>205.49299999999999</v>
      </c>
      <c r="M4307" s="12">
        <v>-1.238</v>
      </c>
      <c r="N4307" s="12">
        <v>-1.238</v>
      </c>
      <c r="O4307" s="12">
        <v>9.7729999999999997</v>
      </c>
      <c r="P4307" s="12">
        <v>1</v>
      </c>
      <c r="Q4307" s="12">
        <v>1</v>
      </c>
      <c r="R4307" s="12">
        <v>1</v>
      </c>
    </row>
    <row r="4308" spans="1:18" ht="17" customHeight="1" x14ac:dyDescent="0.15">
      <c r="A4308" s="8" t="s">
        <v>23260</v>
      </c>
      <c r="B4308" s="9" t="s">
        <v>23261</v>
      </c>
      <c r="C4308" s="8" t="s">
        <v>23262</v>
      </c>
      <c r="D4308" s="8" t="s">
        <v>23262</v>
      </c>
      <c r="E4308" s="8" t="s">
        <v>23263</v>
      </c>
      <c r="F4308" s="8" t="s">
        <v>23189</v>
      </c>
      <c r="G4308" s="8" t="s">
        <v>23264</v>
      </c>
      <c r="H4308" s="8" t="s">
        <v>23191</v>
      </c>
      <c r="I4308" s="8" t="str">
        <f>HYPERLINK("http://www.alexsrls.com/","www.alexsrls.com")</f>
        <v>www.alexsrls.com</v>
      </c>
      <c r="J4308" s="10">
        <v>279.41199999999998</v>
      </c>
      <c r="K4308" s="10">
        <v>279.41199999999998</v>
      </c>
      <c r="L4308" s="10">
        <v>205.06800000000001</v>
      </c>
      <c r="M4308" s="10">
        <v>-16.686</v>
      </c>
      <c r="N4308" s="10">
        <v>-16.686</v>
      </c>
      <c r="O4308" s="10">
        <v>9.4979999999999993</v>
      </c>
      <c r="P4308" s="10">
        <v>6</v>
      </c>
      <c r="Q4308" s="10">
        <v>6</v>
      </c>
      <c r="R4308" s="10">
        <v>6</v>
      </c>
    </row>
    <row r="4309" spans="1:18" ht="17" customHeight="1" x14ac:dyDescent="0.15">
      <c r="A4309" s="11" t="s">
        <v>23265</v>
      </c>
      <c r="B4309" s="1" t="s">
        <v>23266</v>
      </c>
      <c r="C4309" s="11" t="s">
        <v>23267</v>
      </c>
      <c r="D4309" s="11" t="s">
        <v>23267</v>
      </c>
      <c r="E4309" s="11" t="s">
        <v>23268</v>
      </c>
      <c r="F4309" s="11" t="s">
        <v>23269</v>
      </c>
      <c r="G4309" s="11" t="s">
        <v>23270</v>
      </c>
      <c r="H4309" s="11" t="s">
        <v>23271</v>
      </c>
      <c r="I4309" s="11" t="str">
        <f>HYPERLINK("http://www.civicoundici.com/","www.civicoundici.com")</f>
        <v>www.civicoundici.com</v>
      </c>
      <c r="J4309" s="12">
        <v>170.78899999999999</v>
      </c>
      <c r="K4309" s="12">
        <v>170.78899999999999</v>
      </c>
      <c r="L4309" s="13">
        <v>204.15</v>
      </c>
      <c r="M4309" s="12">
        <v>-6.1440000000000001</v>
      </c>
      <c r="N4309" s="12">
        <v>-6.1440000000000001</v>
      </c>
      <c r="O4309" s="12">
        <v>14.71</v>
      </c>
      <c r="P4309" s="12">
        <v>4</v>
      </c>
      <c r="Q4309" s="12">
        <v>4</v>
      </c>
      <c r="R4309" s="12">
        <v>4</v>
      </c>
    </row>
    <row r="4310" spans="1:18" ht="17" customHeight="1" x14ac:dyDescent="0.15">
      <c r="A4310" s="8" t="s">
        <v>23272</v>
      </c>
      <c r="B4310" s="9" t="s">
        <v>23273</v>
      </c>
      <c r="C4310" s="8" t="s">
        <v>23274</v>
      </c>
      <c r="D4310" s="8" t="s">
        <v>23274</v>
      </c>
      <c r="E4310" s="8" t="s">
        <v>23275</v>
      </c>
      <c r="F4310" s="8" t="s">
        <v>23189</v>
      </c>
      <c r="G4310" s="8" t="s">
        <v>23190</v>
      </c>
      <c r="H4310" s="8" t="s">
        <v>23191</v>
      </c>
      <c r="I4310" s="8" t="str">
        <f>HYPERLINK("http://www.bagatto.com/","www.bagatto.com")</f>
        <v>www.bagatto.com</v>
      </c>
      <c r="J4310" s="10">
        <v>219.773</v>
      </c>
      <c r="K4310" s="10">
        <v>219.773</v>
      </c>
      <c r="L4310" s="10">
        <v>204.00299999999999</v>
      </c>
      <c r="M4310" s="10">
        <v>15.276999999999999</v>
      </c>
      <c r="N4310" s="10">
        <v>15.276999999999999</v>
      </c>
      <c r="O4310" s="10">
        <v>18.911000000000001</v>
      </c>
      <c r="P4310" s="10">
        <v>1</v>
      </c>
      <c r="Q4310" s="10">
        <v>1</v>
      </c>
      <c r="R4310" s="10">
        <v>1</v>
      </c>
    </row>
    <row r="4311" spans="1:18" ht="17" customHeight="1" x14ac:dyDescent="0.15">
      <c r="A4311" s="11" t="s">
        <v>23276</v>
      </c>
      <c r="B4311" s="1" t="s">
        <v>23277</v>
      </c>
      <c r="C4311" s="11" t="s">
        <v>23278</v>
      </c>
      <c r="D4311" s="11" t="s">
        <v>23278</v>
      </c>
      <c r="E4311" s="11" t="s">
        <v>23279</v>
      </c>
      <c r="F4311" s="11" t="s">
        <v>23280</v>
      </c>
      <c r="G4311" s="11" t="s">
        <v>23250</v>
      </c>
      <c r="H4311" s="11" t="s">
        <v>23165</v>
      </c>
      <c r="I4311" s="11" t="str">
        <f>HYPERLINK("http://www.giulianateso.it/","www.giulianateso.it")</f>
        <v>www.giulianateso.it</v>
      </c>
      <c r="J4311" s="12">
        <v>598.75699999999995</v>
      </c>
      <c r="K4311" s="12">
        <v>598.75699999999995</v>
      </c>
      <c r="L4311" s="13">
        <v>203.8</v>
      </c>
      <c r="M4311" s="12">
        <v>46.671999999999997</v>
      </c>
      <c r="N4311" s="12">
        <v>46.671999999999997</v>
      </c>
      <c r="O4311" s="12">
        <v>60.396999999999998</v>
      </c>
      <c r="P4311" s="12">
        <v>1</v>
      </c>
      <c r="Q4311" s="12">
        <v>1</v>
      </c>
      <c r="R4311" s="12">
        <v>1</v>
      </c>
    </row>
    <row r="4312" spans="1:18" ht="43" customHeight="1" x14ac:dyDescent="0.15">
      <c r="A4312" s="8" t="s">
        <v>23281</v>
      </c>
      <c r="B4312" s="9" t="s">
        <v>23282</v>
      </c>
      <c r="C4312" s="8" t="s">
        <v>23283</v>
      </c>
      <c r="D4312" s="8" t="s">
        <v>23283</v>
      </c>
      <c r="E4312" s="8" t="s">
        <v>23284</v>
      </c>
      <c r="F4312" s="8" t="s">
        <v>23156</v>
      </c>
      <c r="G4312" s="8" t="s">
        <v>23285</v>
      </c>
      <c r="H4312" s="8" t="s">
        <v>23286</v>
      </c>
      <c r="I4312" s="8" t="str">
        <f>HYPERLINK("http://www.rosabiondillo.it/","www.rosabiondillo.it")</f>
        <v>www.rosabiondillo.it</v>
      </c>
      <c r="J4312" s="10">
        <v>351.84500000000003</v>
      </c>
      <c r="K4312" s="10">
        <v>351.84500000000003</v>
      </c>
      <c r="L4312" s="10">
        <v>203.315</v>
      </c>
      <c r="M4312" s="10">
        <v>14.766</v>
      </c>
      <c r="N4312" s="10">
        <v>14.766</v>
      </c>
      <c r="O4312" s="10">
        <v>31.914000000000001</v>
      </c>
      <c r="P4312" s="10">
        <v>0</v>
      </c>
      <c r="Q4312" s="10">
        <v>0</v>
      </c>
      <c r="R4312" s="15" t="s">
        <v>23166</v>
      </c>
    </row>
    <row r="4313" spans="1:18" ht="17" customHeight="1" x14ac:dyDescent="0.15">
      <c r="A4313" s="11" t="s">
        <v>23287</v>
      </c>
      <c r="B4313" s="1" t="s">
        <v>23288</v>
      </c>
      <c r="C4313" s="11" t="s">
        <v>23289</v>
      </c>
      <c r="D4313" s="11" t="s">
        <v>23289</v>
      </c>
      <c r="E4313" s="11" t="s">
        <v>23290</v>
      </c>
      <c r="F4313" s="11" t="s">
        <v>23156</v>
      </c>
      <c r="G4313" s="11" t="s">
        <v>23291</v>
      </c>
      <c r="H4313" s="11" t="s">
        <v>23172</v>
      </c>
      <c r="I4313" s="11" t="str">
        <f>HYPERLINK("http://www.rossifuturing.it/","http://www.rossifuturing.it")</f>
        <v>http://www.rossifuturing.it</v>
      </c>
      <c r="J4313" s="12">
        <v>278.18299999999999</v>
      </c>
      <c r="K4313" s="12">
        <v>278.18299999999999</v>
      </c>
      <c r="L4313" s="13">
        <v>203.06800000000001</v>
      </c>
      <c r="M4313" s="12">
        <v>8.8330000000000002</v>
      </c>
      <c r="N4313" s="12">
        <v>8.8330000000000002</v>
      </c>
      <c r="O4313" s="12">
        <v>2.794</v>
      </c>
      <c r="P4313" s="12">
        <v>0</v>
      </c>
      <c r="Q4313" s="12">
        <v>0</v>
      </c>
      <c r="R4313" s="12">
        <v>0</v>
      </c>
    </row>
    <row r="4314" spans="1:18" ht="17" customHeight="1" x14ac:dyDescent="0.15">
      <c r="A4314" s="8" t="s">
        <v>23292</v>
      </c>
      <c r="B4314" s="9" t="s">
        <v>23293</v>
      </c>
      <c r="C4314" s="8" t="s">
        <v>23294</v>
      </c>
      <c r="D4314" s="8" t="s">
        <v>23294</v>
      </c>
      <c r="E4314" s="8" t="s">
        <v>23295</v>
      </c>
      <c r="F4314" s="8" t="s">
        <v>23163</v>
      </c>
      <c r="G4314" s="8" t="s">
        <v>23296</v>
      </c>
      <c r="H4314" s="8" t="s">
        <v>23197</v>
      </c>
      <c r="I4314" s="8" t="str">
        <f>HYPERLINK("http://www.4ebusiness.eu/","www.4ebusiness.eu")</f>
        <v>www.4ebusiness.eu</v>
      </c>
      <c r="J4314" s="10">
        <v>136.71799999999999</v>
      </c>
      <c r="K4314" s="10">
        <v>136.71799999999999</v>
      </c>
      <c r="L4314" s="10">
        <v>202.672</v>
      </c>
      <c r="M4314" s="10">
        <v>1.5609999999999999</v>
      </c>
      <c r="N4314" s="10">
        <v>1.5609999999999999</v>
      </c>
      <c r="O4314" s="10">
        <v>1.0820000000000001</v>
      </c>
      <c r="P4314" s="10">
        <v>0</v>
      </c>
      <c r="Q4314" s="10">
        <v>0</v>
      </c>
      <c r="R4314" s="10">
        <v>0</v>
      </c>
    </row>
    <row r="4315" spans="1:18" ht="17" customHeight="1" x14ac:dyDescent="0.15">
      <c r="A4315" s="11" t="s">
        <v>23297</v>
      </c>
      <c r="B4315" s="1" t="s">
        <v>23298</v>
      </c>
      <c r="C4315" s="11" t="s">
        <v>23299</v>
      </c>
      <c r="D4315" s="11" t="s">
        <v>23299</v>
      </c>
      <c r="E4315" s="11" t="s">
        <v>23300</v>
      </c>
      <c r="F4315" s="11" t="s">
        <v>23202</v>
      </c>
      <c r="G4315" s="11" t="s">
        <v>23196</v>
      </c>
      <c r="H4315" s="11" t="s">
        <v>23197</v>
      </c>
      <c r="I4315" s="11" t="str">
        <f>HYPERLINK("http://ninfeeboutique.com/","ninfeeboutique.com")</f>
        <v>ninfeeboutique.com</v>
      </c>
      <c r="J4315" s="12">
        <v>215.5</v>
      </c>
      <c r="K4315" s="12">
        <v>215.5</v>
      </c>
      <c r="L4315" s="13">
        <v>200.75200000000001</v>
      </c>
      <c r="M4315" s="12">
        <v>-2.831</v>
      </c>
      <c r="N4315" s="12">
        <v>-2.831</v>
      </c>
      <c r="O4315" s="12">
        <v>-69.180000000000007</v>
      </c>
      <c r="P4315" s="14" t="s">
        <v>23166</v>
      </c>
      <c r="Q4315" s="14" t="s">
        <v>23166</v>
      </c>
      <c r="R4315" s="12">
        <v>1</v>
      </c>
    </row>
    <row r="4316" spans="1:18" ht="17" customHeight="1" x14ac:dyDescent="0.15">
      <c r="A4316" s="8" t="s">
        <v>23301</v>
      </c>
      <c r="B4316" s="9" t="s">
        <v>23302</v>
      </c>
      <c r="C4316" s="8" t="s">
        <v>23303</v>
      </c>
      <c r="D4316" s="8" t="s">
        <v>23303</v>
      </c>
      <c r="E4316" s="8" t="s">
        <v>23304</v>
      </c>
      <c r="F4316" s="8" t="s">
        <v>23156</v>
      </c>
      <c r="G4316" s="8" t="s">
        <v>23285</v>
      </c>
      <c r="H4316" s="8" t="s">
        <v>23286</v>
      </c>
      <c r="I4316" s="8" t="str">
        <f>HYPERLINK("http://www.lineasprint.it/","www.lineasprint.it")</f>
        <v>www.lineasprint.it</v>
      </c>
      <c r="J4316" s="10">
        <v>480.91899999999998</v>
      </c>
      <c r="K4316" s="10">
        <v>480.91899999999998</v>
      </c>
      <c r="L4316" s="10">
        <v>200.61799999999999</v>
      </c>
      <c r="M4316" s="10">
        <v>34.1</v>
      </c>
      <c r="N4316" s="10">
        <v>34.1</v>
      </c>
      <c r="O4316" s="10">
        <v>29.234999999999999</v>
      </c>
      <c r="P4316" s="15" t="s">
        <v>23166</v>
      </c>
      <c r="Q4316" s="15" t="s">
        <v>23166</v>
      </c>
      <c r="R4316" s="10">
        <v>3</v>
      </c>
    </row>
    <row r="4317" spans="1:18" ht="17" customHeight="1" x14ac:dyDescent="0.15">
      <c r="A4317" s="11" t="s">
        <v>23305</v>
      </c>
      <c r="B4317" s="1" t="s">
        <v>23306</v>
      </c>
      <c r="C4317" s="11" t="s">
        <v>23307</v>
      </c>
      <c r="D4317" s="11" t="s">
        <v>23307</v>
      </c>
      <c r="E4317" s="11" t="s">
        <v>23308</v>
      </c>
      <c r="F4317" s="11" t="s">
        <v>23309</v>
      </c>
      <c r="G4317" s="11" t="s">
        <v>23310</v>
      </c>
      <c r="H4317" s="11" t="s">
        <v>23286</v>
      </c>
      <c r="I4317" s="11" t="str">
        <f>HYPERLINK("http://www.dimaarsrl.it/","www.dimaarsrl.it")</f>
        <v>www.dimaarsrl.it</v>
      </c>
      <c r="J4317" s="12">
        <v>200.20099999999999</v>
      </c>
      <c r="K4317" s="14" t="s">
        <v>23166</v>
      </c>
      <c r="L4317" s="13">
        <v>200.20099999999999</v>
      </c>
      <c r="M4317" s="12">
        <v>28.382000000000001</v>
      </c>
      <c r="N4317" s="14" t="s">
        <v>23166</v>
      </c>
      <c r="O4317" s="12">
        <v>28.382000000000001</v>
      </c>
      <c r="P4317" s="14" t="s">
        <v>23166</v>
      </c>
      <c r="Q4317" s="14" t="s">
        <v>23166</v>
      </c>
      <c r="R4317" s="14" t="s">
        <v>23166</v>
      </c>
    </row>
    <row r="4318" spans="1:18" ht="17" customHeight="1" x14ac:dyDescent="0.15">
      <c r="A4318" s="8" t="s">
        <v>23311</v>
      </c>
      <c r="B4318" s="9" t="s">
        <v>23312</v>
      </c>
      <c r="C4318" s="8" t="s">
        <v>23313</v>
      </c>
      <c r="D4318" s="8" t="s">
        <v>23313</v>
      </c>
      <c r="E4318" s="8" t="s">
        <v>23314</v>
      </c>
      <c r="F4318" s="8" t="s">
        <v>23219</v>
      </c>
      <c r="G4318" s="8" t="s">
        <v>23208</v>
      </c>
      <c r="H4318" s="8" t="s">
        <v>23165</v>
      </c>
      <c r="I4318" s="8" t="str">
        <f>HYPERLINK("http://www.perfectum.it/","www.perfectum.it")</f>
        <v>www.perfectum.it</v>
      </c>
      <c r="J4318" s="10">
        <v>212.566</v>
      </c>
      <c r="K4318" s="10">
        <v>212.566</v>
      </c>
      <c r="L4318" s="10">
        <v>200.09399999999999</v>
      </c>
      <c r="M4318" s="10">
        <v>-5.173</v>
      </c>
      <c r="N4318" s="10">
        <v>-5.173</v>
      </c>
      <c r="O4318" s="10">
        <v>2.0350000000000001</v>
      </c>
      <c r="P4318" s="10">
        <v>2</v>
      </c>
      <c r="Q4318" s="10">
        <v>2</v>
      </c>
      <c r="R4318" s="10">
        <v>2</v>
      </c>
    </row>
    <row r="4319" spans="1:18" ht="17" customHeight="1" x14ac:dyDescent="0.15">
      <c r="A4319" s="11" t="s">
        <v>23315</v>
      </c>
      <c r="B4319" s="1" t="s">
        <v>23316</v>
      </c>
      <c r="C4319" s="11" t="s">
        <v>23317</v>
      </c>
      <c r="D4319" s="11" t="s">
        <v>23317</v>
      </c>
      <c r="E4319" s="11" t="s">
        <v>23318</v>
      </c>
      <c r="F4319" s="11" t="s">
        <v>23156</v>
      </c>
      <c r="G4319" s="11" t="s">
        <v>23319</v>
      </c>
      <c r="H4319" s="11" t="s">
        <v>23158</v>
      </c>
      <c r="I4319" s="11" t="str">
        <f>HYPERLINK("http://cattaneocravatte.com/","cattaneocravatte.com")</f>
        <v>cattaneocravatte.com</v>
      </c>
      <c r="J4319" s="12">
        <v>248.68799999999999</v>
      </c>
      <c r="K4319" s="12">
        <v>248.68799999999999</v>
      </c>
      <c r="L4319" s="13">
        <v>200.01599999999999</v>
      </c>
      <c r="M4319" s="12">
        <v>0.89900000000000002</v>
      </c>
      <c r="N4319" s="12">
        <v>0.89900000000000002</v>
      </c>
      <c r="O4319" s="12">
        <v>0.84199999999999997</v>
      </c>
      <c r="P4319" s="12">
        <v>0</v>
      </c>
      <c r="Q4319" s="12">
        <v>0</v>
      </c>
      <c r="R4319" s="12">
        <v>0</v>
      </c>
    </row>
    <row r="4320" spans="1:18" ht="17" customHeight="1" x14ac:dyDescent="0.15">
      <c r="A4320" s="8" t="s">
        <v>23320</v>
      </c>
      <c r="B4320" s="9" t="s">
        <v>23321</v>
      </c>
      <c r="C4320" s="8" t="s">
        <v>23322</v>
      </c>
      <c r="D4320" s="8" t="s">
        <v>23322</v>
      </c>
      <c r="E4320" s="8" t="s">
        <v>23323</v>
      </c>
      <c r="F4320" s="8" t="s">
        <v>23324</v>
      </c>
      <c r="G4320" s="8" t="s">
        <v>23178</v>
      </c>
      <c r="H4320" s="8" t="s">
        <v>23179</v>
      </c>
      <c r="I4320" s="8" t="str">
        <f>HYPERLINK("http://www.famaronline.it/","www.famaronline.it")</f>
        <v>www.famaronline.it</v>
      </c>
      <c r="J4320" s="10">
        <v>482.06799999999998</v>
      </c>
      <c r="K4320" s="10">
        <v>482.06799999999998</v>
      </c>
      <c r="L4320" s="10">
        <v>198.35900000000001</v>
      </c>
      <c r="M4320" s="10">
        <v>19.047000000000001</v>
      </c>
      <c r="N4320" s="10">
        <v>19.047000000000001</v>
      </c>
      <c r="O4320" s="10">
        <v>2.56</v>
      </c>
      <c r="P4320" s="10">
        <v>1</v>
      </c>
      <c r="Q4320" s="10">
        <v>1</v>
      </c>
      <c r="R4320" s="10">
        <v>2</v>
      </c>
    </row>
    <row r="4321" spans="1:18" ht="17" customHeight="1" x14ac:dyDescent="0.15">
      <c r="A4321" s="11" t="s">
        <v>23325</v>
      </c>
      <c r="B4321" s="1" t="s">
        <v>23326</v>
      </c>
      <c r="C4321" s="11" t="s">
        <v>23327</v>
      </c>
      <c r="D4321" s="11" t="s">
        <v>23327</v>
      </c>
      <c r="E4321" s="11" t="s">
        <v>23328</v>
      </c>
      <c r="F4321" s="11" t="s">
        <v>23329</v>
      </c>
      <c r="G4321" s="11" t="s">
        <v>23330</v>
      </c>
      <c r="H4321" s="11" t="s">
        <v>23331</v>
      </c>
      <c r="I4321" s="11" t="str">
        <f>HYPERLINK("http://vernizzicinture.it/","vernizzicinture.it")</f>
        <v>vernizzicinture.it</v>
      </c>
      <c r="J4321" s="12">
        <v>201.577</v>
      </c>
      <c r="K4321" s="12">
        <v>201.577</v>
      </c>
      <c r="L4321" s="13">
        <v>198.40100000000001</v>
      </c>
      <c r="M4321" s="12">
        <v>3.07</v>
      </c>
      <c r="N4321" s="12">
        <v>3.07</v>
      </c>
      <c r="O4321" s="12">
        <v>3.3140000000000001</v>
      </c>
      <c r="P4321" s="12">
        <v>1</v>
      </c>
      <c r="Q4321" s="12">
        <v>1</v>
      </c>
      <c r="R4321" s="12">
        <v>3</v>
      </c>
    </row>
    <row r="4322" spans="1:18" ht="17" customHeight="1" x14ac:dyDescent="0.15">
      <c r="A4322" s="8" t="s">
        <v>23332</v>
      </c>
      <c r="B4322" s="9" t="s">
        <v>23333</v>
      </c>
      <c r="C4322" s="8" t="s">
        <v>23334</v>
      </c>
      <c r="D4322" s="8" t="s">
        <v>23334</v>
      </c>
      <c r="E4322" s="8" t="s">
        <v>23335</v>
      </c>
      <c r="F4322" s="8" t="s">
        <v>23336</v>
      </c>
      <c r="G4322" s="8" t="s">
        <v>23337</v>
      </c>
      <c r="H4322" s="8" t="s">
        <v>23338</v>
      </c>
      <c r="I4322" s="8" t="str">
        <f>HYPERLINK("http://moveroma.it/","moveroma.it")</f>
        <v>moveroma.it</v>
      </c>
      <c r="J4322" s="10">
        <v>186.52699999999999</v>
      </c>
      <c r="K4322" s="10">
        <v>186.52699999999999</v>
      </c>
      <c r="L4322" s="10">
        <v>198.06</v>
      </c>
      <c r="M4322" s="10">
        <v>0.96199999999999997</v>
      </c>
      <c r="N4322" s="10">
        <v>0.96199999999999997</v>
      </c>
      <c r="O4322" s="10">
        <v>7.2770000000000001</v>
      </c>
      <c r="P4322" s="10">
        <v>1</v>
      </c>
      <c r="Q4322" s="10">
        <v>1</v>
      </c>
      <c r="R4322" s="10">
        <v>1</v>
      </c>
    </row>
    <row r="4323" spans="1:18" ht="43" customHeight="1" x14ac:dyDescent="0.15">
      <c r="A4323" s="11" t="s">
        <v>23339</v>
      </c>
      <c r="B4323" s="1" t="s">
        <v>23340</v>
      </c>
      <c r="C4323" s="11" t="s">
        <v>23341</v>
      </c>
      <c r="D4323" s="11" t="s">
        <v>23341</v>
      </c>
      <c r="E4323" s="11" t="s">
        <v>23342</v>
      </c>
      <c r="F4323" s="11" t="s">
        <v>23343</v>
      </c>
      <c r="G4323" s="11" t="s">
        <v>23344</v>
      </c>
      <c r="H4323" s="11" t="s">
        <v>23345</v>
      </c>
      <c r="I4323" s="11" t="str">
        <f>HYPERLINK("http://inshoes.italianmoda.com/","inshoes.italianmoda.com")</f>
        <v>inshoes.italianmoda.com</v>
      </c>
      <c r="J4323" s="12">
        <v>100.03700000000001</v>
      </c>
      <c r="K4323" s="12">
        <v>100.03700000000001</v>
      </c>
      <c r="L4323" s="13">
        <v>197.12200000000001</v>
      </c>
      <c r="M4323" s="12">
        <v>-40.892000000000003</v>
      </c>
      <c r="N4323" s="12">
        <v>-40.892000000000003</v>
      </c>
      <c r="O4323" s="12">
        <v>-29.167000000000002</v>
      </c>
      <c r="P4323" s="12">
        <v>4</v>
      </c>
      <c r="Q4323" s="12">
        <v>4</v>
      </c>
      <c r="R4323" s="12">
        <v>3</v>
      </c>
    </row>
    <row r="4324" spans="1:18" ht="17" customHeight="1" x14ac:dyDescent="0.15">
      <c r="A4324" s="8" t="s">
        <v>23346</v>
      </c>
      <c r="B4324" s="9" t="s">
        <v>23347</v>
      </c>
      <c r="C4324" s="8" t="s">
        <v>23348</v>
      </c>
      <c r="D4324" s="8" t="s">
        <v>23348</v>
      </c>
      <c r="E4324" s="8" t="s">
        <v>23349</v>
      </c>
      <c r="F4324" s="8" t="s">
        <v>23336</v>
      </c>
      <c r="G4324" s="8" t="s">
        <v>23350</v>
      </c>
      <c r="H4324" s="8" t="s">
        <v>23351</v>
      </c>
      <c r="I4324" s="8" t="str">
        <f>HYPERLINK("http://campiontex.it/","campiontex.it")</f>
        <v>campiontex.it</v>
      </c>
      <c r="J4324" s="10">
        <v>185.27699999999999</v>
      </c>
      <c r="K4324" s="10">
        <v>185.27699999999999</v>
      </c>
      <c r="L4324" s="10">
        <v>196.13200000000001</v>
      </c>
      <c r="M4324" s="10">
        <v>5.149</v>
      </c>
      <c r="N4324" s="10">
        <v>5.149</v>
      </c>
      <c r="O4324" s="10">
        <v>16.651</v>
      </c>
      <c r="P4324" s="10">
        <v>4</v>
      </c>
      <c r="Q4324" s="10">
        <v>4</v>
      </c>
      <c r="R4324" s="10">
        <v>4</v>
      </c>
    </row>
    <row r="4325" spans="1:18" ht="17" customHeight="1" x14ac:dyDescent="0.15">
      <c r="A4325" s="11" t="s">
        <v>23352</v>
      </c>
      <c r="B4325" s="1" t="s">
        <v>23353</v>
      </c>
      <c r="C4325" s="11" t="s">
        <v>23354</v>
      </c>
      <c r="D4325" s="11" t="s">
        <v>23354</v>
      </c>
      <c r="E4325" s="11" t="s">
        <v>23355</v>
      </c>
      <c r="F4325" s="11" t="s">
        <v>23356</v>
      </c>
      <c r="G4325" s="11" t="s">
        <v>23357</v>
      </c>
      <c r="H4325" s="11" t="s">
        <v>23351</v>
      </c>
      <c r="I4325" s="11" t="str">
        <f>HYPERLINK("http://www.effepelle.it/","www.effepelle.it")</f>
        <v>www.effepelle.it</v>
      </c>
      <c r="J4325" s="12">
        <v>298.03699999999998</v>
      </c>
      <c r="K4325" s="12">
        <v>298.03699999999998</v>
      </c>
      <c r="L4325" s="13">
        <v>196.01</v>
      </c>
      <c r="M4325" s="12">
        <v>19.885000000000002</v>
      </c>
      <c r="N4325" s="12">
        <v>19.885000000000002</v>
      </c>
      <c r="O4325" s="12">
        <v>-0.104</v>
      </c>
      <c r="P4325" s="14" t="s">
        <v>23358</v>
      </c>
      <c r="Q4325" s="14" t="s">
        <v>23358</v>
      </c>
      <c r="R4325" s="12">
        <v>6</v>
      </c>
    </row>
    <row r="4326" spans="1:18" ht="17" customHeight="1" x14ac:dyDescent="0.15">
      <c r="A4326" s="8" t="s">
        <v>23359</v>
      </c>
      <c r="B4326" s="9" t="s">
        <v>23360</v>
      </c>
      <c r="C4326" s="8" t="s">
        <v>23361</v>
      </c>
      <c r="D4326" s="8" t="s">
        <v>23361</v>
      </c>
      <c r="E4326" s="8" t="s">
        <v>23362</v>
      </c>
      <c r="F4326" s="8" t="s">
        <v>23343</v>
      </c>
      <c r="G4326" s="8" t="s">
        <v>23363</v>
      </c>
      <c r="H4326" s="8" t="s">
        <v>23364</v>
      </c>
      <c r="I4326" s="8" t="str">
        <f>HYPERLINK("http://www.memplastiche.it/","www.memplastiche.it")</f>
        <v>www.memplastiche.it</v>
      </c>
      <c r="J4326" s="10">
        <v>257.82100000000003</v>
      </c>
      <c r="K4326" s="10">
        <v>257.82100000000003</v>
      </c>
      <c r="L4326" s="10">
        <v>195.88200000000001</v>
      </c>
      <c r="M4326" s="10">
        <v>126.595</v>
      </c>
      <c r="N4326" s="10">
        <v>126.595</v>
      </c>
      <c r="O4326" s="10">
        <v>85.632999999999996</v>
      </c>
      <c r="P4326" s="10">
        <v>4</v>
      </c>
      <c r="Q4326" s="10">
        <v>4</v>
      </c>
      <c r="R4326" s="15" t="s">
        <v>23358</v>
      </c>
    </row>
    <row r="4327" spans="1:18" ht="17" customHeight="1" x14ac:dyDescent="0.15">
      <c r="A4327" s="11" t="s">
        <v>23365</v>
      </c>
      <c r="B4327" s="1" t="s">
        <v>23366</v>
      </c>
      <c r="C4327" s="11" t="s">
        <v>23367</v>
      </c>
      <c r="D4327" s="11" t="s">
        <v>23367</v>
      </c>
      <c r="E4327" s="11" t="s">
        <v>23368</v>
      </c>
      <c r="F4327" s="11" t="s">
        <v>23369</v>
      </c>
      <c r="G4327" s="11" t="s">
        <v>23370</v>
      </c>
      <c r="H4327" s="11" t="s">
        <v>23371</v>
      </c>
      <c r="I4327" s="11" t="str">
        <f>HYPERLINK("http://calzaturesposa.com/","calzaturesposa.com")</f>
        <v>calzaturesposa.com</v>
      </c>
      <c r="J4327" s="12">
        <v>164.774</v>
      </c>
      <c r="K4327" s="12">
        <v>164.774</v>
      </c>
      <c r="L4327" s="13">
        <v>195.904</v>
      </c>
      <c r="M4327" s="12">
        <v>2.5219999999999998</v>
      </c>
      <c r="N4327" s="12">
        <v>2.5219999999999998</v>
      </c>
      <c r="O4327" s="12">
        <v>6.2030000000000003</v>
      </c>
      <c r="P4327" s="12">
        <v>2</v>
      </c>
      <c r="Q4327" s="12">
        <v>2</v>
      </c>
      <c r="R4327" s="12">
        <v>3</v>
      </c>
    </row>
    <row r="4328" spans="1:18" ht="17" customHeight="1" x14ac:dyDescent="0.15">
      <c r="A4328" s="8" t="s">
        <v>23372</v>
      </c>
      <c r="B4328" s="9" t="s">
        <v>23373</v>
      </c>
      <c r="C4328" s="8" t="s">
        <v>23374</v>
      </c>
      <c r="D4328" s="8" t="s">
        <v>23374</v>
      </c>
      <c r="E4328" s="8" t="s">
        <v>23375</v>
      </c>
      <c r="F4328" s="8" t="s">
        <v>23336</v>
      </c>
      <c r="G4328" s="8" t="s">
        <v>23376</v>
      </c>
      <c r="H4328" s="8" t="s">
        <v>23377</v>
      </c>
      <c r="I4328" s="8" t="str">
        <f>HYPERLINK("http://thenaturalflavour.com/","thenaturalflavour.com")</f>
        <v>thenaturalflavour.com</v>
      </c>
      <c r="J4328" s="10">
        <v>340.15899999999999</v>
      </c>
      <c r="K4328" s="10">
        <v>340.15899999999999</v>
      </c>
      <c r="L4328" s="10">
        <v>194.61699999999999</v>
      </c>
      <c r="M4328" s="10">
        <v>0.33500000000000002</v>
      </c>
      <c r="N4328" s="10">
        <v>0.33500000000000002</v>
      </c>
      <c r="O4328" s="10">
        <v>1.2030000000000001</v>
      </c>
      <c r="P4328" s="10">
        <v>2</v>
      </c>
      <c r="Q4328" s="10">
        <v>2</v>
      </c>
      <c r="R4328" s="10">
        <v>1</v>
      </c>
    </row>
    <row r="4329" spans="1:18" ht="17" customHeight="1" x14ac:dyDescent="0.15">
      <c r="A4329" s="11" t="s">
        <v>23378</v>
      </c>
      <c r="B4329" s="1" t="s">
        <v>23379</v>
      </c>
      <c r="C4329" s="11" t="s">
        <v>23380</v>
      </c>
      <c r="D4329" s="11" t="s">
        <v>23380</v>
      </c>
      <c r="E4329" s="11" t="s">
        <v>23381</v>
      </c>
      <c r="F4329" s="11" t="s">
        <v>23382</v>
      </c>
      <c r="G4329" s="11" t="s">
        <v>23383</v>
      </c>
      <c r="H4329" s="11" t="s">
        <v>23377</v>
      </c>
      <c r="I4329" s="11" t="str">
        <f>HYPERLINK("http://www.sartoriasanvittore.com/","www.sartoriasanvittore.com")</f>
        <v>www.sartoriasanvittore.com</v>
      </c>
      <c r="J4329" s="12">
        <v>226.86500000000001</v>
      </c>
      <c r="K4329" s="12">
        <v>226.86500000000001</v>
      </c>
      <c r="L4329" s="13">
        <v>194.43600000000001</v>
      </c>
      <c r="M4329" s="12">
        <v>-68.331000000000003</v>
      </c>
      <c r="N4329" s="12">
        <v>-68.331000000000003</v>
      </c>
      <c r="O4329" s="12">
        <v>19.488</v>
      </c>
      <c r="P4329" s="12">
        <v>11</v>
      </c>
      <c r="Q4329" s="12">
        <v>11</v>
      </c>
      <c r="R4329" s="12">
        <v>9</v>
      </c>
    </row>
    <row r="4330" spans="1:18" ht="29.5" customHeight="1" x14ac:dyDescent="0.15">
      <c r="A4330" s="8" t="s">
        <v>23384</v>
      </c>
      <c r="B4330" s="9" t="s">
        <v>23385</v>
      </c>
      <c r="C4330" s="8" t="s">
        <v>23386</v>
      </c>
      <c r="D4330" s="8" t="s">
        <v>23386</v>
      </c>
      <c r="E4330" s="8" t="s">
        <v>23387</v>
      </c>
      <c r="F4330" s="8" t="s">
        <v>23382</v>
      </c>
      <c r="G4330" s="8" t="s">
        <v>23337</v>
      </c>
      <c r="H4330" s="8" t="s">
        <v>23338</v>
      </c>
      <c r="I4330" s="8" t="str">
        <f>HYPERLINK("http://www.amotea.com/","www.amotea.com")</f>
        <v>www.amotea.com</v>
      </c>
      <c r="J4330" s="10">
        <v>265.48099999999999</v>
      </c>
      <c r="K4330" s="10">
        <v>265.48099999999999</v>
      </c>
      <c r="L4330" s="10">
        <v>194.19800000000001</v>
      </c>
      <c r="M4330" s="10">
        <v>-266.20800000000003</v>
      </c>
      <c r="N4330" s="10">
        <v>-266.20800000000003</v>
      </c>
      <c r="O4330" s="10">
        <v>-404.464</v>
      </c>
      <c r="P4330" s="10">
        <v>0</v>
      </c>
      <c r="Q4330" s="10">
        <v>0</v>
      </c>
      <c r="R4330" s="10">
        <v>0</v>
      </c>
    </row>
    <row r="4331" spans="1:18" ht="17" customHeight="1" x14ac:dyDescent="0.15">
      <c r="A4331" s="11" t="s">
        <v>23388</v>
      </c>
      <c r="B4331" s="1" t="s">
        <v>23389</v>
      </c>
      <c r="C4331" s="11" t="s">
        <v>23390</v>
      </c>
      <c r="D4331" s="11" t="s">
        <v>23390</v>
      </c>
      <c r="E4331" s="11" t="s">
        <v>23391</v>
      </c>
      <c r="F4331" s="11" t="s">
        <v>23392</v>
      </c>
      <c r="G4331" s="11" t="s">
        <v>23393</v>
      </c>
      <c r="H4331" s="11" t="s">
        <v>23331</v>
      </c>
      <c r="I4331" s="11" t="str">
        <f>HYPERLINK("http://www.robertaneri.it/","www.robertaneri.it")</f>
        <v>www.robertaneri.it</v>
      </c>
      <c r="J4331" s="12">
        <v>185.066</v>
      </c>
      <c r="K4331" s="12">
        <v>185.066</v>
      </c>
      <c r="L4331" s="13">
        <v>194.18100000000001</v>
      </c>
      <c r="M4331" s="12">
        <v>-104.736</v>
      </c>
      <c r="N4331" s="12">
        <v>-104.736</v>
      </c>
      <c r="O4331" s="12">
        <v>-243.71299999999999</v>
      </c>
      <c r="P4331" s="12">
        <v>2</v>
      </c>
      <c r="Q4331" s="12">
        <v>2</v>
      </c>
      <c r="R4331" s="12">
        <v>2</v>
      </c>
    </row>
    <row r="4332" spans="1:18" ht="17" customHeight="1" x14ac:dyDescent="0.15">
      <c r="A4332" s="8" t="s">
        <v>23394</v>
      </c>
      <c r="B4332" s="9" t="s">
        <v>23395</v>
      </c>
      <c r="C4332" s="8" t="s">
        <v>23396</v>
      </c>
      <c r="D4332" s="8" t="s">
        <v>23396</v>
      </c>
      <c r="E4332" s="8" t="s">
        <v>23397</v>
      </c>
      <c r="F4332" s="8" t="s">
        <v>23343</v>
      </c>
      <c r="G4332" s="8" t="s">
        <v>23398</v>
      </c>
      <c r="H4332" s="8" t="s">
        <v>23377</v>
      </c>
      <c r="I4332" s="8" t="str">
        <f>HYPERLINK("http://www.suolificioelisa.it/","www.suolificioelisa.it")</f>
        <v>www.suolificioelisa.it</v>
      </c>
      <c r="J4332" s="10">
        <v>862.79300000000001</v>
      </c>
      <c r="K4332" s="10">
        <v>862.79300000000001</v>
      </c>
      <c r="L4332" s="10">
        <v>193.59200000000001</v>
      </c>
      <c r="M4332" s="10">
        <v>69.914000000000001</v>
      </c>
      <c r="N4332" s="10">
        <v>69.914000000000001</v>
      </c>
      <c r="O4332" s="10">
        <v>7.24</v>
      </c>
      <c r="P4332" s="10">
        <v>6</v>
      </c>
      <c r="Q4332" s="10">
        <v>6</v>
      </c>
      <c r="R4332" s="10">
        <v>3</v>
      </c>
    </row>
    <row r="4333" spans="1:18" ht="17" customHeight="1" x14ac:dyDescent="0.15">
      <c r="A4333" s="11" t="s">
        <v>23399</v>
      </c>
      <c r="B4333" s="1" t="s">
        <v>23400</v>
      </c>
      <c r="C4333" s="11" t="s">
        <v>23401</v>
      </c>
      <c r="D4333" s="11" t="s">
        <v>23401</v>
      </c>
      <c r="E4333" s="11" t="s">
        <v>23402</v>
      </c>
      <c r="F4333" s="11" t="s">
        <v>23382</v>
      </c>
      <c r="G4333" s="11" t="s">
        <v>23403</v>
      </c>
      <c r="H4333" s="11" t="s">
        <v>23404</v>
      </c>
      <c r="I4333" s="11" t="str">
        <f>HYPERLINK("http://www.belisariocamicie.it/","www.belisariocamicie.it")</f>
        <v>www.belisariocamicie.it</v>
      </c>
      <c r="J4333" s="12">
        <v>220.52</v>
      </c>
      <c r="K4333" s="12">
        <v>220.52</v>
      </c>
      <c r="L4333" s="13">
        <v>193.38300000000001</v>
      </c>
      <c r="M4333" s="12">
        <v>3.8969999999999998</v>
      </c>
      <c r="N4333" s="12">
        <v>3.8969999999999998</v>
      </c>
      <c r="O4333" s="12">
        <v>3.097</v>
      </c>
      <c r="P4333" s="14" t="s">
        <v>23358</v>
      </c>
      <c r="Q4333" s="14" t="s">
        <v>23358</v>
      </c>
      <c r="R4333" s="12">
        <v>2</v>
      </c>
    </row>
    <row r="4334" spans="1:18" ht="17" customHeight="1" x14ac:dyDescent="0.15">
      <c r="A4334" s="8" t="s">
        <v>23405</v>
      </c>
      <c r="B4334" s="9" t="s">
        <v>23406</v>
      </c>
      <c r="C4334" s="8" t="s">
        <v>23407</v>
      </c>
      <c r="D4334" s="8" t="s">
        <v>23407</v>
      </c>
      <c r="E4334" s="8" t="s">
        <v>23408</v>
      </c>
      <c r="F4334" s="8" t="s">
        <v>23409</v>
      </c>
      <c r="G4334" s="8" t="s">
        <v>23410</v>
      </c>
      <c r="H4334" s="8" t="s">
        <v>23411</v>
      </c>
      <c r="I4334" s="8" t="str">
        <f>HYPERLINK("http://www.joavy.it/","www.joavy.it")</f>
        <v>www.joavy.it</v>
      </c>
      <c r="J4334" s="10">
        <v>208.76499999999999</v>
      </c>
      <c r="K4334" s="10">
        <v>208.76499999999999</v>
      </c>
      <c r="L4334" s="10">
        <v>193.417</v>
      </c>
      <c r="M4334" s="10">
        <v>16.556000000000001</v>
      </c>
      <c r="N4334" s="10">
        <v>16.556000000000001</v>
      </c>
      <c r="O4334" s="10">
        <v>24.855</v>
      </c>
      <c r="P4334" s="15" t="s">
        <v>23358</v>
      </c>
      <c r="Q4334" s="15" t="s">
        <v>23358</v>
      </c>
      <c r="R4334" s="10">
        <v>10</v>
      </c>
    </row>
    <row r="4335" spans="1:18" ht="29.5" customHeight="1" x14ac:dyDescent="0.15">
      <c r="A4335" s="11" t="s">
        <v>23412</v>
      </c>
      <c r="B4335" s="1" t="s">
        <v>23413</v>
      </c>
      <c r="C4335" s="11" t="s">
        <v>23414</v>
      </c>
      <c r="D4335" s="11" t="s">
        <v>23414</v>
      </c>
      <c r="E4335" s="11" t="s">
        <v>23415</v>
      </c>
      <c r="F4335" s="11" t="s">
        <v>23416</v>
      </c>
      <c r="G4335" s="11" t="s">
        <v>23417</v>
      </c>
      <c r="H4335" s="11" t="s">
        <v>23338</v>
      </c>
      <c r="I4335" s="11" t="str">
        <f>HYPERLINK("http://val-fashion-srl-02477850602.quantofattura.com/","val-fashion-srl-02477850602.quantofattura.com")</f>
        <v>val-fashion-srl-02477850602.quantofattura.com</v>
      </c>
      <c r="J4335" s="12">
        <v>191.94900000000001</v>
      </c>
      <c r="K4335" s="12">
        <v>191.94900000000001</v>
      </c>
      <c r="L4335" s="13">
        <v>193.14099999999999</v>
      </c>
      <c r="M4335" s="12">
        <v>29.379000000000001</v>
      </c>
      <c r="N4335" s="12">
        <v>29.379000000000001</v>
      </c>
      <c r="O4335" s="12">
        <v>21.834</v>
      </c>
      <c r="P4335" s="14" t="s">
        <v>23358</v>
      </c>
      <c r="Q4335" s="14" t="s">
        <v>23358</v>
      </c>
      <c r="R4335" s="12">
        <v>9</v>
      </c>
    </row>
    <row r="4336" spans="1:18" ht="29.5" customHeight="1" x14ac:dyDescent="0.15">
      <c r="A4336" s="8" t="s">
        <v>23418</v>
      </c>
      <c r="B4336" s="9" t="s">
        <v>23419</v>
      </c>
      <c r="C4336" s="8" t="s">
        <v>23420</v>
      </c>
      <c r="D4336" s="8" t="s">
        <v>23420</v>
      </c>
      <c r="E4336" s="8" t="s">
        <v>23421</v>
      </c>
      <c r="F4336" s="8" t="s">
        <v>23369</v>
      </c>
      <c r="G4336" s="8" t="s">
        <v>23422</v>
      </c>
      <c r="H4336" s="8" t="s">
        <v>23364</v>
      </c>
      <c r="I4336" s="8" t="str">
        <f>HYPERLINK("http://www.francocimadamore.it/","www.francocimadamore.it")</f>
        <v>www.francocimadamore.it</v>
      </c>
      <c r="J4336" s="10">
        <v>267.63299999999998</v>
      </c>
      <c r="K4336" s="10">
        <v>267.63299999999998</v>
      </c>
      <c r="L4336" s="10">
        <v>192.24</v>
      </c>
      <c r="M4336" s="10">
        <v>22.827000000000002</v>
      </c>
      <c r="N4336" s="10">
        <v>22.827000000000002</v>
      </c>
      <c r="O4336" s="10">
        <v>-33.853000000000002</v>
      </c>
      <c r="P4336" s="10">
        <v>2</v>
      </c>
      <c r="Q4336" s="10">
        <v>2</v>
      </c>
      <c r="R4336" s="10">
        <v>3</v>
      </c>
    </row>
    <row r="4337" spans="1:18" ht="17" customHeight="1" x14ac:dyDescent="0.15">
      <c r="A4337" s="11" t="s">
        <v>23423</v>
      </c>
      <c r="B4337" s="1" t="s">
        <v>23424</v>
      </c>
      <c r="C4337" s="11" t="s">
        <v>23425</v>
      </c>
      <c r="D4337" s="11" t="s">
        <v>23425</v>
      </c>
      <c r="E4337" s="11" t="s">
        <v>23426</v>
      </c>
      <c r="F4337" s="11" t="s">
        <v>23369</v>
      </c>
      <c r="G4337" s="11" t="s">
        <v>23427</v>
      </c>
      <c r="H4337" s="11" t="s">
        <v>23351</v>
      </c>
      <c r="I4337" s="11" t="str">
        <f>HYPERLINK("http://atalasport.it/","atalasport.it")</f>
        <v>atalasport.it</v>
      </c>
      <c r="J4337" s="12">
        <v>220.51300000000001</v>
      </c>
      <c r="K4337" s="12">
        <v>220.51300000000001</v>
      </c>
      <c r="L4337" s="13">
        <v>192.19300000000001</v>
      </c>
      <c r="M4337" s="12">
        <v>4.0039999999999996</v>
      </c>
      <c r="N4337" s="12">
        <v>4.0039999999999996</v>
      </c>
      <c r="O4337" s="12">
        <v>2.9060000000000001</v>
      </c>
      <c r="P4337" s="12">
        <v>0</v>
      </c>
      <c r="Q4337" s="12">
        <v>0</v>
      </c>
      <c r="R4337" s="12">
        <v>0</v>
      </c>
    </row>
    <row r="4338" spans="1:18" ht="17" customHeight="1" x14ac:dyDescent="0.15">
      <c r="A4338" s="8" t="s">
        <v>23428</v>
      </c>
      <c r="B4338" s="9" t="s">
        <v>23429</v>
      </c>
      <c r="C4338" s="8" t="s">
        <v>23430</v>
      </c>
      <c r="D4338" s="8" t="s">
        <v>23430</v>
      </c>
      <c r="E4338" s="8" t="s">
        <v>23431</v>
      </c>
      <c r="F4338" s="8" t="s">
        <v>23432</v>
      </c>
      <c r="G4338" s="8" t="s">
        <v>23393</v>
      </c>
      <c r="H4338" s="8" t="s">
        <v>23331</v>
      </c>
      <c r="I4338" s="8" t="str">
        <f>HYPERLINK("http://www.angelaf.it/","www.angelaf.it")</f>
        <v>www.angelaf.it</v>
      </c>
      <c r="J4338" s="10">
        <v>200.934</v>
      </c>
      <c r="K4338" s="10">
        <v>200.934</v>
      </c>
      <c r="L4338" s="10">
        <v>192.001</v>
      </c>
      <c r="M4338" s="10">
        <v>1.736</v>
      </c>
      <c r="N4338" s="10">
        <v>1.736</v>
      </c>
      <c r="O4338" s="10">
        <v>1.754</v>
      </c>
      <c r="P4338" s="10">
        <v>1</v>
      </c>
      <c r="Q4338" s="10">
        <v>1</v>
      </c>
      <c r="R4338" s="10">
        <v>1</v>
      </c>
    </row>
    <row r="4339" spans="1:18" ht="29.5" customHeight="1" x14ac:dyDescent="0.15">
      <c r="A4339" s="11" t="s">
        <v>23433</v>
      </c>
      <c r="B4339" s="1" t="s">
        <v>23434</v>
      </c>
      <c r="C4339" s="11" t="s">
        <v>23435</v>
      </c>
      <c r="D4339" s="11" t="s">
        <v>23435</v>
      </c>
      <c r="E4339" s="11" t="s">
        <v>23436</v>
      </c>
      <c r="F4339" s="11" t="s">
        <v>23382</v>
      </c>
      <c r="G4339" s="11" t="s">
        <v>23437</v>
      </c>
      <c r="H4339" s="11" t="s">
        <v>23438</v>
      </c>
      <c r="I4339" s="11" t="str">
        <f>HYPERLINK("http://coopalreves.it/","coopalreves.it")</f>
        <v>coopalreves.it</v>
      </c>
      <c r="J4339" s="12">
        <v>118.354</v>
      </c>
      <c r="K4339" s="12">
        <v>118.354</v>
      </c>
      <c r="L4339" s="13">
        <v>192.02600000000001</v>
      </c>
      <c r="M4339" s="12">
        <v>-3.593</v>
      </c>
      <c r="N4339" s="12">
        <v>-3.593</v>
      </c>
      <c r="O4339" s="12">
        <v>48.384</v>
      </c>
      <c r="P4339" s="12">
        <v>5</v>
      </c>
      <c r="Q4339" s="12">
        <v>5</v>
      </c>
      <c r="R4339" s="12">
        <v>5</v>
      </c>
    </row>
    <row r="4340" spans="1:18" ht="43" customHeight="1" x14ac:dyDescent="0.15">
      <c r="A4340" s="8" t="s">
        <v>23439</v>
      </c>
      <c r="B4340" s="9" t="s">
        <v>23440</v>
      </c>
      <c r="C4340" s="8" t="s">
        <v>23441</v>
      </c>
      <c r="D4340" s="8" t="s">
        <v>23441</v>
      </c>
      <c r="E4340" s="8" t="s">
        <v>23442</v>
      </c>
      <c r="F4340" s="8" t="s">
        <v>23432</v>
      </c>
      <c r="G4340" s="8" t="s">
        <v>23393</v>
      </c>
      <c r="H4340" s="8" t="s">
        <v>23331</v>
      </c>
      <c r="I4340" s="8" t="str">
        <f>HYPERLINK("http://www.maglificiofranceschini.com/","www.maglificiofranceschini.com")</f>
        <v>www.maglificiofranceschini.com</v>
      </c>
      <c r="J4340" s="10">
        <v>533.55700000000002</v>
      </c>
      <c r="K4340" s="10">
        <v>533.55700000000002</v>
      </c>
      <c r="L4340" s="10">
        <v>190.52099999999999</v>
      </c>
      <c r="M4340" s="10">
        <v>7.7290000000000001</v>
      </c>
      <c r="N4340" s="10">
        <v>7.7290000000000001</v>
      </c>
      <c r="O4340" s="10">
        <v>1.55</v>
      </c>
      <c r="P4340" s="10">
        <v>1</v>
      </c>
      <c r="Q4340" s="10">
        <v>1</v>
      </c>
      <c r="R4340" s="10">
        <v>0</v>
      </c>
    </row>
    <row r="4341" spans="1:18" ht="17" customHeight="1" x14ac:dyDescent="0.15">
      <c r="A4341" s="11" t="s">
        <v>23443</v>
      </c>
      <c r="B4341" s="1" t="s">
        <v>23444</v>
      </c>
      <c r="C4341" s="11" t="s">
        <v>23445</v>
      </c>
      <c r="D4341" s="11" t="s">
        <v>23445</v>
      </c>
      <c r="E4341" s="11" t="s">
        <v>23446</v>
      </c>
      <c r="F4341" s="11" t="s">
        <v>23447</v>
      </c>
      <c r="G4341" s="11" t="s">
        <v>23344</v>
      </c>
      <c r="H4341" s="11" t="s">
        <v>23345</v>
      </c>
      <c r="I4341" s="11" t="str">
        <f>HYPERLINK("http://www.conceriastella.com/","www.conceriastella.com")</f>
        <v>www.conceriastella.com</v>
      </c>
      <c r="J4341" s="12">
        <v>194.708</v>
      </c>
      <c r="K4341" s="12">
        <v>194.708</v>
      </c>
      <c r="L4341" s="13">
        <v>190.51400000000001</v>
      </c>
      <c r="M4341" s="12">
        <v>7.1459999999999999</v>
      </c>
      <c r="N4341" s="12">
        <v>7.1459999999999999</v>
      </c>
      <c r="O4341" s="12">
        <v>1.9830000000000001</v>
      </c>
      <c r="P4341" s="12">
        <v>3</v>
      </c>
      <c r="Q4341" s="12">
        <v>3</v>
      </c>
      <c r="R4341" s="12">
        <v>3</v>
      </c>
    </row>
    <row r="4342" spans="1:18" ht="17" customHeight="1" x14ac:dyDescent="0.15">
      <c r="A4342" s="8" t="s">
        <v>23448</v>
      </c>
      <c r="B4342" s="9" t="s">
        <v>23449</v>
      </c>
      <c r="C4342" s="8" t="s">
        <v>23450</v>
      </c>
      <c r="D4342" s="8" t="s">
        <v>23450</v>
      </c>
      <c r="E4342" s="8" t="s">
        <v>23451</v>
      </c>
      <c r="F4342" s="8" t="s">
        <v>23336</v>
      </c>
      <c r="G4342" s="8" t="s">
        <v>23452</v>
      </c>
      <c r="H4342" s="8" t="s">
        <v>23371</v>
      </c>
      <c r="I4342" s="8" t="str">
        <f>HYPERLINK("http://italianurbanstyle.it/","italianurbanstyle.it")</f>
        <v>italianurbanstyle.it</v>
      </c>
      <c r="J4342" s="10">
        <v>1009.525</v>
      </c>
      <c r="K4342" s="10">
        <v>1009.525</v>
      </c>
      <c r="L4342" s="10">
        <v>190.33699999999999</v>
      </c>
      <c r="M4342" s="10">
        <v>22.318999999999999</v>
      </c>
      <c r="N4342" s="10">
        <v>22.318999999999999</v>
      </c>
      <c r="O4342" s="10">
        <v>-56.209000000000003</v>
      </c>
      <c r="P4342" s="10">
        <v>8</v>
      </c>
      <c r="Q4342" s="10">
        <v>8</v>
      </c>
      <c r="R4342" s="10">
        <v>13</v>
      </c>
    </row>
    <row r="4343" spans="1:18" ht="17" customHeight="1" x14ac:dyDescent="0.15">
      <c r="A4343" s="11" t="s">
        <v>23453</v>
      </c>
      <c r="B4343" s="1" t="s">
        <v>23454</v>
      </c>
      <c r="C4343" s="11" t="s">
        <v>23455</v>
      </c>
      <c r="D4343" s="11" t="s">
        <v>23455</v>
      </c>
      <c r="E4343" s="11" t="s">
        <v>23456</v>
      </c>
      <c r="F4343" s="11" t="s">
        <v>23457</v>
      </c>
      <c r="G4343" s="11" t="s">
        <v>23458</v>
      </c>
      <c r="H4343" s="11" t="s">
        <v>23331</v>
      </c>
      <c r="I4343" s="11" t="str">
        <f>HYPERLINK("http://regenesi.com/","regenesi.com")</f>
        <v>regenesi.com</v>
      </c>
      <c r="J4343" s="12">
        <v>118.928</v>
      </c>
      <c r="K4343" s="12">
        <v>118.928</v>
      </c>
      <c r="L4343" s="13">
        <v>189.822</v>
      </c>
      <c r="M4343" s="12">
        <v>2.04</v>
      </c>
      <c r="N4343" s="12">
        <v>2.04</v>
      </c>
      <c r="O4343" s="12">
        <v>1.1739999999999999</v>
      </c>
      <c r="P4343" s="14" t="s">
        <v>23358</v>
      </c>
      <c r="Q4343" s="14" t="s">
        <v>23358</v>
      </c>
      <c r="R4343" s="12">
        <v>1</v>
      </c>
    </row>
    <row r="4344" spans="1:18" ht="17" customHeight="1" x14ac:dyDescent="0.15">
      <c r="A4344" s="8" t="s">
        <v>23459</v>
      </c>
      <c r="B4344" s="9" t="s">
        <v>23460</v>
      </c>
      <c r="C4344" s="8" t="s">
        <v>23461</v>
      </c>
      <c r="D4344" s="8" t="s">
        <v>23461</v>
      </c>
      <c r="E4344" s="8" t="s">
        <v>23462</v>
      </c>
      <c r="F4344" s="8" t="s">
        <v>23416</v>
      </c>
      <c r="G4344" s="8" t="s">
        <v>23463</v>
      </c>
      <c r="H4344" s="8" t="s">
        <v>23411</v>
      </c>
      <c r="I4344" s="8" t="str">
        <f>HYPERLINK("http://www.alessandralandolfi.it/","www.alessandralandolfi.it")</f>
        <v>www.alessandralandolfi.it</v>
      </c>
      <c r="J4344" s="10">
        <v>330.11</v>
      </c>
      <c r="K4344" s="10">
        <v>330.11</v>
      </c>
      <c r="L4344" s="10">
        <v>189.65700000000001</v>
      </c>
      <c r="M4344" s="10">
        <v>5.3680000000000003</v>
      </c>
      <c r="N4344" s="10">
        <v>5.3680000000000003</v>
      </c>
      <c r="O4344" s="10">
        <v>15.023999999999999</v>
      </c>
      <c r="P4344" s="10">
        <v>3</v>
      </c>
      <c r="Q4344" s="10">
        <v>3</v>
      </c>
      <c r="R4344" s="10">
        <v>4</v>
      </c>
    </row>
    <row r="4345" spans="1:18" ht="17" customHeight="1" x14ac:dyDescent="0.15">
      <c r="A4345" s="11" t="s">
        <v>23464</v>
      </c>
      <c r="B4345" s="1" t="s">
        <v>23465</v>
      </c>
      <c r="C4345" s="11" t="s">
        <v>23466</v>
      </c>
      <c r="D4345" s="11" t="s">
        <v>23466</v>
      </c>
      <c r="E4345" s="11" t="s">
        <v>23467</v>
      </c>
      <c r="F4345" s="11" t="s">
        <v>23457</v>
      </c>
      <c r="G4345" s="11" t="s">
        <v>23363</v>
      </c>
      <c r="H4345" s="11" t="s">
        <v>23364</v>
      </c>
      <c r="I4345" s="11" t="str">
        <f>HYPERLINK("http://luxurytech.fund/","luxurytech.fund")</f>
        <v>luxurytech.fund</v>
      </c>
      <c r="J4345" s="12">
        <v>0</v>
      </c>
      <c r="K4345" s="12">
        <v>0</v>
      </c>
      <c r="L4345" s="13">
        <v>189.73500000000001</v>
      </c>
      <c r="M4345" s="12">
        <v>-19.251999999999999</v>
      </c>
      <c r="N4345" s="12">
        <v>-19.251999999999999</v>
      </c>
      <c r="O4345" s="12">
        <v>74.138999999999996</v>
      </c>
      <c r="P4345" s="12">
        <v>0</v>
      </c>
      <c r="Q4345" s="12">
        <v>0</v>
      </c>
      <c r="R4345" s="12">
        <v>2</v>
      </c>
    </row>
    <row r="4346" spans="1:18" ht="43" customHeight="1" x14ac:dyDescent="0.15">
      <c r="A4346" s="8" t="s">
        <v>23468</v>
      </c>
      <c r="B4346" s="9" t="s">
        <v>23469</v>
      </c>
      <c r="C4346" s="8" t="s">
        <v>23470</v>
      </c>
      <c r="D4346" s="8" t="s">
        <v>23470</v>
      </c>
      <c r="E4346" s="8" t="s">
        <v>23471</v>
      </c>
      <c r="F4346" s="8" t="s">
        <v>23409</v>
      </c>
      <c r="G4346" s="8" t="s">
        <v>23383</v>
      </c>
      <c r="H4346" s="8" t="s">
        <v>23377</v>
      </c>
      <c r="I4346" s="8" t="str">
        <f>HYPERLINK("http://www.feelmefab.com/","www.feelmefab.com")</f>
        <v>www.feelmefab.com</v>
      </c>
      <c r="J4346" s="10">
        <v>250.22399999999999</v>
      </c>
      <c r="K4346" s="10">
        <v>250.22399999999999</v>
      </c>
      <c r="L4346" s="10">
        <v>189.09</v>
      </c>
      <c r="M4346" s="10">
        <v>5.6950000000000003</v>
      </c>
      <c r="N4346" s="10">
        <v>5.6950000000000003</v>
      </c>
      <c r="O4346" s="10">
        <v>13.077999999999999</v>
      </c>
      <c r="P4346" s="10">
        <v>2</v>
      </c>
      <c r="Q4346" s="10">
        <v>2</v>
      </c>
      <c r="R4346" s="10">
        <v>0</v>
      </c>
    </row>
    <row r="4347" spans="1:18" ht="17" customHeight="1" x14ac:dyDescent="0.15">
      <c r="A4347" s="11" t="s">
        <v>23472</v>
      </c>
      <c r="B4347" s="1" t="s">
        <v>23473</v>
      </c>
      <c r="C4347" s="11" t="s">
        <v>23474</v>
      </c>
      <c r="D4347" s="11" t="s">
        <v>23474</v>
      </c>
      <c r="E4347" s="11" t="s">
        <v>23475</v>
      </c>
      <c r="F4347" s="11" t="s">
        <v>23382</v>
      </c>
      <c r="G4347" s="11" t="s">
        <v>23383</v>
      </c>
      <c r="H4347" s="11" t="s">
        <v>23377</v>
      </c>
      <c r="I4347" s="11" t="str">
        <f>HYPERLINK("http://www.ladylspose.it/","www.ladylspose.it")</f>
        <v>www.ladylspose.it</v>
      </c>
      <c r="J4347" s="12">
        <v>196.435</v>
      </c>
      <c r="K4347" s="12">
        <v>196.435</v>
      </c>
      <c r="L4347" s="13">
        <v>189.00899999999999</v>
      </c>
      <c r="M4347" s="12">
        <v>5.3890000000000002</v>
      </c>
      <c r="N4347" s="12">
        <v>5.3890000000000002</v>
      </c>
      <c r="O4347" s="12">
        <v>5.8680000000000003</v>
      </c>
      <c r="P4347" s="12">
        <v>2</v>
      </c>
      <c r="Q4347" s="12">
        <v>2</v>
      </c>
      <c r="R4347" s="12">
        <v>3</v>
      </c>
    </row>
    <row r="4348" spans="1:18" ht="43" customHeight="1" x14ac:dyDescent="0.15">
      <c r="A4348" s="8" t="s">
        <v>23476</v>
      </c>
      <c r="B4348" s="9" t="s">
        <v>23477</v>
      </c>
      <c r="C4348" s="8" t="s">
        <v>23478</v>
      </c>
      <c r="D4348" s="8" t="s">
        <v>23478</v>
      </c>
      <c r="E4348" s="8" t="s">
        <v>23479</v>
      </c>
      <c r="F4348" s="8" t="s">
        <v>23409</v>
      </c>
      <c r="G4348" s="8" t="s">
        <v>23480</v>
      </c>
      <c r="H4348" s="8" t="s">
        <v>23351</v>
      </c>
      <c r="I4348" s="8" t="str">
        <f>HYPERLINK("http://www.dtekgroup.net/","www.dtekgroup.net")</f>
        <v>www.dtekgroup.net</v>
      </c>
      <c r="J4348" s="10">
        <v>157.32900000000001</v>
      </c>
      <c r="K4348" s="10">
        <v>157.32900000000001</v>
      </c>
      <c r="L4348" s="10">
        <v>188.67500000000001</v>
      </c>
      <c r="M4348" s="10">
        <v>6.6070000000000002</v>
      </c>
      <c r="N4348" s="10">
        <v>6.6070000000000002</v>
      </c>
      <c r="O4348" s="10">
        <v>-31.946999999999999</v>
      </c>
      <c r="P4348" s="10">
        <v>3</v>
      </c>
      <c r="Q4348" s="10">
        <v>3</v>
      </c>
      <c r="R4348" s="10">
        <v>3</v>
      </c>
    </row>
    <row r="4349" spans="1:18" ht="17" customHeight="1" x14ac:dyDescent="0.15">
      <c r="A4349" s="11" t="s">
        <v>23481</v>
      </c>
      <c r="B4349" s="1" t="s">
        <v>23482</v>
      </c>
      <c r="C4349" s="11" t="s">
        <v>23483</v>
      </c>
      <c r="D4349" s="11" t="s">
        <v>23483</v>
      </c>
      <c r="E4349" s="11" t="s">
        <v>23484</v>
      </c>
      <c r="F4349" s="11" t="s">
        <v>23457</v>
      </c>
      <c r="G4349" s="11" t="s">
        <v>23458</v>
      </c>
      <c r="H4349" s="11" t="s">
        <v>23331</v>
      </c>
      <c r="I4349" s="11" t="str">
        <f>HYPERLINK("http://viadazeglio.com/","viadazeglio.com")</f>
        <v>viadazeglio.com</v>
      </c>
      <c r="J4349" s="12">
        <v>390.39100000000002</v>
      </c>
      <c r="K4349" s="12">
        <v>390.39100000000002</v>
      </c>
      <c r="L4349" s="13">
        <v>187.821</v>
      </c>
      <c r="M4349" s="12">
        <v>0.95599999999999996</v>
      </c>
      <c r="N4349" s="12">
        <v>0.95599999999999996</v>
      </c>
      <c r="O4349" s="12">
        <v>-55.52</v>
      </c>
      <c r="P4349" s="12">
        <v>6</v>
      </c>
      <c r="Q4349" s="12">
        <v>6</v>
      </c>
      <c r="R4349" s="12">
        <v>4</v>
      </c>
    </row>
    <row r="4350" spans="1:18" ht="17" customHeight="1" x14ac:dyDescent="0.15">
      <c r="A4350" s="8" t="s">
        <v>23485</v>
      </c>
      <c r="B4350" s="9" t="s">
        <v>23486</v>
      </c>
      <c r="C4350" s="8" t="s">
        <v>23487</v>
      </c>
      <c r="D4350" s="8" t="s">
        <v>23487</v>
      </c>
      <c r="E4350" s="8" t="s">
        <v>23488</v>
      </c>
      <c r="F4350" s="8" t="s">
        <v>23336</v>
      </c>
      <c r="G4350" s="8" t="s">
        <v>23489</v>
      </c>
      <c r="H4350" s="8" t="s">
        <v>23411</v>
      </c>
      <c r="I4350" s="8" t="str">
        <f>HYPERLINK("http://www.gildabruni.it/","www.gildabruni.it")</f>
        <v>www.gildabruni.it</v>
      </c>
      <c r="J4350" s="10">
        <v>201.881</v>
      </c>
      <c r="K4350" s="10">
        <v>201.881</v>
      </c>
      <c r="L4350" s="10">
        <v>187.02199999999999</v>
      </c>
      <c r="M4350" s="10">
        <v>-0.11899999999999999</v>
      </c>
      <c r="N4350" s="10">
        <v>-0.11899999999999999</v>
      </c>
      <c r="O4350" s="10">
        <v>-5.1849999999999996</v>
      </c>
      <c r="P4350" s="10">
        <v>2</v>
      </c>
      <c r="Q4350" s="10">
        <v>2</v>
      </c>
      <c r="R4350" s="10">
        <v>3</v>
      </c>
    </row>
    <row r="4351" spans="1:18" ht="17" customHeight="1" x14ac:dyDescent="0.15">
      <c r="A4351" s="11" t="s">
        <v>23490</v>
      </c>
      <c r="B4351" s="1" t="s">
        <v>23491</v>
      </c>
      <c r="C4351" s="11" t="s">
        <v>23492</v>
      </c>
      <c r="D4351" s="11" t="s">
        <v>23492</v>
      </c>
      <c r="E4351" s="11" t="s">
        <v>23493</v>
      </c>
      <c r="F4351" s="11" t="s">
        <v>23457</v>
      </c>
      <c r="G4351" s="11" t="s">
        <v>23363</v>
      </c>
      <c r="H4351" s="11" t="s">
        <v>23364</v>
      </c>
      <c r="I4351" s="11" t="str">
        <f>HYPERLINK("http://www.brigitteitalia.it/","www.brigitteitalia.it")</f>
        <v>www.brigitteitalia.it</v>
      </c>
      <c r="J4351" s="12">
        <v>181.792</v>
      </c>
      <c r="K4351" s="12">
        <v>181.792</v>
      </c>
      <c r="L4351" s="13">
        <v>187.048</v>
      </c>
      <c r="M4351" s="12">
        <v>-22.454000000000001</v>
      </c>
      <c r="N4351" s="12">
        <v>-22.454000000000001</v>
      </c>
      <c r="O4351" s="12">
        <v>-183.995</v>
      </c>
      <c r="P4351" s="12">
        <v>3</v>
      </c>
      <c r="Q4351" s="12">
        <v>3</v>
      </c>
      <c r="R4351" s="12">
        <v>6</v>
      </c>
    </row>
    <row r="4352" spans="1:18" ht="17" customHeight="1" x14ac:dyDescent="0.15">
      <c r="A4352" s="8" t="s">
        <v>23494</v>
      </c>
      <c r="B4352" s="9" t="s">
        <v>23495</v>
      </c>
      <c r="C4352" s="8" t="s">
        <v>23496</v>
      </c>
      <c r="D4352" s="8" t="s">
        <v>23496</v>
      </c>
      <c r="E4352" s="8" t="s">
        <v>23497</v>
      </c>
      <c r="F4352" s="8" t="s">
        <v>23392</v>
      </c>
      <c r="G4352" s="8" t="s">
        <v>23383</v>
      </c>
      <c r="H4352" s="8" t="s">
        <v>23377</v>
      </c>
      <c r="I4352" s="8" t="str">
        <f>HYPERLINK("http://www.villadelmitia.com/","www.villadelmitia.com")</f>
        <v>www.villadelmitia.com</v>
      </c>
      <c r="J4352" s="10">
        <v>164.96100000000001</v>
      </c>
      <c r="K4352" s="10">
        <v>164.96100000000001</v>
      </c>
      <c r="L4352" s="10">
        <v>186.834</v>
      </c>
      <c r="M4352" s="10">
        <v>8.3179999999999996</v>
      </c>
      <c r="N4352" s="10">
        <v>8.3179999999999996</v>
      </c>
      <c r="O4352" s="10">
        <v>7.899</v>
      </c>
      <c r="P4352" s="15" t="s">
        <v>23358</v>
      </c>
      <c r="Q4352" s="15" t="s">
        <v>23358</v>
      </c>
      <c r="R4352" s="10">
        <v>3</v>
      </c>
    </row>
    <row r="4353" spans="1:18" ht="17" customHeight="1" x14ac:dyDescent="0.15">
      <c r="A4353" s="11" t="s">
        <v>23498</v>
      </c>
      <c r="B4353" s="1" t="s">
        <v>23499</v>
      </c>
      <c r="C4353" s="11" t="s">
        <v>23500</v>
      </c>
      <c r="D4353" s="11" t="s">
        <v>23500</v>
      </c>
      <c r="E4353" s="11" t="s">
        <v>23501</v>
      </c>
      <c r="F4353" s="11" t="s">
        <v>23502</v>
      </c>
      <c r="G4353" s="11" t="s">
        <v>23503</v>
      </c>
      <c r="H4353" s="11" t="s">
        <v>23504</v>
      </c>
      <c r="I4353" s="11" t="str">
        <f>HYPERLINK("http://www.euromagliasrl.com/","www.euromagliasrl.com")</f>
        <v>www.euromagliasrl.com</v>
      </c>
      <c r="J4353" s="12">
        <v>164.446</v>
      </c>
      <c r="K4353" s="12">
        <v>164.446</v>
      </c>
      <c r="L4353" s="13">
        <v>186.64699999999999</v>
      </c>
      <c r="M4353" s="12">
        <v>0.13900000000000001</v>
      </c>
      <c r="N4353" s="12">
        <v>0.13900000000000001</v>
      </c>
      <c r="O4353" s="12">
        <v>43.563000000000002</v>
      </c>
      <c r="P4353" s="12">
        <v>2</v>
      </c>
      <c r="Q4353" s="12">
        <v>2</v>
      </c>
      <c r="R4353" s="12">
        <v>1</v>
      </c>
    </row>
    <row r="4354" spans="1:18" ht="17" customHeight="1" x14ac:dyDescent="0.15">
      <c r="A4354" s="8" t="s">
        <v>23505</v>
      </c>
      <c r="B4354" s="9" t="s">
        <v>23506</v>
      </c>
      <c r="C4354" s="8" t="s">
        <v>23507</v>
      </c>
      <c r="D4354" s="8" t="s">
        <v>23507</v>
      </c>
      <c r="E4354" s="8" t="s">
        <v>23508</v>
      </c>
      <c r="F4354" s="8" t="s">
        <v>23509</v>
      </c>
      <c r="G4354" s="8" t="s">
        <v>23510</v>
      </c>
      <c r="H4354" s="8" t="s">
        <v>23511</v>
      </c>
      <c r="I4354" s="8" t="str">
        <f>HYPERLINK("http://en.lidiacardinale.it/","en.lidiacardinale.it")</f>
        <v>en.lidiacardinale.it</v>
      </c>
      <c r="J4354" s="10">
        <v>229.65600000000001</v>
      </c>
      <c r="K4354" s="10">
        <v>229.65600000000001</v>
      </c>
      <c r="L4354" s="10">
        <v>186.386</v>
      </c>
      <c r="M4354" s="10">
        <v>9.0790000000000006</v>
      </c>
      <c r="N4354" s="10">
        <v>9.0790000000000006</v>
      </c>
      <c r="O4354" s="10">
        <v>1.167</v>
      </c>
      <c r="P4354" s="10">
        <v>5</v>
      </c>
      <c r="Q4354" s="10">
        <v>5</v>
      </c>
      <c r="R4354" s="10">
        <v>5</v>
      </c>
    </row>
    <row r="4355" spans="1:18" ht="29.5" customHeight="1" x14ac:dyDescent="0.15">
      <c r="A4355" s="11" t="s">
        <v>23512</v>
      </c>
      <c r="B4355" s="1" t="s">
        <v>23513</v>
      </c>
      <c r="C4355" s="11" t="s">
        <v>23514</v>
      </c>
      <c r="D4355" s="11" t="s">
        <v>23514</v>
      </c>
      <c r="E4355" s="11" t="s">
        <v>23515</v>
      </c>
      <c r="F4355" s="11" t="s">
        <v>23516</v>
      </c>
      <c r="G4355" s="11" t="s">
        <v>23510</v>
      </c>
      <c r="H4355" s="11" t="s">
        <v>23511</v>
      </c>
      <c r="I4355" s="11" t="str">
        <f>HYPERLINK("http://www.saintanthony.it/","www.saintanthony.it")</f>
        <v>www.saintanthony.it</v>
      </c>
      <c r="J4355" s="12">
        <v>186.446</v>
      </c>
      <c r="K4355" s="14" t="s">
        <v>23517</v>
      </c>
      <c r="L4355" s="13">
        <v>186.446</v>
      </c>
      <c r="M4355" s="12">
        <v>31.556000000000001</v>
      </c>
      <c r="N4355" s="14" t="s">
        <v>23517</v>
      </c>
      <c r="O4355" s="12">
        <v>31.556000000000001</v>
      </c>
      <c r="P4355" s="12">
        <v>0</v>
      </c>
      <c r="Q4355" s="14" t="s">
        <v>23517</v>
      </c>
      <c r="R4355" s="12">
        <v>0</v>
      </c>
    </row>
    <row r="4356" spans="1:18" ht="29.5" customHeight="1" x14ac:dyDescent="0.15">
      <c r="A4356" s="8" t="s">
        <v>23518</v>
      </c>
      <c r="B4356" s="9" t="s">
        <v>23519</v>
      </c>
      <c r="C4356" s="8" t="s">
        <v>23520</v>
      </c>
      <c r="D4356" s="8" t="s">
        <v>23520</v>
      </c>
      <c r="E4356" s="8" t="s">
        <v>23521</v>
      </c>
      <c r="F4356" s="8" t="s">
        <v>23522</v>
      </c>
      <c r="G4356" s="8" t="s">
        <v>23523</v>
      </c>
      <c r="H4356" s="8" t="s">
        <v>23524</v>
      </c>
      <c r="I4356" s="8" t="str">
        <f>HYPERLINK("http://www.calzaturificioevangard.it/","www.calzaturificioevangard.it")</f>
        <v>www.calzaturificioevangard.it</v>
      </c>
      <c r="J4356" s="10">
        <v>152.20699999999999</v>
      </c>
      <c r="K4356" s="10">
        <v>152.20699999999999</v>
      </c>
      <c r="L4356" s="10">
        <v>186.32</v>
      </c>
      <c r="M4356" s="10">
        <v>-47.634</v>
      </c>
      <c r="N4356" s="10">
        <v>-47.634</v>
      </c>
      <c r="O4356" s="10">
        <v>-38.155999999999999</v>
      </c>
      <c r="P4356" s="10">
        <v>5</v>
      </c>
      <c r="Q4356" s="10">
        <v>5</v>
      </c>
      <c r="R4356" s="10">
        <v>4</v>
      </c>
    </row>
    <row r="4357" spans="1:18" ht="17" customHeight="1" x14ac:dyDescent="0.15">
      <c r="A4357" s="11" t="s">
        <v>23525</v>
      </c>
      <c r="B4357" s="1" t="s">
        <v>23526</v>
      </c>
      <c r="C4357" s="11" t="s">
        <v>23527</v>
      </c>
      <c r="D4357" s="11" t="s">
        <v>23527</v>
      </c>
      <c r="E4357" s="11" t="s">
        <v>23528</v>
      </c>
      <c r="F4357" s="11" t="s">
        <v>23529</v>
      </c>
      <c r="G4357" s="11" t="s">
        <v>23530</v>
      </c>
      <c r="H4357" s="11" t="s">
        <v>23531</v>
      </c>
      <c r="I4357" s="11" t="str">
        <f>HYPERLINK("http://www.rio.ai/","www.rio.ai")</f>
        <v>www.rio.ai</v>
      </c>
      <c r="J4357" s="12">
        <v>190.18799999999999</v>
      </c>
      <c r="K4357" s="12">
        <v>190.18799999999999</v>
      </c>
      <c r="L4357" s="13">
        <v>185.85300000000001</v>
      </c>
      <c r="M4357" s="12">
        <v>-37.929000000000002</v>
      </c>
      <c r="N4357" s="12">
        <v>-37.929000000000002</v>
      </c>
      <c r="O4357" s="12">
        <v>-58.704999999999998</v>
      </c>
      <c r="P4357" s="14" t="s">
        <v>23517</v>
      </c>
      <c r="Q4357" s="14" t="s">
        <v>23517</v>
      </c>
      <c r="R4357" s="12">
        <v>11</v>
      </c>
    </row>
    <row r="4358" spans="1:18" ht="17" customHeight="1" x14ac:dyDescent="0.15">
      <c r="A4358" s="8" t="s">
        <v>23532</v>
      </c>
      <c r="B4358" s="9" t="s">
        <v>23533</v>
      </c>
      <c r="C4358" s="8" t="s">
        <v>23534</v>
      </c>
      <c r="D4358" s="8" t="s">
        <v>23534</v>
      </c>
      <c r="E4358" s="8" t="s">
        <v>23535</v>
      </c>
      <c r="F4358" s="8" t="s">
        <v>23529</v>
      </c>
      <c r="G4358" s="8" t="s">
        <v>23536</v>
      </c>
      <c r="H4358" s="8" t="s">
        <v>23537</v>
      </c>
      <c r="I4358" s="8" t="str">
        <f>HYPERLINK("http://www.tacchino.it/","www.tacchino.it")</f>
        <v>www.tacchino.it</v>
      </c>
      <c r="J4358" s="10">
        <v>312.73200000000003</v>
      </c>
      <c r="K4358" s="10">
        <v>312.73200000000003</v>
      </c>
      <c r="L4358" s="10">
        <v>185.78399999999999</v>
      </c>
      <c r="M4358" s="10">
        <v>3.5009999999999999</v>
      </c>
      <c r="N4358" s="10">
        <v>3.5009999999999999</v>
      </c>
      <c r="O4358" s="10">
        <v>2.0379999999999998</v>
      </c>
      <c r="P4358" s="10">
        <v>0</v>
      </c>
      <c r="Q4358" s="10">
        <v>0</v>
      </c>
      <c r="R4358" s="10">
        <v>0</v>
      </c>
    </row>
    <row r="4359" spans="1:18" ht="17" customHeight="1" x14ac:dyDescent="0.15">
      <c r="A4359" s="11" t="s">
        <v>23538</v>
      </c>
      <c r="B4359" s="1" t="s">
        <v>23539</v>
      </c>
      <c r="C4359" s="11" t="s">
        <v>23540</v>
      </c>
      <c r="D4359" s="11" t="s">
        <v>23540</v>
      </c>
      <c r="E4359" s="11" t="s">
        <v>23541</v>
      </c>
      <c r="F4359" s="11" t="s">
        <v>23542</v>
      </c>
      <c r="G4359" s="11" t="s">
        <v>23543</v>
      </c>
      <c r="H4359" s="11" t="s">
        <v>23504</v>
      </c>
      <c r="I4359" s="11" t="str">
        <f>HYPERLINK("http://www.4-14factory.com/","www.4-14factory.com")</f>
        <v>www.4-14factory.com</v>
      </c>
      <c r="J4359" s="12">
        <v>123.67</v>
      </c>
      <c r="K4359" s="12">
        <v>123.67</v>
      </c>
      <c r="L4359" s="13">
        <v>185.08199999999999</v>
      </c>
      <c r="M4359" s="12">
        <v>3.484</v>
      </c>
      <c r="N4359" s="12">
        <v>3.484</v>
      </c>
      <c r="O4359" s="12">
        <v>8.2040000000000006</v>
      </c>
      <c r="P4359" s="14" t="s">
        <v>23517</v>
      </c>
      <c r="Q4359" s="14" t="s">
        <v>23517</v>
      </c>
      <c r="R4359" s="12">
        <v>0</v>
      </c>
    </row>
    <row r="4360" spans="1:18" ht="17" customHeight="1" x14ac:dyDescent="0.15">
      <c r="A4360" s="8" t="s">
        <v>23544</v>
      </c>
      <c r="B4360" s="9" t="s">
        <v>23545</v>
      </c>
      <c r="C4360" s="8" t="s">
        <v>23546</v>
      </c>
      <c r="D4360" s="8" t="s">
        <v>23546</v>
      </c>
      <c r="E4360" s="8" t="s">
        <v>23547</v>
      </c>
      <c r="F4360" s="8" t="s">
        <v>23548</v>
      </c>
      <c r="G4360" s="8" t="s">
        <v>23503</v>
      </c>
      <c r="H4360" s="8" t="s">
        <v>23504</v>
      </c>
      <c r="I4360" s="8" t="str">
        <f>HYPERLINK("http://piccolisarti.it/","piccolisarti.it")</f>
        <v>piccolisarti.it</v>
      </c>
      <c r="J4360" s="10">
        <v>205.93799999999999</v>
      </c>
      <c r="K4360" s="10">
        <v>205.93799999999999</v>
      </c>
      <c r="L4360" s="10">
        <v>185.04300000000001</v>
      </c>
      <c r="M4360" s="10">
        <v>1.397</v>
      </c>
      <c r="N4360" s="10">
        <v>1.397</v>
      </c>
      <c r="O4360" s="10">
        <v>4.5350000000000001</v>
      </c>
      <c r="P4360" s="10">
        <v>6</v>
      </c>
      <c r="Q4360" s="10">
        <v>6</v>
      </c>
      <c r="R4360" s="10">
        <v>3</v>
      </c>
    </row>
    <row r="4361" spans="1:18" ht="17" customHeight="1" x14ac:dyDescent="0.15">
      <c r="A4361" s="11" t="s">
        <v>23549</v>
      </c>
      <c r="B4361" s="1" t="s">
        <v>23550</v>
      </c>
      <c r="C4361" s="11" t="s">
        <v>23551</v>
      </c>
      <c r="D4361" s="11" t="s">
        <v>23551</v>
      </c>
      <c r="E4361" s="11" t="s">
        <v>23552</v>
      </c>
      <c r="F4361" s="11" t="s">
        <v>23509</v>
      </c>
      <c r="G4361" s="11" t="s">
        <v>23553</v>
      </c>
      <c r="H4361" s="11" t="s">
        <v>23511</v>
      </c>
      <c r="I4361" s="11" t="str">
        <f>HYPERLINK("http://www.pantamolee.it/","www.pantamolee.it")</f>
        <v>www.pantamolee.it</v>
      </c>
      <c r="J4361" s="12">
        <v>385.34699999999998</v>
      </c>
      <c r="K4361" s="12">
        <v>385.34699999999998</v>
      </c>
      <c r="L4361" s="13">
        <v>184.77699999999999</v>
      </c>
      <c r="M4361" s="12">
        <v>8.9999999999999993E-3</v>
      </c>
      <c r="N4361" s="12">
        <v>8.9999999999999993E-3</v>
      </c>
      <c r="O4361" s="12">
        <v>0.48799999999999999</v>
      </c>
      <c r="P4361" s="12">
        <v>1</v>
      </c>
      <c r="Q4361" s="12">
        <v>1</v>
      </c>
      <c r="R4361" s="12">
        <v>0</v>
      </c>
    </row>
    <row r="4362" spans="1:18" ht="17" customHeight="1" x14ac:dyDescent="0.15">
      <c r="A4362" s="8" t="s">
        <v>23554</v>
      </c>
      <c r="B4362" s="9" t="s">
        <v>23555</v>
      </c>
      <c r="C4362" s="8" t="s">
        <v>23556</v>
      </c>
      <c r="D4362" s="8" t="s">
        <v>23556</v>
      </c>
      <c r="E4362" s="8" t="s">
        <v>23557</v>
      </c>
      <c r="F4362" s="8" t="s">
        <v>23509</v>
      </c>
      <c r="G4362" s="8" t="s">
        <v>23558</v>
      </c>
      <c r="H4362" s="8" t="s">
        <v>23511</v>
      </c>
      <c r="I4362" s="8" t="str">
        <f>HYPERLINK("http://www.giadasposi.it/","www.giadasposi.it")</f>
        <v>www.giadasposi.it</v>
      </c>
      <c r="J4362" s="10">
        <v>188.50800000000001</v>
      </c>
      <c r="K4362" s="10">
        <v>188.50800000000001</v>
      </c>
      <c r="L4362" s="10">
        <v>184.49100000000001</v>
      </c>
      <c r="M4362" s="10">
        <v>4.7770000000000001</v>
      </c>
      <c r="N4362" s="10">
        <v>4.7770000000000001</v>
      </c>
      <c r="O4362" s="10">
        <v>1.776</v>
      </c>
      <c r="P4362" s="15" t="s">
        <v>23517</v>
      </c>
      <c r="Q4362" s="15" t="s">
        <v>23517</v>
      </c>
      <c r="R4362" s="10">
        <v>5</v>
      </c>
    </row>
    <row r="4363" spans="1:18" ht="43" customHeight="1" x14ac:dyDescent="0.15">
      <c r="A4363" s="11" t="s">
        <v>23559</v>
      </c>
      <c r="B4363" s="1" t="s">
        <v>23560</v>
      </c>
      <c r="C4363" s="11" t="s">
        <v>23561</v>
      </c>
      <c r="D4363" s="11" t="s">
        <v>23561</v>
      </c>
      <c r="E4363" s="11" t="s">
        <v>23562</v>
      </c>
      <c r="F4363" s="11" t="s">
        <v>23516</v>
      </c>
      <c r="G4363" s="11" t="s">
        <v>23563</v>
      </c>
      <c r="H4363" s="11" t="s">
        <v>23564</v>
      </c>
      <c r="I4363" s="11" t="str">
        <f>HYPERLINK("http://www.paradiso1986.com/","www.paradiso1986.com")</f>
        <v>www.paradiso1986.com</v>
      </c>
      <c r="J4363" s="12">
        <v>207.86</v>
      </c>
      <c r="K4363" s="12">
        <v>207.86</v>
      </c>
      <c r="L4363" s="13">
        <v>184.363</v>
      </c>
      <c r="M4363" s="12">
        <v>5.0469999999999997</v>
      </c>
      <c r="N4363" s="12">
        <v>5.0469999999999997</v>
      </c>
      <c r="O4363" s="12">
        <v>-6.3710000000000004</v>
      </c>
      <c r="P4363" s="14" t="s">
        <v>23517</v>
      </c>
      <c r="Q4363" s="14" t="s">
        <v>23517</v>
      </c>
      <c r="R4363" s="12">
        <v>1</v>
      </c>
    </row>
    <row r="4364" spans="1:18" ht="17" customHeight="1" x14ac:dyDescent="0.15">
      <c r="A4364" s="8" t="s">
        <v>23565</v>
      </c>
      <c r="B4364" s="9" t="s">
        <v>23566</v>
      </c>
      <c r="C4364" s="8" t="s">
        <v>23567</v>
      </c>
      <c r="D4364" s="8" t="s">
        <v>23567</v>
      </c>
      <c r="E4364" s="8" t="s">
        <v>23568</v>
      </c>
      <c r="F4364" s="8" t="s">
        <v>23516</v>
      </c>
      <c r="G4364" s="8" t="s">
        <v>23510</v>
      </c>
      <c r="H4364" s="8" t="s">
        <v>23511</v>
      </c>
      <c r="I4364" s="8" t="str">
        <f>HYPERLINK("http://www.abline.it/","www.abline.it")</f>
        <v>www.abline.it</v>
      </c>
      <c r="J4364" s="10">
        <v>179.85599999999999</v>
      </c>
      <c r="K4364" s="10">
        <v>179.85599999999999</v>
      </c>
      <c r="L4364" s="10">
        <v>184.22900000000001</v>
      </c>
      <c r="M4364" s="10">
        <v>30.792999999999999</v>
      </c>
      <c r="N4364" s="10">
        <v>30.792999999999999</v>
      </c>
      <c r="O4364" s="10">
        <v>30.221</v>
      </c>
      <c r="P4364" s="10">
        <v>2</v>
      </c>
      <c r="Q4364" s="10">
        <v>2</v>
      </c>
      <c r="R4364" s="10">
        <v>2</v>
      </c>
    </row>
    <row r="4365" spans="1:18" ht="17" customHeight="1" x14ac:dyDescent="0.15">
      <c r="A4365" s="11" t="s">
        <v>23569</v>
      </c>
      <c r="B4365" s="1" t="s">
        <v>23570</v>
      </c>
      <c r="C4365" s="11" t="s">
        <v>23571</v>
      </c>
      <c r="D4365" s="11" t="s">
        <v>23571</v>
      </c>
      <c r="E4365" s="11" t="s">
        <v>23572</v>
      </c>
      <c r="F4365" s="11" t="s">
        <v>23509</v>
      </c>
      <c r="G4365" s="11" t="s">
        <v>23573</v>
      </c>
      <c r="H4365" s="11" t="s">
        <v>23574</v>
      </c>
      <c r="I4365" s="11" t="str">
        <f>HYPERLINK("http://www.sartoria-michele.com/","www.sartoria-michele.com")</f>
        <v>www.sartoria-michele.com</v>
      </c>
      <c r="J4365" s="12">
        <v>264.28800000000001</v>
      </c>
      <c r="K4365" s="12">
        <v>264.28800000000001</v>
      </c>
      <c r="L4365" s="13">
        <v>184.09700000000001</v>
      </c>
      <c r="M4365" s="12">
        <v>0.28999999999999998</v>
      </c>
      <c r="N4365" s="12">
        <v>0.28999999999999998</v>
      </c>
      <c r="O4365" s="12">
        <v>0.13900000000000001</v>
      </c>
      <c r="P4365" s="12">
        <v>2</v>
      </c>
      <c r="Q4365" s="12">
        <v>2</v>
      </c>
      <c r="R4365" s="12">
        <v>1</v>
      </c>
    </row>
    <row r="4366" spans="1:18" ht="17" customHeight="1" x14ac:dyDescent="0.15">
      <c r="A4366" s="8" t="s">
        <v>23575</v>
      </c>
      <c r="B4366" s="9" t="s">
        <v>23576</v>
      </c>
      <c r="C4366" s="8" t="s">
        <v>23577</v>
      </c>
      <c r="D4366" s="8" t="s">
        <v>23577</v>
      </c>
      <c r="E4366" s="8" t="s">
        <v>23578</v>
      </c>
      <c r="F4366" s="8" t="s">
        <v>23579</v>
      </c>
      <c r="G4366" s="8" t="s">
        <v>23503</v>
      </c>
      <c r="H4366" s="8" t="s">
        <v>23504</v>
      </c>
      <c r="I4366" s="8" t="str">
        <f>HYPERLINK("http://aravec.it/","aravec.it")</f>
        <v>aravec.it</v>
      </c>
      <c r="J4366" s="10">
        <v>379.25400000000002</v>
      </c>
      <c r="K4366" s="10">
        <v>379.25400000000002</v>
      </c>
      <c r="L4366" s="10">
        <v>183.75200000000001</v>
      </c>
      <c r="M4366" s="10">
        <v>6.4820000000000002</v>
      </c>
      <c r="N4366" s="10">
        <v>6.4820000000000002</v>
      </c>
      <c r="O4366" s="10">
        <v>2.1549999999999998</v>
      </c>
      <c r="P4366" s="10">
        <v>4</v>
      </c>
      <c r="Q4366" s="10">
        <v>4</v>
      </c>
      <c r="R4366" s="10">
        <v>4</v>
      </c>
    </row>
    <row r="4367" spans="1:18" ht="17" customHeight="1" x14ac:dyDescent="0.15">
      <c r="A4367" s="11" t="s">
        <v>23580</v>
      </c>
      <c r="B4367" s="1" t="s">
        <v>23581</v>
      </c>
      <c r="C4367" s="11" t="s">
        <v>23582</v>
      </c>
      <c r="D4367" s="11" t="s">
        <v>23582</v>
      </c>
      <c r="E4367" s="11" t="s">
        <v>23583</v>
      </c>
      <c r="F4367" s="11" t="s">
        <v>23542</v>
      </c>
      <c r="G4367" s="11" t="s">
        <v>23584</v>
      </c>
      <c r="H4367" s="11" t="s">
        <v>23585</v>
      </c>
      <c r="I4367" s="11" t="str">
        <f>HYPERLINK("http://www.30remi.it/","www.30remi.it")</f>
        <v>www.30remi.it</v>
      </c>
      <c r="J4367" s="12">
        <v>169.11699999999999</v>
      </c>
      <c r="K4367" s="12">
        <v>169.11699999999999</v>
      </c>
      <c r="L4367" s="13">
        <v>183.28700000000001</v>
      </c>
      <c r="M4367" s="12">
        <v>-23.856999999999999</v>
      </c>
      <c r="N4367" s="12">
        <v>-23.856999999999999</v>
      </c>
      <c r="O4367" s="12">
        <v>11.988</v>
      </c>
      <c r="P4367" s="12">
        <v>2</v>
      </c>
      <c r="Q4367" s="12">
        <v>2</v>
      </c>
      <c r="R4367" s="12">
        <v>2</v>
      </c>
    </row>
    <row r="4368" spans="1:18" ht="17" customHeight="1" x14ac:dyDescent="0.15">
      <c r="A4368" s="8" t="s">
        <v>23586</v>
      </c>
      <c r="B4368" s="9" t="s">
        <v>23587</v>
      </c>
      <c r="C4368" s="8" t="s">
        <v>23588</v>
      </c>
      <c r="D4368" s="8" t="s">
        <v>23588</v>
      </c>
      <c r="E4368" s="8" t="s">
        <v>23589</v>
      </c>
      <c r="F4368" s="8" t="s">
        <v>23548</v>
      </c>
      <c r="G4368" s="8" t="s">
        <v>23584</v>
      </c>
      <c r="H4368" s="8" t="s">
        <v>23585</v>
      </c>
      <c r="I4368" s="8" t="str">
        <f>HYPERLINK("http://nexosjeans.com/","nexosjeans.com")</f>
        <v>nexosjeans.com</v>
      </c>
      <c r="J4368" s="10">
        <v>193.017</v>
      </c>
      <c r="K4368" s="10">
        <v>193.017</v>
      </c>
      <c r="L4368" s="10">
        <v>182.13800000000001</v>
      </c>
      <c r="M4368" s="10">
        <v>0.53600000000000003</v>
      </c>
      <c r="N4368" s="10">
        <v>0.53600000000000003</v>
      </c>
      <c r="O4368" s="10">
        <v>1.2110000000000001</v>
      </c>
      <c r="P4368" s="15" t="s">
        <v>23517</v>
      </c>
      <c r="Q4368" s="15" t="s">
        <v>23517</v>
      </c>
      <c r="R4368" s="10">
        <v>2</v>
      </c>
    </row>
    <row r="4369" spans="1:18" ht="17" customHeight="1" x14ac:dyDescent="0.15">
      <c r="A4369" s="11" t="s">
        <v>23590</v>
      </c>
      <c r="B4369" s="1" t="s">
        <v>23591</v>
      </c>
      <c r="C4369" s="11" t="s">
        <v>23592</v>
      </c>
      <c r="D4369" s="11" t="s">
        <v>23592</v>
      </c>
      <c r="E4369" s="11" t="s">
        <v>23593</v>
      </c>
      <c r="F4369" s="11" t="s">
        <v>23529</v>
      </c>
      <c r="G4369" s="11" t="s">
        <v>23536</v>
      </c>
      <c r="H4369" s="11" t="s">
        <v>23537</v>
      </c>
      <c r="I4369" s="11" t="str">
        <f>HYPERLINK("http://www.trillytuttibrilli.it/","www.trillytuttibrilli.it")</f>
        <v>www.trillytuttibrilli.it</v>
      </c>
      <c r="J4369" s="12">
        <v>164.16800000000001</v>
      </c>
      <c r="K4369" s="12">
        <v>164.16800000000001</v>
      </c>
      <c r="L4369" s="13">
        <v>181.14599999999999</v>
      </c>
      <c r="M4369" s="12">
        <v>2.1019999999999999</v>
      </c>
      <c r="N4369" s="12">
        <v>2.1019999999999999</v>
      </c>
      <c r="O4369" s="12">
        <v>2.5760000000000001</v>
      </c>
      <c r="P4369" s="12">
        <v>2</v>
      </c>
      <c r="Q4369" s="12">
        <v>2</v>
      </c>
      <c r="R4369" s="12">
        <v>3</v>
      </c>
    </row>
    <row r="4370" spans="1:18" ht="81.75" customHeight="1" x14ac:dyDescent="0.15">
      <c r="A4370" s="8" t="s">
        <v>23594</v>
      </c>
      <c r="B4370" s="9" t="s">
        <v>23595</v>
      </c>
      <c r="C4370" s="8" t="s">
        <v>23596</v>
      </c>
      <c r="D4370" s="8" t="s">
        <v>23596</v>
      </c>
      <c r="E4370" s="8" t="s">
        <v>23597</v>
      </c>
      <c r="F4370" s="8" t="s">
        <v>23516</v>
      </c>
      <c r="G4370" s="8" t="s">
        <v>23598</v>
      </c>
      <c r="H4370" s="8" t="s">
        <v>23599</v>
      </c>
      <c r="I4370" s="8" t="str">
        <f>HYPERLINK("http://www.valterdifilippo.com/","www.valterdifilippo.com")</f>
        <v>www.valterdifilippo.com</v>
      </c>
      <c r="J4370" s="10">
        <v>180.959</v>
      </c>
      <c r="K4370" s="15" t="s">
        <v>23517</v>
      </c>
      <c r="L4370" s="10">
        <v>180.959</v>
      </c>
      <c r="M4370" s="10">
        <v>26.824999999999999</v>
      </c>
      <c r="N4370" s="15" t="s">
        <v>23517</v>
      </c>
      <c r="O4370" s="10">
        <v>26.824999999999999</v>
      </c>
      <c r="P4370" s="10">
        <v>3</v>
      </c>
      <c r="Q4370" s="15" t="s">
        <v>23517</v>
      </c>
      <c r="R4370" s="10">
        <v>3</v>
      </c>
    </row>
    <row r="4371" spans="1:18" ht="17" customHeight="1" x14ac:dyDescent="0.15">
      <c r="A4371" s="11" t="s">
        <v>23600</v>
      </c>
      <c r="B4371" s="1" t="s">
        <v>23601</v>
      </c>
      <c r="C4371" s="11" t="s">
        <v>23602</v>
      </c>
      <c r="D4371" s="11" t="s">
        <v>23602</v>
      </c>
      <c r="E4371" s="11" t="s">
        <v>23603</v>
      </c>
      <c r="F4371" s="11" t="s">
        <v>23509</v>
      </c>
      <c r="G4371" s="11" t="s">
        <v>23584</v>
      </c>
      <c r="H4371" s="11" t="s">
        <v>23585</v>
      </c>
      <c r="I4371" s="11" t="str">
        <f>HYPERLINK("http://www.pipoloatelier.it/","www.pipoloatelier.it")</f>
        <v>www.pipoloatelier.it</v>
      </c>
      <c r="J4371" s="12">
        <v>184.61500000000001</v>
      </c>
      <c r="K4371" s="12">
        <v>180.80199999999999</v>
      </c>
      <c r="L4371" s="13">
        <v>180.56299999999999</v>
      </c>
      <c r="M4371" s="12">
        <v>7.4359999999999999</v>
      </c>
      <c r="N4371" s="12">
        <v>4.7619999999999996</v>
      </c>
      <c r="O4371" s="12">
        <v>5.5289999999999999</v>
      </c>
      <c r="P4371" s="12">
        <v>5</v>
      </c>
      <c r="Q4371" s="12">
        <v>5</v>
      </c>
      <c r="R4371" s="12">
        <v>5</v>
      </c>
    </row>
    <row r="4372" spans="1:18" ht="43" customHeight="1" x14ac:dyDescent="0.15">
      <c r="A4372" s="8" t="s">
        <v>23604</v>
      </c>
      <c r="B4372" s="9" t="s">
        <v>23605</v>
      </c>
      <c r="C4372" s="8" t="s">
        <v>23606</v>
      </c>
      <c r="D4372" s="8" t="s">
        <v>23606</v>
      </c>
      <c r="E4372" s="8" t="s">
        <v>23607</v>
      </c>
      <c r="F4372" s="8" t="s">
        <v>23529</v>
      </c>
      <c r="G4372" s="8" t="s">
        <v>23608</v>
      </c>
      <c r="H4372" s="8" t="s">
        <v>23537</v>
      </c>
      <c r="I4372" s="8" t="str">
        <f>HYPERLINK("http://www.tinotrevisan.it/","www.tinotrevisan.it")</f>
        <v>www.tinotrevisan.it</v>
      </c>
      <c r="J4372" s="10">
        <v>231.27500000000001</v>
      </c>
      <c r="K4372" s="10">
        <v>231.27500000000001</v>
      </c>
      <c r="L4372" s="10">
        <v>180.28899999999999</v>
      </c>
      <c r="M4372" s="10">
        <v>8.1000000000000003E-2</v>
      </c>
      <c r="N4372" s="10">
        <v>8.1000000000000003E-2</v>
      </c>
      <c r="O4372" s="10">
        <v>0.27200000000000002</v>
      </c>
      <c r="P4372" s="10">
        <v>0</v>
      </c>
      <c r="Q4372" s="10">
        <v>0</v>
      </c>
      <c r="R4372" s="15" t="s">
        <v>23517</v>
      </c>
    </row>
    <row r="4373" spans="1:18" ht="29.5" customHeight="1" x14ac:dyDescent="0.15">
      <c r="A4373" s="11" t="s">
        <v>23609</v>
      </c>
      <c r="B4373" s="1" t="s">
        <v>23610</v>
      </c>
      <c r="C4373" s="11" t="s">
        <v>23611</v>
      </c>
      <c r="D4373" s="11" t="s">
        <v>23611</v>
      </c>
      <c r="E4373" s="11" t="s">
        <v>23612</v>
      </c>
      <c r="F4373" s="11" t="s">
        <v>23613</v>
      </c>
      <c r="G4373" s="11" t="s">
        <v>23614</v>
      </c>
      <c r="H4373" s="11" t="s">
        <v>23615</v>
      </c>
      <c r="I4373" s="11" t="str">
        <f>HYPERLINK("http://www.wsgsrl.it/","www.wsgsrl.it")</f>
        <v>www.wsgsrl.it</v>
      </c>
      <c r="J4373" s="12">
        <v>188.42599999999999</v>
      </c>
      <c r="K4373" s="12">
        <v>188.42599999999999</v>
      </c>
      <c r="L4373" s="13">
        <v>180.14099999999999</v>
      </c>
      <c r="M4373" s="12">
        <v>-0.13700000000000001</v>
      </c>
      <c r="N4373" s="12">
        <v>-0.13700000000000001</v>
      </c>
      <c r="O4373" s="12">
        <v>0.42</v>
      </c>
      <c r="P4373" s="12">
        <v>0</v>
      </c>
      <c r="Q4373" s="12">
        <v>0</v>
      </c>
      <c r="R4373" s="12">
        <v>0</v>
      </c>
    </row>
    <row r="4374" spans="1:18" ht="17" customHeight="1" x14ac:dyDescent="0.15">
      <c r="A4374" s="8" t="s">
        <v>23616</v>
      </c>
      <c r="B4374" s="9" t="s">
        <v>23617</v>
      </c>
      <c r="C4374" s="8" t="s">
        <v>23618</v>
      </c>
      <c r="D4374" s="8" t="s">
        <v>23618</v>
      </c>
      <c r="E4374" s="8" t="s">
        <v>23619</v>
      </c>
      <c r="F4374" s="8" t="s">
        <v>23579</v>
      </c>
      <c r="G4374" s="8" t="s">
        <v>23620</v>
      </c>
      <c r="H4374" s="8" t="s">
        <v>23511</v>
      </c>
      <c r="I4374" s="8" t="str">
        <f>HYPERLINK("http://www.damsco.it/","www.damsco.it")</f>
        <v>www.damsco.it</v>
      </c>
      <c r="J4374" s="10">
        <v>161.571</v>
      </c>
      <c r="K4374" s="10">
        <v>161.571</v>
      </c>
      <c r="L4374" s="10">
        <v>179.63300000000001</v>
      </c>
      <c r="M4374" s="10">
        <v>10.677</v>
      </c>
      <c r="N4374" s="10">
        <v>10.677</v>
      </c>
      <c r="O4374" s="10">
        <v>2.911</v>
      </c>
      <c r="P4374" s="10">
        <v>1</v>
      </c>
      <c r="Q4374" s="10">
        <v>1</v>
      </c>
      <c r="R4374" s="10">
        <v>1</v>
      </c>
    </row>
    <row r="4375" spans="1:18" ht="17" customHeight="1" x14ac:dyDescent="0.15">
      <c r="A4375" s="11" t="s">
        <v>23621</v>
      </c>
      <c r="B4375" s="1" t="s">
        <v>23622</v>
      </c>
      <c r="C4375" s="11" t="s">
        <v>23623</v>
      </c>
      <c r="D4375" s="11" t="s">
        <v>23623</v>
      </c>
      <c r="E4375" s="11" t="s">
        <v>23624</v>
      </c>
      <c r="F4375" s="11" t="s">
        <v>23529</v>
      </c>
      <c r="G4375" s="11" t="s">
        <v>23510</v>
      </c>
      <c r="H4375" s="11" t="s">
        <v>23511</v>
      </c>
      <c r="I4375" s="11" t="str">
        <f>HYPERLINK("http://www.mydog-petfashion.it/","www.mydog-petfashion.it")</f>
        <v>www.mydog-petfashion.it</v>
      </c>
      <c r="J4375" s="12">
        <v>184.505</v>
      </c>
      <c r="K4375" s="12">
        <v>184.505</v>
      </c>
      <c r="L4375" s="13">
        <v>178.63399999999999</v>
      </c>
      <c r="M4375" s="12">
        <v>1.87</v>
      </c>
      <c r="N4375" s="12">
        <v>1.87</v>
      </c>
      <c r="O4375" s="12">
        <v>1.2709999999999999</v>
      </c>
      <c r="P4375" s="12">
        <v>2</v>
      </c>
      <c r="Q4375" s="12">
        <v>2</v>
      </c>
      <c r="R4375" s="12">
        <v>2</v>
      </c>
    </row>
    <row r="4376" spans="1:18" ht="17" customHeight="1" x14ac:dyDescent="0.15">
      <c r="A4376" s="8" t="s">
        <v>23625</v>
      </c>
      <c r="B4376" s="9" t="s">
        <v>23626</v>
      </c>
      <c r="C4376" s="8" t="s">
        <v>23627</v>
      </c>
      <c r="D4376" s="8" t="s">
        <v>23627</v>
      </c>
      <c r="E4376" s="8" t="s">
        <v>23628</v>
      </c>
      <c r="F4376" s="8" t="s">
        <v>23629</v>
      </c>
      <c r="G4376" s="8" t="s">
        <v>23573</v>
      </c>
      <c r="H4376" s="8" t="s">
        <v>23574</v>
      </c>
      <c r="I4376" s="8" t="str">
        <f>HYPERLINK("http://www.globalwear.it/","www.globalwear.it")</f>
        <v>www.globalwear.it</v>
      </c>
      <c r="J4376" s="10">
        <v>67.893000000000001</v>
      </c>
      <c r="K4376" s="10">
        <v>67.893000000000001</v>
      </c>
      <c r="L4376" s="10">
        <v>177.50800000000001</v>
      </c>
      <c r="M4376" s="10">
        <v>-6.2919999999999998</v>
      </c>
      <c r="N4376" s="10">
        <v>-6.2919999999999998</v>
      </c>
      <c r="O4376" s="10">
        <v>-1.7410000000000001</v>
      </c>
      <c r="P4376" s="10">
        <v>1</v>
      </c>
      <c r="Q4376" s="10">
        <v>1</v>
      </c>
      <c r="R4376" s="10">
        <v>2</v>
      </c>
    </row>
    <row r="4377" spans="1:18" ht="17" customHeight="1" x14ac:dyDescent="0.15">
      <c r="A4377" s="11" t="s">
        <v>23630</v>
      </c>
      <c r="B4377" s="1" t="s">
        <v>23631</v>
      </c>
      <c r="C4377" s="11" t="s">
        <v>23632</v>
      </c>
      <c r="D4377" s="11" t="s">
        <v>23632</v>
      </c>
      <c r="E4377" s="11" t="s">
        <v>23633</v>
      </c>
      <c r="F4377" s="11" t="s">
        <v>23509</v>
      </c>
      <c r="G4377" s="11" t="s">
        <v>23634</v>
      </c>
      <c r="H4377" s="11" t="s">
        <v>23635</v>
      </c>
      <c r="I4377" s="11" t="str">
        <f>HYPERLINK("http://www.ltasnc.com/","www.ltasnc.com")</f>
        <v>www.ltasnc.com</v>
      </c>
      <c r="J4377" s="12">
        <v>153.23400000000001</v>
      </c>
      <c r="K4377" s="12">
        <v>153.23400000000001</v>
      </c>
      <c r="L4377" s="13">
        <v>177.38399999999999</v>
      </c>
      <c r="M4377" s="12">
        <v>12.423999999999999</v>
      </c>
      <c r="N4377" s="12">
        <v>12.423999999999999</v>
      </c>
      <c r="O4377" s="12">
        <v>19.774999999999999</v>
      </c>
      <c r="P4377" s="12">
        <v>5</v>
      </c>
      <c r="Q4377" s="12">
        <v>5</v>
      </c>
      <c r="R4377" s="12">
        <v>5</v>
      </c>
    </row>
    <row r="4378" spans="1:18" ht="17" customHeight="1" x14ac:dyDescent="0.15">
      <c r="A4378" s="8" t="s">
        <v>23636</v>
      </c>
      <c r="B4378" s="9" t="s">
        <v>23637</v>
      </c>
      <c r="C4378" s="8" t="s">
        <v>23638</v>
      </c>
      <c r="D4378" s="8" t="s">
        <v>23638</v>
      </c>
      <c r="E4378" s="8" t="s">
        <v>23639</v>
      </c>
      <c r="F4378" s="8" t="s">
        <v>23529</v>
      </c>
      <c r="G4378" s="8" t="s">
        <v>23640</v>
      </c>
      <c r="H4378" s="8" t="s">
        <v>23511</v>
      </c>
      <c r="I4378" s="8" t="str">
        <f>HYPERLINK("http://talhita.it/","talhita.it")</f>
        <v>talhita.it</v>
      </c>
      <c r="J4378" s="10">
        <v>175.16900000000001</v>
      </c>
      <c r="K4378" s="15" t="s">
        <v>23517</v>
      </c>
      <c r="L4378" s="10">
        <v>175.16900000000001</v>
      </c>
      <c r="M4378" s="10">
        <v>1.4950000000000001</v>
      </c>
      <c r="N4378" s="15" t="s">
        <v>23517</v>
      </c>
      <c r="O4378" s="10">
        <v>1.4950000000000001</v>
      </c>
      <c r="P4378" s="10">
        <v>3</v>
      </c>
      <c r="Q4378" s="15" t="s">
        <v>23517</v>
      </c>
      <c r="R4378" s="10">
        <v>3</v>
      </c>
    </row>
    <row r="4379" spans="1:18" ht="17" customHeight="1" x14ac:dyDescent="0.15">
      <c r="A4379" s="11" t="s">
        <v>23641</v>
      </c>
      <c r="B4379" s="1" t="s">
        <v>23642</v>
      </c>
      <c r="C4379" s="11" t="s">
        <v>23643</v>
      </c>
      <c r="D4379" s="11" t="s">
        <v>23643</v>
      </c>
      <c r="E4379" s="11" t="s">
        <v>23644</v>
      </c>
      <c r="F4379" s="11" t="s">
        <v>23629</v>
      </c>
      <c r="G4379" s="11" t="s">
        <v>23598</v>
      </c>
      <c r="H4379" s="11" t="s">
        <v>23599</v>
      </c>
      <c r="I4379" s="11" t="str">
        <f>HYPERLINK("http://teleriazed.com/","teleriazed.com")</f>
        <v>teleriazed.com</v>
      </c>
      <c r="J4379" s="12">
        <v>198.09200000000001</v>
      </c>
      <c r="K4379" s="12">
        <v>198.09200000000001</v>
      </c>
      <c r="L4379" s="13">
        <v>175.14699999999999</v>
      </c>
      <c r="M4379" s="12">
        <v>-20.41</v>
      </c>
      <c r="N4379" s="12">
        <v>-20.41</v>
      </c>
      <c r="O4379" s="12">
        <v>-73.799000000000007</v>
      </c>
      <c r="P4379" s="12">
        <v>0</v>
      </c>
      <c r="Q4379" s="12">
        <v>0</v>
      </c>
      <c r="R4379" s="12">
        <v>2</v>
      </c>
    </row>
    <row r="4380" spans="1:18" ht="17" customHeight="1" x14ac:dyDescent="0.15">
      <c r="A4380" s="8" t="s">
        <v>23645</v>
      </c>
      <c r="B4380" s="9" t="s">
        <v>23646</v>
      </c>
      <c r="C4380" s="8" t="s">
        <v>23647</v>
      </c>
      <c r="D4380" s="8" t="s">
        <v>23647</v>
      </c>
      <c r="E4380" s="8" t="s">
        <v>23648</v>
      </c>
      <c r="F4380" s="8" t="s">
        <v>23522</v>
      </c>
      <c r="G4380" s="8" t="s">
        <v>23649</v>
      </c>
      <c r="H4380" s="8" t="s">
        <v>23615</v>
      </c>
      <c r="I4380" s="8" t="str">
        <f>HYPERLINK("http://www.woowebrand.com/","www.woowebrand.com")</f>
        <v>www.woowebrand.com</v>
      </c>
      <c r="J4380" s="10">
        <v>179.505</v>
      </c>
      <c r="K4380" s="10">
        <v>179.505</v>
      </c>
      <c r="L4380" s="10">
        <v>175.07599999999999</v>
      </c>
      <c r="M4380" s="10">
        <v>-111.75</v>
      </c>
      <c r="N4380" s="10">
        <v>-111.75</v>
      </c>
      <c r="O4380" s="10">
        <v>-26.527999999999999</v>
      </c>
      <c r="P4380" s="10">
        <v>7</v>
      </c>
      <c r="Q4380" s="10">
        <v>7</v>
      </c>
      <c r="R4380" s="10">
        <v>6</v>
      </c>
    </row>
    <row r="4381" spans="1:18" ht="17" customHeight="1" x14ac:dyDescent="0.15">
      <c r="A4381" s="11" t="s">
        <v>23650</v>
      </c>
      <c r="B4381" s="1" t="s">
        <v>23651</v>
      </c>
      <c r="C4381" s="11" t="s">
        <v>23652</v>
      </c>
      <c r="D4381" s="11" t="s">
        <v>23652</v>
      </c>
      <c r="E4381" s="11" t="s">
        <v>23653</v>
      </c>
      <c r="F4381" s="11" t="s">
        <v>23629</v>
      </c>
      <c r="G4381" s="11" t="s">
        <v>23654</v>
      </c>
      <c r="H4381" s="11" t="s">
        <v>23585</v>
      </c>
      <c r="I4381" s="11" t="str">
        <f>HYPERLINK("http://www.volpeuomo.com/","www.volpeuomo.com")</f>
        <v>www.volpeuomo.com</v>
      </c>
      <c r="J4381" s="12">
        <v>91.225999999999999</v>
      </c>
      <c r="K4381" s="12">
        <v>91.225999999999999</v>
      </c>
      <c r="L4381" s="13">
        <v>174.93600000000001</v>
      </c>
      <c r="M4381" s="12">
        <v>7.67</v>
      </c>
      <c r="N4381" s="12">
        <v>7.67</v>
      </c>
      <c r="O4381" s="12">
        <v>28.71</v>
      </c>
      <c r="P4381" s="14" t="s">
        <v>23517</v>
      </c>
      <c r="Q4381" s="14" t="s">
        <v>23517</v>
      </c>
      <c r="R4381" s="12">
        <v>5</v>
      </c>
    </row>
    <row r="4382" spans="1:18" ht="29.5" customHeight="1" x14ac:dyDescent="0.15">
      <c r="A4382" s="8" t="s">
        <v>23655</v>
      </c>
      <c r="B4382" s="9" t="s">
        <v>23656</v>
      </c>
      <c r="C4382" s="8" t="s">
        <v>23657</v>
      </c>
      <c r="D4382" s="8" t="s">
        <v>23658</v>
      </c>
      <c r="E4382" s="8" t="s">
        <v>23659</v>
      </c>
      <c r="F4382" s="8" t="s">
        <v>23660</v>
      </c>
      <c r="G4382" s="8" t="s">
        <v>23661</v>
      </c>
      <c r="H4382" s="8" t="s">
        <v>23511</v>
      </c>
      <c r="I4382" s="8" t="str">
        <f>HYPERLINK("http://www.calzificiorapidinternational-castelgoffredo.it/","www.calzificiorapidinternational-castelgoffredo.it")</f>
        <v>www.calzificiorapidinternational-castelgoffredo.it</v>
      </c>
      <c r="J4382" s="10">
        <v>174.77500000000001</v>
      </c>
      <c r="K4382" s="15" t="s">
        <v>23517</v>
      </c>
      <c r="L4382" s="10">
        <v>174.77500000000001</v>
      </c>
      <c r="M4382" s="10">
        <v>3.8940000000000001</v>
      </c>
      <c r="N4382" s="15" t="s">
        <v>23517</v>
      </c>
      <c r="O4382" s="10">
        <v>3.8940000000000001</v>
      </c>
      <c r="P4382" s="10">
        <v>2</v>
      </c>
      <c r="Q4382" s="15" t="s">
        <v>23517</v>
      </c>
      <c r="R4382" s="10">
        <v>2</v>
      </c>
    </row>
    <row r="4383" spans="1:18" ht="17" customHeight="1" x14ac:dyDescent="0.15">
      <c r="A4383" s="11" t="s">
        <v>23662</v>
      </c>
      <c r="B4383" s="1" t="s">
        <v>23663</v>
      </c>
      <c r="C4383" s="11" t="s">
        <v>23664</v>
      </c>
      <c r="D4383" s="11" t="s">
        <v>23664</v>
      </c>
      <c r="E4383" s="11" t="s">
        <v>23665</v>
      </c>
      <c r="F4383" s="11" t="s">
        <v>23666</v>
      </c>
      <c r="G4383" s="11" t="s">
        <v>23667</v>
      </c>
      <c r="H4383" s="11" t="s">
        <v>23504</v>
      </c>
      <c r="I4383" s="11" t="str">
        <f>HYPERLINK("http://www.unionfur.com/","www.unionfur.com")</f>
        <v>www.unionfur.com</v>
      </c>
      <c r="J4383" s="12">
        <v>109.89</v>
      </c>
      <c r="K4383" s="12">
        <v>109.89</v>
      </c>
      <c r="L4383" s="13">
        <v>173.86500000000001</v>
      </c>
      <c r="M4383" s="12">
        <v>-0.159</v>
      </c>
      <c r="N4383" s="12">
        <v>-0.159</v>
      </c>
      <c r="O4383" s="12">
        <v>1.4410000000000001</v>
      </c>
      <c r="P4383" s="12">
        <v>1</v>
      </c>
      <c r="Q4383" s="12">
        <v>1</v>
      </c>
      <c r="R4383" s="12">
        <v>1</v>
      </c>
    </row>
    <row r="4384" spans="1:18" ht="17" customHeight="1" x14ac:dyDescent="0.15">
      <c r="A4384" s="8" t="s">
        <v>23668</v>
      </c>
      <c r="B4384" s="9" t="s">
        <v>23669</v>
      </c>
      <c r="C4384" s="8" t="s">
        <v>23670</v>
      </c>
      <c r="D4384" s="8" t="s">
        <v>23670</v>
      </c>
      <c r="E4384" s="8" t="s">
        <v>23671</v>
      </c>
      <c r="F4384" s="8" t="s">
        <v>23529</v>
      </c>
      <c r="G4384" s="8" t="s">
        <v>23672</v>
      </c>
      <c r="H4384" s="8" t="s">
        <v>23615</v>
      </c>
      <c r="I4384" s="8" t="str">
        <f>HYPERLINK("http://www.marcandcram.com/","www.marcandcram.com")</f>
        <v>www.marcandcram.com</v>
      </c>
      <c r="J4384" s="10">
        <v>595.87599999999998</v>
      </c>
      <c r="K4384" s="10">
        <v>595.87599999999998</v>
      </c>
      <c r="L4384" s="10">
        <v>173.75700000000001</v>
      </c>
      <c r="M4384" s="10">
        <v>2.2719999999999998</v>
      </c>
      <c r="N4384" s="10">
        <v>2.2719999999999998</v>
      </c>
      <c r="O4384" s="10">
        <v>0.36799999999999999</v>
      </c>
      <c r="P4384" s="10">
        <v>0</v>
      </c>
      <c r="Q4384" s="10">
        <v>0</v>
      </c>
      <c r="R4384" s="10">
        <v>0</v>
      </c>
    </row>
    <row r="4385" spans="1:18" ht="17" customHeight="1" x14ac:dyDescent="0.15">
      <c r="A4385" s="11" t="s">
        <v>23673</v>
      </c>
      <c r="B4385" s="1" t="s">
        <v>23674</v>
      </c>
      <c r="C4385" s="11" t="s">
        <v>23675</v>
      </c>
      <c r="D4385" s="11" t="s">
        <v>23675</v>
      </c>
      <c r="E4385" s="11" t="s">
        <v>23676</v>
      </c>
      <c r="F4385" s="11" t="s">
        <v>23677</v>
      </c>
      <c r="G4385" s="11" t="s">
        <v>23678</v>
      </c>
      <c r="H4385" s="11" t="s">
        <v>23679</v>
      </c>
      <c r="I4385" s="11" t="str">
        <f>HYPERLINK("http://mascherinevisiere.it/","mascherinevisiere.it")</f>
        <v>mascherinevisiere.it</v>
      </c>
      <c r="J4385" s="12">
        <v>200.666</v>
      </c>
      <c r="K4385" s="12">
        <v>200.666</v>
      </c>
      <c r="L4385" s="13">
        <v>173.77699999999999</v>
      </c>
      <c r="M4385" s="12">
        <v>-30.251000000000001</v>
      </c>
      <c r="N4385" s="12">
        <v>-30.251000000000001</v>
      </c>
      <c r="O4385" s="12">
        <v>0.03</v>
      </c>
      <c r="P4385" s="12">
        <v>1</v>
      </c>
      <c r="Q4385" s="12">
        <v>1</v>
      </c>
      <c r="R4385" s="12">
        <v>1</v>
      </c>
    </row>
    <row r="4386" spans="1:18" ht="29.5" customHeight="1" x14ac:dyDescent="0.15">
      <c r="A4386" s="8" t="s">
        <v>23680</v>
      </c>
      <c r="B4386" s="9" t="s">
        <v>23681</v>
      </c>
      <c r="C4386" s="8" t="s">
        <v>23682</v>
      </c>
      <c r="D4386" s="8" t="s">
        <v>23682</v>
      </c>
      <c r="E4386" s="8" t="s">
        <v>23683</v>
      </c>
      <c r="F4386" s="8" t="s">
        <v>23684</v>
      </c>
      <c r="G4386" s="8" t="s">
        <v>23685</v>
      </c>
      <c r="H4386" s="8" t="s">
        <v>23686</v>
      </c>
      <c r="I4386" s="8" t="str">
        <f>HYPERLINK("http://www.lacburgarello.it/","www.lacburgarello.it")</f>
        <v>www.lacburgarello.it</v>
      </c>
      <c r="J4386" s="10">
        <v>73.247</v>
      </c>
      <c r="K4386" s="10">
        <v>73.247</v>
      </c>
      <c r="L4386" s="10">
        <v>173.304</v>
      </c>
      <c r="M4386" s="10">
        <v>-71.56</v>
      </c>
      <c r="N4386" s="10">
        <v>-71.56</v>
      </c>
      <c r="O4386" s="10">
        <v>-2.7970000000000002</v>
      </c>
      <c r="P4386" s="10">
        <v>2</v>
      </c>
      <c r="Q4386" s="10">
        <v>2</v>
      </c>
      <c r="R4386" s="10">
        <v>3</v>
      </c>
    </row>
    <row r="4387" spans="1:18" ht="17" customHeight="1" x14ac:dyDescent="0.15">
      <c r="A4387" s="11" t="s">
        <v>23687</v>
      </c>
      <c r="B4387" s="1" t="s">
        <v>23688</v>
      </c>
      <c r="C4387" s="11" t="s">
        <v>23689</v>
      </c>
      <c r="D4387" s="11" t="s">
        <v>23689</v>
      </c>
      <c r="E4387" s="11" t="s">
        <v>23690</v>
      </c>
      <c r="F4387" s="11" t="s">
        <v>23691</v>
      </c>
      <c r="G4387" s="11" t="s">
        <v>23678</v>
      </c>
      <c r="H4387" s="11" t="s">
        <v>23679</v>
      </c>
      <c r="I4387" s="11" t="str">
        <f>HYPERLINK("http://repelle.it/","repelle.it")</f>
        <v>repelle.it</v>
      </c>
      <c r="J4387" s="12">
        <v>70.736999999999995</v>
      </c>
      <c r="K4387" s="12">
        <v>70.736999999999995</v>
      </c>
      <c r="L4387" s="13">
        <v>173.04400000000001</v>
      </c>
      <c r="M4387" s="12">
        <v>-18.225000000000001</v>
      </c>
      <c r="N4387" s="12">
        <v>-18.225000000000001</v>
      </c>
      <c r="O4387" s="12">
        <v>23.271000000000001</v>
      </c>
      <c r="P4387" s="12">
        <v>1</v>
      </c>
      <c r="Q4387" s="12">
        <v>1</v>
      </c>
      <c r="R4387" s="12">
        <v>1</v>
      </c>
    </row>
    <row r="4388" spans="1:18" ht="43" customHeight="1" x14ac:dyDescent="0.15">
      <c r="A4388" s="8" t="s">
        <v>23692</v>
      </c>
      <c r="B4388" s="9" t="s">
        <v>23693</v>
      </c>
      <c r="C4388" s="8" t="s">
        <v>23694</v>
      </c>
      <c r="D4388" s="8" t="s">
        <v>23694</v>
      </c>
      <c r="E4388" s="8" t="s">
        <v>23695</v>
      </c>
      <c r="F4388" s="8" t="s">
        <v>23696</v>
      </c>
      <c r="G4388" s="8" t="s">
        <v>23697</v>
      </c>
      <c r="H4388" s="8" t="s">
        <v>23698</v>
      </c>
      <c r="I4388" s="8" t="str">
        <f>HYPERLINK("http://www.sixbikini.com/","www.sixbikini.com")</f>
        <v>www.sixbikini.com</v>
      </c>
      <c r="J4388" s="10">
        <v>172.63300000000001</v>
      </c>
      <c r="K4388" s="15" t="s">
        <v>23699</v>
      </c>
      <c r="L4388" s="10">
        <v>172.63300000000001</v>
      </c>
      <c r="M4388" s="10">
        <v>-10.477</v>
      </c>
      <c r="N4388" s="15" t="s">
        <v>23699</v>
      </c>
      <c r="O4388" s="10">
        <v>-10.477</v>
      </c>
      <c r="P4388" s="10">
        <v>2</v>
      </c>
      <c r="Q4388" s="15" t="s">
        <v>23699</v>
      </c>
      <c r="R4388" s="10">
        <v>2</v>
      </c>
    </row>
    <row r="4389" spans="1:18" ht="17" customHeight="1" x14ac:dyDescent="0.15">
      <c r="A4389" s="11" t="s">
        <v>23700</v>
      </c>
      <c r="B4389" s="1" t="s">
        <v>23701</v>
      </c>
      <c r="C4389" s="11" t="s">
        <v>23702</v>
      </c>
      <c r="D4389" s="11" t="s">
        <v>23702</v>
      </c>
      <c r="E4389" s="11" t="s">
        <v>23703</v>
      </c>
      <c r="F4389" s="11" t="s">
        <v>23696</v>
      </c>
      <c r="G4389" s="11" t="s">
        <v>23704</v>
      </c>
      <c r="H4389" s="11" t="s">
        <v>23705</v>
      </c>
      <c r="I4389" s="11" t="str">
        <f>HYPERLINK("http://www.danzaespettacolo.it/","www.danzaespettacolo.it")</f>
        <v>www.danzaespettacolo.it</v>
      </c>
      <c r="J4389" s="12">
        <v>225.417</v>
      </c>
      <c r="K4389" s="12">
        <v>225.417</v>
      </c>
      <c r="L4389" s="13">
        <v>171.72499999999999</v>
      </c>
      <c r="M4389" s="12">
        <v>1.5029999999999999</v>
      </c>
      <c r="N4389" s="12">
        <v>1.5029999999999999</v>
      </c>
      <c r="O4389" s="12">
        <v>0.47599999999999998</v>
      </c>
      <c r="P4389" s="12">
        <v>4</v>
      </c>
      <c r="Q4389" s="12">
        <v>4</v>
      </c>
      <c r="R4389" s="12">
        <v>4</v>
      </c>
    </row>
    <row r="4390" spans="1:18" ht="17" customHeight="1" x14ac:dyDescent="0.15">
      <c r="A4390" s="8" t="s">
        <v>23706</v>
      </c>
      <c r="B4390" s="9" t="s">
        <v>23707</v>
      </c>
      <c r="C4390" s="8" t="s">
        <v>23708</v>
      </c>
      <c r="D4390" s="8" t="s">
        <v>23708</v>
      </c>
      <c r="E4390" s="8" t="s">
        <v>23709</v>
      </c>
      <c r="F4390" s="8" t="s">
        <v>23710</v>
      </c>
      <c r="G4390" s="8" t="s">
        <v>23711</v>
      </c>
      <c r="H4390" s="8" t="s">
        <v>23712</v>
      </c>
      <c r="I4390" s="8" t="str">
        <f>HYPERLINK("http://www.rsdm.it/","www.rsdm.it")</f>
        <v>www.rsdm.it</v>
      </c>
      <c r="J4390" s="10">
        <v>244.58699999999999</v>
      </c>
      <c r="K4390" s="10">
        <v>244.58699999999999</v>
      </c>
      <c r="L4390" s="10">
        <v>171.381</v>
      </c>
      <c r="M4390" s="10">
        <v>48.723999999999997</v>
      </c>
      <c r="N4390" s="10">
        <v>48.723999999999997</v>
      </c>
      <c r="O4390" s="10">
        <v>-33.338000000000001</v>
      </c>
      <c r="P4390" s="10">
        <v>3</v>
      </c>
      <c r="Q4390" s="10">
        <v>3</v>
      </c>
      <c r="R4390" s="10">
        <v>4</v>
      </c>
    </row>
    <row r="4391" spans="1:18" ht="43" customHeight="1" x14ac:dyDescent="0.15">
      <c r="A4391" s="11" t="s">
        <v>23713</v>
      </c>
      <c r="B4391" s="1" t="s">
        <v>23714</v>
      </c>
      <c r="C4391" s="11" t="s">
        <v>23715</v>
      </c>
      <c r="D4391" s="11" t="s">
        <v>23715</v>
      </c>
      <c r="E4391" s="11" t="s">
        <v>23716</v>
      </c>
      <c r="F4391" s="11" t="s">
        <v>23684</v>
      </c>
      <c r="G4391" s="11" t="s">
        <v>23717</v>
      </c>
      <c r="H4391" s="11" t="s">
        <v>23718</v>
      </c>
      <c r="I4391" s="11" t="str">
        <f>HYPERLINK("http://www.elegantiaromana.it/","www.elegantiaromana.it")</f>
        <v>www.elegantiaromana.it</v>
      </c>
      <c r="J4391" s="12">
        <v>1044.6669999999999</v>
      </c>
      <c r="K4391" s="12">
        <v>1044.6669999999999</v>
      </c>
      <c r="L4391" s="13">
        <v>170.857</v>
      </c>
      <c r="M4391" s="12">
        <v>43.381</v>
      </c>
      <c r="N4391" s="12">
        <v>43.381</v>
      </c>
      <c r="O4391" s="12">
        <v>0.76</v>
      </c>
      <c r="P4391" s="12">
        <v>20</v>
      </c>
      <c r="Q4391" s="12">
        <v>20</v>
      </c>
      <c r="R4391" s="12">
        <v>6</v>
      </c>
    </row>
    <row r="4392" spans="1:18" ht="17" customHeight="1" x14ac:dyDescent="0.15">
      <c r="A4392" s="8" t="s">
        <v>23719</v>
      </c>
      <c r="B4392" s="9" t="s">
        <v>23720</v>
      </c>
      <c r="C4392" s="8" t="s">
        <v>23721</v>
      </c>
      <c r="D4392" s="8" t="s">
        <v>23721</v>
      </c>
      <c r="E4392" s="8" t="s">
        <v>23722</v>
      </c>
      <c r="F4392" s="8" t="s">
        <v>23723</v>
      </c>
      <c r="G4392" s="8" t="s">
        <v>23717</v>
      </c>
      <c r="H4392" s="8" t="s">
        <v>23718</v>
      </c>
      <c r="I4392" s="8" t="str">
        <f>HYPERLINK("http://www.gaetanoaloisio.com/","www.gaetanoaloisio.com")</f>
        <v>www.gaetanoaloisio.com</v>
      </c>
      <c r="J4392" s="10">
        <v>193.58199999999999</v>
      </c>
      <c r="K4392" s="10">
        <v>193.58199999999999</v>
      </c>
      <c r="L4392" s="10">
        <v>170.84800000000001</v>
      </c>
      <c r="M4392" s="10">
        <v>13.83</v>
      </c>
      <c r="N4392" s="10">
        <v>13.83</v>
      </c>
      <c r="O4392" s="10">
        <v>11.989000000000001</v>
      </c>
      <c r="P4392" s="10">
        <v>5</v>
      </c>
      <c r="Q4392" s="10">
        <v>5</v>
      </c>
      <c r="R4392" s="10">
        <v>5</v>
      </c>
    </row>
    <row r="4393" spans="1:18" ht="17" customHeight="1" x14ac:dyDescent="0.15">
      <c r="A4393" s="11" t="s">
        <v>23724</v>
      </c>
      <c r="B4393" s="1" t="s">
        <v>23725</v>
      </c>
      <c r="C4393" s="11" t="s">
        <v>23726</v>
      </c>
      <c r="D4393" s="11" t="s">
        <v>23726</v>
      </c>
      <c r="E4393" s="11" t="s">
        <v>23727</v>
      </c>
      <c r="F4393" s="11" t="s">
        <v>23684</v>
      </c>
      <c r="G4393" s="11" t="s">
        <v>23728</v>
      </c>
      <c r="H4393" s="11" t="s">
        <v>23729</v>
      </c>
      <c r="I4393" s="11" t="str">
        <f>HYPERLINK("http://www.dichiararosa.it/","www.dichiararosa.it")</f>
        <v>www.dichiararosa.it</v>
      </c>
      <c r="J4393" s="12">
        <v>145.208</v>
      </c>
      <c r="K4393" s="12">
        <v>145.208</v>
      </c>
      <c r="L4393" s="13">
        <v>170.33099999999999</v>
      </c>
      <c r="M4393" s="12">
        <v>23.196999999999999</v>
      </c>
      <c r="N4393" s="12">
        <v>23.196999999999999</v>
      </c>
      <c r="O4393" s="12">
        <v>16.989000000000001</v>
      </c>
      <c r="P4393" s="12">
        <v>0</v>
      </c>
      <c r="Q4393" s="12">
        <v>0</v>
      </c>
      <c r="R4393" s="12">
        <v>0</v>
      </c>
    </row>
    <row r="4394" spans="1:18" ht="17" customHeight="1" x14ac:dyDescent="0.15">
      <c r="A4394" s="8" t="s">
        <v>23730</v>
      </c>
      <c r="B4394" s="9" t="s">
        <v>23731</v>
      </c>
      <c r="C4394" s="8" t="s">
        <v>23732</v>
      </c>
      <c r="D4394" s="8" t="s">
        <v>23732</v>
      </c>
      <c r="E4394" s="8" t="s">
        <v>23733</v>
      </c>
      <c r="F4394" s="8" t="s">
        <v>23696</v>
      </c>
      <c r="G4394" s="8" t="s">
        <v>23678</v>
      </c>
      <c r="H4394" s="8" t="s">
        <v>23679</v>
      </c>
      <c r="I4394" s="8" t="str">
        <f>HYPERLINK("http://www.anitroc.it/","www.anitroc.it")</f>
        <v>www.anitroc.it</v>
      </c>
      <c r="J4394" s="10">
        <v>260.54199999999997</v>
      </c>
      <c r="K4394" s="10">
        <v>260.54199999999997</v>
      </c>
      <c r="L4394" s="10">
        <v>169.476</v>
      </c>
      <c r="M4394" s="10">
        <v>15.443</v>
      </c>
      <c r="N4394" s="10">
        <v>15.443</v>
      </c>
      <c r="O4394" s="10">
        <v>-4.87</v>
      </c>
      <c r="P4394" s="15" t="s">
        <v>23699</v>
      </c>
      <c r="Q4394" s="15" t="s">
        <v>23699</v>
      </c>
      <c r="R4394" s="15" t="s">
        <v>23699</v>
      </c>
    </row>
    <row r="4395" spans="1:18" ht="43" customHeight="1" x14ac:dyDescent="0.15">
      <c r="A4395" s="11" t="s">
        <v>23734</v>
      </c>
      <c r="B4395" s="1" t="s">
        <v>23735</v>
      </c>
      <c r="C4395" s="11" t="s">
        <v>23736</v>
      </c>
      <c r="D4395" s="11" t="s">
        <v>23736</v>
      </c>
      <c r="E4395" s="11" t="s">
        <v>23737</v>
      </c>
      <c r="F4395" s="11" t="s">
        <v>23684</v>
      </c>
      <c r="G4395" s="11" t="s">
        <v>23738</v>
      </c>
      <c r="H4395" s="11" t="s">
        <v>23686</v>
      </c>
      <c r="I4395" s="11" t="str">
        <f>HYPERLINK("http://amorissimo.net/","amorissimo.net")</f>
        <v>amorissimo.net</v>
      </c>
      <c r="J4395" s="12">
        <v>73.02</v>
      </c>
      <c r="K4395" s="12">
        <v>73.02</v>
      </c>
      <c r="L4395" s="13">
        <v>169.40700000000001</v>
      </c>
      <c r="M4395" s="12">
        <v>-70.944000000000003</v>
      </c>
      <c r="N4395" s="12">
        <v>-70.944000000000003</v>
      </c>
      <c r="O4395" s="12">
        <v>-20.576000000000001</v>
      </c>
      <c r="P4395" s="12">
        <v>0</v>
      </c>
      <c r="Q4395" s="12">
        <v>0</v>
      </c>
      <c r="R4395" s="12">
        <v>0</v>
      </c>
    </row>
    <row r="4396" spans="1:18" ht="43" customHeight="1" x14ac:dyDescent="0.15">
      <c r="A4396" s="8" t="s">
        <v>23739</v>
      </c>
      <c r="B4396" s="9" t="s">
        <v>23740</v>
      </c>
      <c r="C4396" s="8" t="s">
        <v>23741</v>
      </c>
      <c r="D4396" s="8" t="s">
        <v>23741</v>
      </c>
      <c r="E4396" s="8" t="s">
        <v>23742</v>
      </c>
      <c r="F4396" s="8" t="s">
        <v>23743</v>
      </c>
      <c r="G4396" s="8" t="s">
        <v>23717</v>
      </c>
      <c r="H4396" s="8" t="s">
        <v>23718</v>
      </c>
      <c r="I4396" s="8" t="str">
        <f>HYPERLINK("http://www.sylviogiardina.com/","www.sylviogiardina.com")</f>
        <v>www.sylviogiardina.com</v>
      </c>
      <c r="J4396" s="10">
        <v>279.82100000000003</v>
      </c>
      <c r="K4396" s="10">
        <v>279.82100000000003</v>
      </c>
      <c r="L4396" s="10">
        <v>169.30199999999999</v>
      </c>
      <c r="M4396" s="10">
        <v>26.658000000000001</v>
      </c>
      <c r="N4396" s="10">
        <v>26.658000000000001</v>
      </c>
      <c r="O4396" s="10">
        <v>30.69</v>
      </c>
      <c r="P4396" s="10">
        <v>3</v>
      </c>
      <c r="Q4396" s="10">
        <v>3</v>
      </c>
      <c r="R4396" s="10">
        <v>3</v>
      </c>
    </row>
    <row r="4397" spans="1:18" ht="17" customHeight="1" x14ac:dyDescent="0.15">
      <c r="A4397" s="11" t="s">
        <v>23744</v>
      </c>
      <c r="B4397" s="1" t="s">
        <v>23745</v>
      </c>
      <c r="C4397" s="11" t="s">
        <v>23746</v>
      </c>
      <c r="D4397" s="11" t="s">
        <v>23746</v>
      </c>
      <c r="E4397" s="11" t="s">
        <v>23747</v>
      </c>
      <c r="F4397" s="11" t="s">
        <v>23684</v>
      </c>
      <c r="G4397" s="11" t="s">
        <v>23748</v>
      </c>
      <c r="H4397" s="11" t="s">
        <v>23679</v>
      </c>
      <c r="I4397" s="11" t="str">
        <f>HYPERLINK("http://webfolio.it/","webfolio.it")</f>
        <v>webfolio.it</v>
      </c>
      <c r="J4397" s="12">
        <v>206.02799999999999</v>
      </c>
      <c r="K4397" s="12">
        <v>206.02799999999999</v>
      </c>
      <c r="L4397" s="13">
        <v>169.31200000000001</v>
      </c>
      <c r="M4397" s="12">
        <v>-16.242999999999999</v>
      </c>
      <c r="N4397" s="12">
        <v>-16.242999999999999</v>
      </c>
      <c r="O4397" s="12">
        <v>4.2709999999999999</v>
      </c>
      <c r="P4397" s="12">
        <v>3</v>
      </c>
      <c r="Q4397" s="12">
        <v>3</v>
      </c>
      <c r="R4397" s="12">
        <v>3</v>
      </c>
    </row>
    <row r="4398" spans="1:18" ht="17" customHeight="1" x14ac:dyDescent="0.15">
      <c r="A4398" s="8" t="s">
        <v>23749</v>
      </c>
      <c r="B4398" s="9" t="s">
        <v>23750</v>
      </c>
      <c r="C4398" s="8" t="s">
        <v>23751</v>
      </c>
      <c r="D4398" s="8" t="s">
        <v>23751</v>
      </c>
      <c r="E4398" s="8" t="s">
        <v>23752</v>
      </c>
      <c r="F4398" s="8" t="s">
        <v>23677</v>
      </c>
      <c r="G4398" s="8" t="s">
        <v>23748</v>
      </c>
      <c r="H4398" s="8" t="s">
        <v>23679</v>
      </c>
      <c r="I4398" s="8" t="str">
        <f>HYPERLINK("http://www.cnosrl.it/","www.cnosrl.it")</f>
        <v>www.cnosrl.it</v>
      </c>
      <c r="J4398" s="10">
        <v>528.14200000000005</v>
      </c>
      <c r="K4398" s="10">
        <v>528.14200000000005</v>
      </c>
      <c r="L4398" s="10">
        <v>168.76300000000001</v>
      </c>
      <c r="M4398" s="10">
        <v>20.068000000000001</v>
      </c>
      <c r="N4398" s="10">
        <v>20.068000000000001</v>
      </c>
      <c r="O4398" s="10">
        <v>6.3869999999999996</v>
      </c>
      <c r="P4398" s="10">
        <v>0</v>
      </c>
      <c r="Q4398" s="10">
        <v>0</v>
      </c>
      <c r="R4398" s="10">
        <v>0</v>
      </c>
    </row>
    <row r="4399" spans="1:18" ht="17" customHeight="1" x14ac:dyDescent="0.15">
      <c r="A4399" s="11" t="s">
        <v>23753</v>
      </c>
      <c r="B4399" s="1" t="s">
        <v>23754</v>
      </c>
      <c r="C4399" s="11" t="s">
        <v>23755</v>
      </c>
      <c r="D4399" s="11" t="s">
        <v>23755</v>
      </c>
      <c r="E4399" s="11" t="s">
        <v>23756</v>
      </c>
      <c r="F4399" s="11" t="s">
        <v>23757</v>
      </c>
      <c r="G4399" s="11" t="s">
        <v>23758</v>
      </c>
      <c r="H4399" s="11" t="s">
        <v>23712</v>
      </c>
      <c r="I4399" s="11" t="str">
        <f>HYPERLINK("http://www.lasertekservice.it/","www.lasertekservice.it")</f>
        <v>www.lasertekservice.it</v>
      </c>
      <c r="J4399" s="12">
        <v>174.31100000000001</v>
      </c>
      <c r="K4399" s="12">
        <v>174.31100000000001</v>
      </c>
      <c r="L4399" s="13">
        <v>168.57</v>
      </c>
      <c r="M4399" s="12">
        <v>0.307</v>
      </c>
      <c r="N4399" s="12">
        <v>0.307</v>
      </c>
      <c r="O4399" s="12">
        <v>3.3450000000000002</v>
      </c>
      <c r="P4399" s="12">
        <v>3</v>
      </c>
      <c r="Q4399" s="12">
        <v>3</v>
      </c>
      <c r="R4399" s="12">
        <v>3</v>
      </c>
    </row>
    <row r="4400" spans="1:18" ht="17" customHeight="1" x14ac:dyDescent="0.15">
      <c r="A4400" s="8" t="s">
        <v>23759</v>
      </c>
      <c r="B4400" s="9" t="s">
        <v>23760</v>
      </c>
      <c r="C4400" s="8" t="s">
        <v>23761</v>
      </c>
      <c r="D4400" s="8" t="s">
        <v>23761</v>
      </c>
      <c r="E4400" s="8" t="s">
        <v>23762</v>
      </c>
      <c r="F4400" s="8" t="s">
        <v>23677</v>
      </c>
      <c r="G4400" s="8" t="s">
        <v>23763</v>
      </c>
      <c r="H4400" s="8" t="s">
        <v>23712</v>
      </c>
      <c r="I4400" s="8" t="str">
        <f>HYPERLINK("http://www.velos.it/","www.velos.it")</f>
        <v>www.velos.it</v>
      </c>
      <c r="J4400" s="10">
        <v>153.26</v>
      </c>
      <c r="K4400" s="10">
        <v>153.26</v>
      </c>
      <c r="L4400" s="10">
        <v>168.447</v>
      </c>
      <c r="M4400" s="10">
        <v>-19.100000000000001</v>
      </c>
      <c r="N4400" s="10">
        <v>-19.100000000000001</v>
      </c>
      <c r="O4400" s="10">
        <v>11.477</v>
      </c>
      <c r="P4400" s="15" t="s">
        <v>23699</v>
      </c>
      <c r="Q4400" s="15" t="s">
        <v>23699</v>
      </c>
      <c r="R4400" s="10">
        <v>2</v>
      </c>
    </row>
    <row r="4401" spans="1:18" ht="29.5" customHeight="1" x14ac:dyDescent="0.15">
      <c r="A4401" s="11" t="s">
        <v>23764</v>
      </c>
      <c r="B4401" s="1" t="s">
        <v>23765</v>
      </c>
      <c r="C4401" s="11" t="s">
        <v>23766</v>
      </c>
      <c r="D4401" s="11" t="s">
        <v>23766</v>
      </c>
      <c r="E4401" s="11" t="s">
        <v>23767</v>
      </c>
      <c r="F4401" s="11" t="s">
        <v>23757</v>
      </c>
      <c r="G4401" s="11" t="s">
        <v>23768</v>
      </c>
      <c r="H4401" s="11" t="s">
        <v>23769</v>
      </c>
      <c r="I4401" s="11" t="str">
        <f>HYPERLINK("http://www.guardolificiocampano.it/","www.guardolificiocampano.it")</f>
        <v>www.guardolificiocampano.it</v>
      </c>
      <c r="J4401" s="12">
        <v>178.59299999999999</v>
      </c>
      <c r="K4401" s="12">
        <v>178.59299999999999</v>
      </c>
      <c r="L4401" s="13">
        <v>167.435</v>
      </c>
      <c r="M4401" s="12">
        <v>6.4219999999999997</v>
      </c>
      <c r="N4401" s="12">
        <v>6.4219999999999997</v>
      </c>
      <c r="O4401" s="12">
        <v>4.4450000000000003</v>
      </c>
      <c r="P4401" s="12">
        <v>2</v>
      </c>
      <c r="Q4401" s="12">
        <v>2</v>
      </c>
      <c r="R4401" s="12">
        <v>2</v>
      </c>
    </row>
    <row r="4402" spans="1:18" ht="29.5" customHeight="1" x14ac:dyDescent="0.15">
      <c r="A4402" s="8" t="s">
        <v>23770</v>
      </c>
      <c r="B4402" s="9" t="s">
        <v>23771</v>
      </c>
      <c r="C4402" s="8" t="s">
        <v>23772</v>
      </c>
      <c r="D4402" s="8" t="s">
        <v>23772</v>
      </c>
      <c r="E4402" s="8" t="s">
        <v>23773</v>
      </c>
      <c r="F4402" s="8" t="s">
        <v>23743</v>
      </c>
      <c r="G4402" s="8" t="s">
        <v>23717</v>
      </c>
      <c r="H4402" s="8" t="s">
        <v>23718</v>
      </c>
      <c r="I4402" s="8" t="str">
        <f>HYPERLINK("http://www.andrelaug.com/","www.andrelaug.com")</f>
        <v>www.andrelaug.com</v>
      </c>
      <c r="J4402" s="10">
        <v>116.31</v>
      </c>
      <c r="K4402" s="10">
        <v>116.31</v>
      </c>
      <c r="L4402" s="10">
        <v>166.55699999999999</v>
      </c>
      <c r="M4402" s="10">
        <v>21.398</v>
      </c>
      <c r="N4402" s="10">
        <v>21.398</v>
      </c>
      <c r="O4402" s="10">
        <v>-40.029000000000003</v>
      </c>
      <c r="P4402" s="15" t="s">
        <v>23699</v>
      </c>
      <c r="Q4402" s="15" t="s">
        <v>23699</v>
      </c>
      <c r="R4402" s="10">
        <v>3</v>
      </c>
    </row>
    <row r="4403" spans="1:18" ht="17" customHeight="1" x14ac:dyDescent="0.15">
      <c r="A4403" s="11" t="s">
        <v>23774</v>
      </c>
      <c r="B4403" s="1" t="s">
        <v>23775</v>
      </c>
      <c r="C4403" s="11" t="s">
        <v>23776</v>
      </c>
      <c r="D4403" s="11" t="s">
        <v>23776</v>
      </c>
      <c r="E4403" s="11" t="s">
        <v>23777</v>
      </c>
      <c r="F4403" s="11" t="s">
        <v>23778</v>
      </c>
      <c r="G4403" s="11" t="s">
        <v>23779</v>
      </c>
      <c r="H4403" s="11" t="s">
        <v>23780</v>
      </c>
      <c r="I4403" s="11" t="str">
        <f>HYPERLINK("http://www.toscanibags.it/","www.toscanibags.it")</f>
        <v>www.toscanibags.it</v>
      </c>
      <c r="J4403" s="12">
        <v>132.93799999999999</v>
      </c>
      <c r="K4403" s="12">
        <v>132.93799999999999</v>
      </c>
      <c r="L4403" s="13">
        <v>165.92500000000001</v>
      </c>
      <c r="M4403" s="12">
        <v>1.9430000000000001</v>
      </c>
      <c r="N4403" s="12">
        <v>1.9430000000000001</v>
      </c>
      <c r="O4403" s="12">
        <v>6.8849999999999998</v>
      </c>
      <c r="P4403" s="12">
        <v>4</v>
      </c>
      <c r="Q4403" s="12">
        <v>4</v>
      </c>
      <c r="R4403" s="12">
        <v>5</v>
      </c>
    </row>
    <row r="4404" spans="1:18" ht="29.5" customHeight="1" x14ac:dyDescent="0.15">
      <c r="A4404" s="8" t="s">
        <v>23781</v>
      </c>
      <c r="B4404" s="9" t="s">
        <v>23782</v>
      </c>
      <c r="C4404" s="8" t="s">
        <v>23783</v>
      </c>
      <c r="D4404" s="8" t="s">
        <v>23783</v>
      </c>
      <c r="E4404" s="8" t="s">
        <v>23784</v>
      </c>
      <c r="F4404" s="8" t="s">
        <v>23743</v>
      </c>
      <c r="G4404" s="8" t="s">
        <v>23717</v>
      </c>
      <c r="H4404" s="8" t="s">
        <v>23718</v>
      </c>
      <c r="I4404" s="8" t="str">
        <f>HYPERLINK("http://www.sartoriaartigianale.it/","www.sartoriaartigianale.it")</f>
        <v>www.sartoriaartigianale.it</v>
      </c>
      <c r="J4404" s="10">
        <v>115.262</v>
      </c>
      <c r="K4404" s="10">
        <v>115.262</v>
      </c>
      <c r="L4404" s="10">
        <v>165.75800000000001</v>
      </c>
      <c r="M4404" s="10">
        <v>0.71</v>
      </c>
      <c r="N4404" s="10">
        <v>0.71</v>
      </c>
      <c r="O4404" s="10">
        <v>0.66500000000000004</v>
      </c>
      <c r="P4404" s="10">
        <v>5</v>
      </c>
      <c r="Q4404" s="10">
        <v>5</v>
      </c>
      <c r="R4404" s="10">
        <v>6</v>
      </c>
    </row>
    <row r="4405" spans="1:18" ht="17" customHeight="1" x14ac:dyDescent="0.15">
      <c r="A4405" s="11" t="s">
        <v>23785</v>
      </c>
      <c r="B4405" s="1" t="s">
        <v>23786</v>
      </c>
      <c r="C4405" s="11" t="s">
        <v>23787</v>
      </c>
      <c r="D4405" s="11" t="s">
        <v>23787</v>
      </c>
      <c r="E4405" s="11" t="s">
        <v>23788</v>
      </c>
      <c r="F4405" s="11" t="s">
        <v>23789</v>
      </c>
      <c r="G4405" s="11" t="s">
        <v>23790</v>
      </c>
      <c r="H4405" s="11" t="s">
        <v>23791</v>
      </c>
      <c r="I4405" s="11" t="str">
        <f>HYPERLINK("http://www.sabrielori.it/","www.sabrielori.it")</f>
        <v>www.sabrielori.it</v>
      </c>
      <c r="J4405" s="12">
        <v>136.589</v>
      </c>
      <c r="K4405" s="12">
        <v>136.589</v>
      </c>
      <c r="L4405" s="13">
        <v>165.73500000000001</v>
      </c>
      <c r="M4405" s="12">
        <v>-9.7110000000000003</v>
      </c>
      <c r="N4405" s="12">
        <v>-9.7110000000000003</v>
      </c>
      <c r="O4405" s="12">
        <v>-25.376000000000001</v>
      </c>
      <c r="P4405" s="12">
        <v>3</v>
      </c>
      <c r="Q4405" s="12">
        <v>3</v>
      </c>
      <c r="R4405" s="12">
        <v>3</v>
      </c>
    </row>
    <row r="4406" spans="1:18" ht="43" customHeight="1" x14ac:dyDescent="0.15">
      <c r="A4406" s="8" t="s">
        <v>23792</v>
      </c>
      <c r="B4406" s="9" t="s">
        <v>23793</v>
      </c>
      <c r="C4406" s="8" t="s">
        <v>23794</v>
      </c>
      <c r="D4406" s="8" t="s">
        <v>23794</v>
      </c>
      <c r="E4406" s="8" t="s">
        <v>23795</v>
      </c>
      <c r="F4406" s="8" t="s">
        <v>23778</v>
      </c>
      <c r="G4406" s="8" t="s">
        <v>23711</v>
      </c>
      <c r="H4406" s="8" t="s">
        <v>23712</v>
      </c>
      <c r="I4406" s="8" t="str">
        <f>HYPERLINK("http://www.cellerini.it/","www.cellerini.it")</f>
        <v>www.cellerini.it</v>
      </c>
      <c r="J4406" s="10">
        <v>182.18600000000001</v>
      </c>
      <c r="K4406" s="10">
        <v>182.18600000000001</v>
      </c>
      <c r="L4406" s="10">
        <v>165.292</v>
      </c>
      <c r="M4406" s="10">
        <v>0.33200000000000002</v>
      </c>
      <c r="N4406" s="10">
        <v>0.33200000000000002</v>
      </c>
      <c r="O4406" s="10">
        <v>1.5069999999999999</v>
      </c>
      <c r="P4406" s="10">
        <v>3</v>
      </c>
      <c r="Q4406" s="10">
        <v>3</v>
      </c>
      <c r="R4406" s="10">
        <v>0</v>
      </c>
    </row>
    <row r="4407" spans="1:18" ht="43" customHeight="1" x14ac:dyDescent="0.15">
      <c r="A4407" s="11" t="s">
        <v>23796</v>
      </c>
      <c r="B4407" s="1" t="s">
        <v>23797</v>
      </c>
      <c r="C4407" s="11" t="s">
        <v>23798</v>
      </c>
      <c r="D4407" s="11" t="s">
        <v>23798</v>
      </c>
      <c r="E4407" s="11" t="s">
        <v>23799</v>
      </c>
      <c r="F4407" s="11" t="s">
        <v>23778</v>
      </c>
      <c r="G4407" s="11" t="s">
        <v>23800</v>
      </c>
      <c r="H4407" s="11" t="s">
        <v>23801</v>
      </c>
      <c r="I4407" s="11" t="str">
        <f>HYPERLINK("http://www.borsago.it/","www.borsago.it")</f>
        <v>www.borsago.it</v>
      </c>
      <c r="J4407" s="12">
        <v>165.036</v>
      </c>
      <c r="K4407" s="14" t="s">
        <v>23699</v>
      </c>
      <c r="L4407" s="13">
        <v>165.036</v>
      </c>
      <c r="M4407" s="12">
        <v>3.7120000000000002</v>
      </c>
      <c r="N4407" s="14" t="s">
        <v>23699</v>
      </c>
      <c r="O4407" s="12">
        <v>3.7120000000000002</v>
      </c>
      <c r="P4407" s="12">
        <v>1</v>
      </c>
      <c r="Q4407" s="14" t="s">
        <v>23699</v>
      </c>
      <c r="R4407" s="12">
        <v>1</v>
      </c>
    </row>
    <row r="4408" spans="1:18" ht="17" customHeight="1" x14ac:dyDescent="0.15">
      <c r="A4408" s="8" t="s">
        <v>23802</v>
      </c>
      <c r="B4408" s="9" t="s">
        <v>23803</v>
      </c>
      <c r="C4408" s="8" t="s">
        <v>23804</v>
      </c>
      <c r="D4408" s="8" t="s">
        <v>23804</v>
      </c>
      <c r="E4408" s="8" t="s">
        <v>23805</v>
      </c>
      <c r="F4408" s="8" t="s">
        <v>23806</v>
      </c>
      <c r="G4408" s="8" t="s">
        <v>23748</v>
      </c>
      <c r="H4408" s="8" t="s">
        <v>23679</v>
      </c>
      <c r="I4408" s="8" t="str">
        <f>HYPERLINK("http://www.miticashoes.com/","http://www.miticashoes.com")</f>
        <v>http://www.miticashoes.com</v>
      </c>
      <c r="J4408" s="10">
        <v>174.84</v>
      </c>
      <c r="K4408" s="10">
        <v>174.84</v>
      </c>
      <c r="L4408" s="10">
        <v>164.77699999999999</v>
      </c>
      <c r="M4408" s="10">
        <v>33.512999999999998</v>
      </c>
      <c r="N4408" s="10">
        <v>33.512999999999998</v>
      </c>
      <c r="O4408" s="10">
        <v>-98.001999999999995</v>
      </c>
      <c r="P4408" s="10">
        <v>0</v>
      </c>
      <c r="Q4408" s="10">
        <v>0</v>
      </c>
      <c r="R4408" s="10">
        <v>0</v>
      </c>
    </row>
    <row r="4409" spans="1:18" ht="17" customHeight="1" x14ac:dyDescent="0.15">
      <c r="A4409" s="11" t="s">
        <v>23807</v>
      </c>
      <c r="B4409" s="1" t="s">
        <v>23808</v>
      </c>
      <c r="C4409" s="11" t="s">
        <v>23809</v>
      </c>
      <c r="D4409" s="11" t="s">
        <v>23809</v>
      </c>
      <c r="E4409" s="11" t="s">
        <v>23810</v>
      </c>
      <c r="F4409" s="11" t="s">
        <v>23677</v>
      </c>
      <c r="G4409" s="11" t="s">
        <v>23811</v>
      </c>
      <c r="H4409" s="11" t="s">
        <v>23705</v>
      </c>
      <c r="I4409" s="11" t="str">
        <f>HYPERLINK("http://frangipani.it/","frangipani.it")</f>
        <v>frangipani.it</v>
      </c>
      <c r="J4409" s="12">
        <v>169.91399999999999</v>
      </c>
      <c r="K4409" s="12">
        <v>169.91399999999999</v>
      </c>
      <c r="L4409" s="13">
        <v>164.108</v>
      </c>
      <c r="M4409" s="12">
        <v>4.7</v>
      </c>
      <c r="N4409" s="12">
        <v>4.7</v>
      </c>
      <c r="O4409" s="12">
        <v>0.375</v>
      </c>
      <c r="P4409" s="14" t="s">
        <v>23699</v>
      </c>
      <c r="Q4409" s="14" t="s">
        <v>23699</v>
      </c>
      <c r="R4409" s="14" t="s">
        <v>23699</v>
      </c>
    </row>
    <row r="4410" spans="1:18" ht="17" customHeight="1" x14ac:dyDescent="0.15">
      <c r="A4410" s="8" t="s">
        <v>23812</v>
      </c>
      <c r="B4410" s="9" t="s">
        <v>23813</v>
      </c>
      <c r="C4410" s="8" t="s">
        <v>23814</v>
      </c>
      <c r="D4410" s="8" t="s">
        <v>23814</v>
      </c>
      <c r="E4410" s="8" t="s">
        <v>23815</v>
      </c>
      <c r="F4410" s="8" t="s">
        <v>23743</v>
      </c>
      <c r="G4410" s="8" t="s">
        <v>23816</v>
      </c>
      <c r="H4410" s="8" t="s">
        <v>23718</v>
      </c>
      <c r="I4410" s="8" t="str">
        <f>HYPERLINK("http://www.cirillosposa.it/","www.cirillosposa.it")</f>
        <v>www.cirillosposa.it</v>
      </c>
      <c r="J4410" s="10">
        <v>162.91399999999999</v>
      </c>
      <c r="K4410" s="15" t="s">
        <v>23699</v>
      </c>
      <c r="L4410" s="10">
        <v>162.91399999999999</v>
      </c>
      <c r="M4410" s="10">
        <v>1.1839999999999999</v>
      </c>
      <c r="N4410" s="15" t="s">
        <v>23699</v>
      </c>
      <c r="O4410" s="10">
        <v>1.1839999999999999</v>
      </c>
      <c r="P4410" s="10">
        <v>3</v>
      </c>
      <c r="Q4410" s="15" t="s">
        <v>23699</v>
      </c>
      <c r="R4410" s="10">
        <v>3</v>
      </c>
    </row>
    <row r="4411" spans="1:18" ht="17" customHeight="1" x14ac:dyDescent="0.15">
      <c r="A4411" s="11" t="s">
        <v>23817</v>
      </c>
      <c r="B4411" s="1" t="s">
        <v>23818</v>
      </c>
      <c r="C4411" s="11" t="s">
        <v>23819</v>
      </c>
      <c r="D4411" s="11" t="s">
        <v>23819</v>
      </c>
      <c r="E4411" s="11" t="s">
        <v>23820</v>
      </c>
      <c r="F4411" s="11" t="s">
        <v>23778</v>
      </c>
      <c r="G4411" s="11" t="s">
        <v>23821</v>
      </c>
      <c r="H4411" s="11" t="s">
        <v>23679</v>
      </c>
      <c r="I4411" s="11" t="str">
        <f>HYPERLINK("http://www.dealma.it/","www.dealma.it")</f>
        <v>www.dealma.it</v>
      </c>
      <c r="J4411" s="12">
        <v>728.94100000000003</v>
      </c>
      <c r="K4411" s="12">
        <v>478.9</v>
      </c>
      <c r="L4411" s="13">
        <v>162.56899999999999</v>
      </c>
      <c r="M4411" s="12">
        <v>5.0949999999999998</v>
      </c>
      <c r="N4411" s="12">
        <v>16.291</v>
      </c>
      <c r="O4411" s="12">
        <v>-83.501999999999995</v>
      </c>
      <c r="P4411" s="14" t="s">
        <v>23699</v>
      </c>
      <c r="Q4411" s="12">
        <v>12</v>
      </c>
      <c r="R4411" s="12">
        <v>5</v>
      </c>
    </row>
    <row r="4412" spans="1:18" ht="43" customHeight="1" x14ac:dyDescent="0.15">
      <c r="A4412" s="8" t="s">
        <v>23822</v>
      </c>
      <c r="B4412" s="9" t="s">
        <v>23823</v>
      </c>
      <c r="C4412" s="8" t="s">
        <v>23824</v>
      </c>
      <c r="D4412" s="8" t="s">
        <v>23824</v>
      </c>
      <c r="E4412" s="8" t="s">
        <v>23825</v>
      </c>
      <c r="F4412" s="8" t="s">
        <v>23743</v>
      </c>
      <c r="G4412" s="8" t="s">
        <v>23717</v>
      </c>
      <c r="H4412" s="8" t="s">
        <v>23718</v>
      </c>
      <c r="I4412" s="8" t="str">
        <f>HYPERLINK("http://www.amiciperlapelleshop.net/","www.amiciperlapelleshop.net")</f>
        <v>www.amiciperlapelleshop.net</v>
      </c>
      <c r="J4412" s="10">
        <v>165.994</v>
      </c>
      <c r="K4412" s="10">
        <v>165.994</v>
      </c>
      <c r="L4412" s="10">
        <v>162.523</v>
      </c>
      <c r="M4412" s="10">
        <v>-8.3689999999999998</v>
      </c>
      <c r="N4412" s="10">
        <v>-8.3689999999999998</v>
      </c>
      <c r="O4412" s="10">
        <v>-5.8879999999999999</v>
      </c>
      <c r="P4412" s="10">
        <v>4</v>
      </c>
      <c r="Q4412" s="10">
        <v>4</v>
      </c>
      <c r="R4412" s="10">
        <v>4</v>
      </c>
    </row>
    <row r="4413" spans="1:18" ht="17" customHeight="1" x14ac:dyDescent="0.15">
      <c r="A4413" s="11" t="s">
        <v>23826</v>
      </c>
      <c r="B4413" s="1" t="s">
        <v>23827</v>
      </c>
      <c r="C4413" s="11" t="s">
        <v>23828</v>
      </c>
      <c r="D4413" s="11" t="s">
        <v>23828</v>
      </c>
      <c r="E4413" s="11" t="s">
        <v>23829</v>
      </c>
      <c r="F4413" s="11" t="s">
        <v>23743</v>
      </c>
      <c r="G4413" s="11" t="s">
        <v>23830</v>
      </c>
      <c r="H4413" s="11" t="s">
        <v>23718</v>
      </c>
      <c r="I4413" s="11" t="str">
        <f>HYPERLINK("http://www.equifashion.it/","www.equifashion.it")</f>
        <v>www.equifashion.it</v>
      </c>
      <c r="J4413" s="12">
        <v>165.399</v>
      </c>
      <c r="K4413" s="12">
        <v>165.399</v>
      </c>
      <c r="L4413" s="13">
        <v>161.59899999999999</v>
      </c>
      <c r="M4413" s="12">
        <v>5.2240000000000002</v>
      </c>
      <c r="N4413" s="12">
        <v>5.2240000000000002</v>
      </c>
      <c r="O4413" s="12">
        <v>15.031000000000001</v>
      </c>
      <c r="P4413" s="14" t="s">
        <v>23699</v>
      </c>
      <c r="Q4413" s="14" t="s">
        <v>23699</v>
      </c>
      <c r="R4413" s="12">
        <v>4</v>
      </c>
    </row>
    <row r="4414" spans="1:18" ht="17" customHeight="1" x14ac:dyDescent="0.15">
      <c r="A4414" s="8" t="s">
        <v>23831</v>
      </c>
      <c r="B4414" s="9" t="s">
        <v>23832</v>
      </c>
      <c r="C4414" s="8" t="s">
        <v>23833</v>
      </c>
      <c r="D4414" s="8" t="s">
        <v>23833</v>
      </c>
      <c r="E4414" s="8" t="s">
        <v>23834</v>
      </c>
      <c r="F4414" s="8" t="s">
        <v>23835</v>
      </c>
      <c r="G4414" s="8" t="s">
        <v>23758</v>
      </c>
      <c r="H4414" s="8" t="s">
        <v>23712</v>
      </c>
      <c r="I4414" s="8" t="str">
        <f>HYPERLINK("http://www.teknomodasrl.it/","www.teknomodasrl.it")</f>
        <v>www.teknomodasrl.it</v>
      </c>
      <c r="J4414" s="10">
        <v>114.444</v>
      </c>
      <c r="K4414" s="10">
        <v>114.444</v>
      </c>
      <c r="L4414" s="10">
        <v>161.01400000000001</v>
      </c>
      <c r="M4414" s="10">
        <v>4.9480000000000004</v>
      </c>
      <c r="N4414" s="10">
        <v>4.9480000000000004</v>
      </c>
      <c r="O4414" s="10">
        <v>13.74</v>
      </c>
      <c r="P4414" s="10">
        <v>0</v>
      </c>
      <c r="Q4414" s="10">
        <v>0</v>
      </c>
      <c r="R4414" s="10">
        <v>1</v>
      </c>
    </row>
    <row r="4415" spans="1:18" ht="29.5" customHeight="1" x14ac:dyDescent="0.15">
      <c r="A4415" s="11" t="s">
        <v>23836</v>
      </c>
      <c r="B4415" s="1" t="s">
        <v>23837</v>
      </c>
      <c r="C4415" s="11" t="s">
        <v>23838</v>
      </c>
      <c r="D4415" s="11" t="s">
        <v>23838</v>
      </c>
      <c r="E4415" s="11" t="s">
        <v>23839</v>
      </c>
      <c r="F4415" s="11" t="s">
        <v>23778</v>
      </c>
      <c r="G4415" s="11" t="s">
        <v>23728</v>
      </c>
      <c r="H4415" s="11" t="s">
        <v>23729</v>
      </c>
      <c r="I4415" s="11" t="str">
        <f>HYPERLINK("http://www.flaviapelletterie.com/","www.flaviapelletterie.com")</f>
        <v>www.flaviapelletterie.com</v>
      </c>
      <c r="J4415" s="12">
        <v>229.34899999999999</v>
      </c>
      <c r="K4415" s="12">
        <v>229.34899999999999</v>
      </c>
      <c r="L4415" s="13">
        <v>160.41999999999999</v>
      </c>
      <c r="M4415" s="12">
        <v>68.7</v>
      </c>
      <c r="N4415" s="12">
        <v>68.7</v>
      </c>
      <c r="O4415" s="12">
        <v>28.837</v>
      </c>
      <c r="P4415" s="12">
        <v>3</v>
      </c>
      <c r="Q4415" s="12">
        <v>3</v>
      </c>
      <c r="R4415" s="12">
        <v>2</v>
      </c>
    </row>
    <row r="4416" spans="1:18" ht="43" customHeight="1" x14ac:dyDescent="0.15">
      <c r="A4416" s="8" t="s">
        <v>23840</v>
      </c>
      <c r="B4416" s="9" t="s">
        <v>23841</v>
      </c>
      <c r="C4416" s="8" t="s">
        <v>23842</v>
      </c>
      <c r="D4416" s="8" t="s">
        <v>23842</v>
      </c>
      <c r="E4416" s="8" t="s">
        <v>23843</v>
      </c>
      <c r="F4416" s="8" t="s">
        <v>23684</v>
      </c>
      <c r="G4416" s="8" t="s">
        <v>23717</v>
      </c>
      <c r="H4416" s="8" t="s">
        <v>23718</v>
      </c>
      <c r="I4416" s="8" t="str">
        <f>HYPERLINK("http://www.black-cloth.it/","www.black-cloth.it")</f>
        <v>www.black-cloth.it</v>
      </c>
      <c r="J4416" s="10">
        <v>197.49199999999999</v>
      </c>
      <c r="K4416" s="10">
        <v>197.49199999999999</v>
      </c>
      <c r="L4416" s="10">
        <v>160.34800000000001</v>
      </c>
      <c r="M4416" s="10">
        <v>3.9</v>
      </c>
      <c r="N4416" s="10">
        <v>3.9</v>
      </c>
      <c r="O4416" s="10">
        <v>-5.07</v>
      </c>
      <c r="P4416" s="15" t="s">
        <v>23699</v>
      </c>
      <c r="Q4416" s="15" t="s">
        <v>23699</v>
      </c>
      <c r="R4416" s="10">
        <v>0</v>
      </c>
    </row>
    <row r="4417" spans="1:18" ht="17" customHeight="1" x14ac:dyDescent="0.15">
      <c r="A4417" s="11" t="s">
        <v>23844</v>
      </c>
      <c r="B4417" s="1" t="s">
        <v>23845</v>
      </c>
      <c r="C4417" s="11" t="s">
        <v>23846</v>
      </c>
      <c r="D4417" s="11" t="s">
        <v>23846</v>
      </c>
      <c r="E4417" s="11" t="s">
        <v>23847</v>
      </c>
      <c r="F4417" s="11" t="s">
        <v>23848</v>
      </c>
      <c r="G4417" s="11" t="s">
        <v>23849</v>
      </c>
      <c r="H4417" s="11" t="s">
        <v>23850</v>
      </c>
      <c r="I4417" s="11" t="str">
        <f>HYPERLINK("http://www.alisport.it/","www.alisport.it")</f>
        <v>www.alisport.it</v>
      </c>
      <c r="J4417" s="12">
        <v>186.48500000000001</v>
      </c>
      <c r="K4417" s="12">
        <v>186.48500000000001</v>
      </c>
      <c r="L4417" s="13">
        <v>159.386</v>
      </c>
      <c r="M4417" s="12">
        <v>26.526</v>
      </c>
      <c r="N4417" s="12">
        <v>26.526</v>
      </c>
      <c r="O4417" s="12">
        <v>29.681000000000001</v>
      </c>
      <c r="P4417" s="12">
        <v>2</v>
      </c>
      <c r="Q4417" s="12">
        <v>2</v>
      </c>
      <c r="R4417" s="12">
        <v>2</v>
      </c>
    </row>
    <row r="4418" spans="1:18" ht="68" customHeight="1" x14ac:dyDescent="0.15">
      <c r="A4418" s="8" t="s">
        <v>23851</v>
      </c>
      <c r="B4418" s="9" t="s">
        <v>23852</v>
      </c>
      <c r="C4418" s="8" t="s">
        <v>23853</v>
      </c>
      <c r="D4418" s="8" t="s">
        <v>23853</v>
      </c>
      <c r="E4418" s="8" t="s">
        <v>23854</v>
      </c>
      <c r="F4418" s="8" t="s">
        <v>23855</v>
      </c>
      <c r="G4418" s="8" t="s">
        <v>23856</v>
      </c>
      <c r="H4418" s="8" t="s">
        <v>23857</v>
      </c>
      <c r="I4418" s="8" t="str">
        <f>HYPERLINK("http://www.sartoriafeliceluigipanico.com/","www.sartoriafeliceluigipanico.com")</f>
        <v>www.sartoriafeliceluigipanico.com</v>
      </c>
      <c r="J4418" s="10">
        <v>197.51300000000001</v>
      </c>
      <c r="K4418" s="10">
        <v>197.51300000000001</v>
      </c>
      <c r="L4418" s="10">
        <v>158.28200000000001</v>
      </c>
      <c r="M4418" s="10">
        <v>26.087</v>
      </c>
      <c r="N4418" s="10">
        <v>26.087</v>
      </c>
      <c r="O4418" s="10">
        <v>21.030999999999999</v>
      </c>
      <c r="P4418" s="15" t="s">
        <v>23858</v>
      </c>
      <c r="Q4418" s="15" t="s">
        <v>23858</v>
      </c>
      <c r="R4418" s="10">
        <v>5</v>
      </c>
    </row>
    <row r="4419" spans="1:18" ht="29.5" customHeight="1" x14ac:dyDescent="0.15">
      <c r="A4419" s="11" t="s">
        <v>23859</v>
      </c>
      <c r="B4419" s="1" t="s">
        <v>23860</v>
      </c>
      <c r="C4419" s="11" t="s">
        <v>23861</v>
      </c>
      <c r="D4419" s="11" t="s">
        <v>23861</v>
      </c>
      <c r="E4419" s="11" t="s">
        <v>23862</v>
      </c>
      <c r="F4419" s="11" t="s">
        <v>23863</v>
      </c>
      <c r="G4419" s="11" t="s">
        <v>23864</v>
      </c>
      <c r="H4419" s="11" t="s">
        <v>23850</v>
      </c>
      <c r="I4419" s="11" t="str">
        <f>HYPERLINK("http://20s-italia-srl-04151990241.quantofattura.com/","20s-italia-srl-04151990241.quantofattura.com")</f>
        <v>20s-italia-srl-04151990241.quantofattura.com</v>
      </c>
      <c r="J4419" s="12">
        <v>268.20999999999998</v>
      </c>
      <c r="K4419" s="12">
        <v>268.20999999999998</v>
      </c>
      <c r="L4419" s="13">
        <v>158.154</v>
      </c>
      <c r="M4419" s="12">
        <v>37.121000000000002</v>
      </c>
      <c r="N4419" s="12">
        <v>37.121000000000002</v>
      </c>
      <c r="O4419" s="12">
        <v>-44.393000000000001</v>
      </c>
      <c r="P4419" s="12">
        <v>3</v>
      </c>
      <c r="Q4419" s="12">
        <v>3</v>
      </c>
      <c r="R4419" s="12">
        <v>3</v>
      </c>
    </row>
    <row r="4420" spans="1:18" ht="17" customHeight="1" x14ac:dyDescent="0.15">
      <c r="A4420" s="8" t="s">
        <v>23865</v>
      </c>
      <c r="B4420" s="9" t="s">
        <v>23866</v>
      </c>
      <c r="C4420" s="8" t="s">
        <v>23867</v>
      </c>
      <c r="D4420" s="8" t="s">
        <v>23867</v>
      </c>
      <c r="E4420" s="8" t="s">
        <v>23868</v>
      </c>
      <c r="F4420" s="8" t="s">
        <v>23869</v>
      </c>
      <c r="G4420" s="8" t="s">
        <v>23870</v>
      </c>
      <c r="H4420" s="8" t="s">
        <v>23871</v>
      </c>
      <c r="I4420" s="8" t="str">
        <f>HYPERLINK("http://www.atelierclasse.com/","www.atelierclasse.com")</f>
        <v>www.atelierclasse.com</v>
      </c>
      <c r="J4420" s="10">
        <v>245.59899999999999</v>
      </c>
      <c r="K4420" s="10">
        <v>245.59899999999999</v>
      </c>
      <c r="L4420" s="10">
        <v>158.18199999999999</v>
      </c>
      <c r="M4420" s="10">
        <v>10.429</v>
      </c>
      <c r="N4420" s="10">
        <v>10.429</v>
      </c>
      <c r="O4420" s="10">
        <v>9.7000000000000003E-2</v>
      </c>
      <c r="P4420" s="10">
        <v>4</v>
      </c>
      <c r="Q4420" s="10">
        <v>4</v>
      </c>
      <c r="R4420" s="10">
        <v>4</v>
      </c>
    </row>
    <row r="4421" spans="1:18" ht="43" customHeight="1" x14ac:dyDescent="0.15">
      <c r="A4421" s="11" t="s">
        <v>23872</v>
      </c>
      <c r="B4421" s="1" t="s">
        <v>23873</v>
      </c>
      <c r="C4421" s="11" t="s">
        <v>23874</v>
      </c>
      <c r="D4421" s="11" t="s">
        <v>23874</v>
      </c>
      <c r="E4421" s="11" t="s">
        <v>23875</v>
      </c>
      <c r="F4421" s="11" t="s">
        <v>23876</v>
      </c>
      <c r="G4421" s="11" t="s">
        <v>23877</v>
      </c>
      <c r="H4421" s="11" t="s">
        <v>23871</v>
      </c>
      <c r="I4421" s="11" t="str">
        <f>HYPERLINK("http://unilinesrls.com/","unilinesrls.com")</f>
        <v>unilinesrls.com</v>
      </c>
      <c r="J4421" s="12">
        <v>168.91</v>
      </c>
      <c r="K4421" s="12">
        <v>168.91</v>
      </c>
      <c r="L4421" s="13">
        <v>157.922</v>
      </c>
      <c r="M4421" s="12">
        <v>4.8360000000000003</v>
      </c>
      <c r="N4421" s="12">
        <v>4.8360000000000003</v>
      </c>
      <c r="O4421" s="12">
        <v>0.129</v>
      </c>
      <c r="P4421" s="14" t="s">
        <v>23858</v>
      </c>
      <c r="Q4421" s="14" t="s">
        <v>23858</v>
      </c>
      <c r="R4421" s="12">
        <v>0</v>
      </c>
    </row>
    <row r="4422" spans="1:18" ht="17" customHeight="1" x14ac:dyDescent="0.15">
      <c r="A4422" s="8" t="s">
        <v>23878</v>
      </c>
      <c r="B4422" s="9" t="s">
        <v>23879</v>
      </c>
      <c r="C4422" s="8" t="s">
        <v>23880</v>
      </c>
      <c r="D4422" s="8" t="s">
        <v>23880</v>
      </c>
      <c r="E4422" s="8" t="s">
        <v>23881</v>
      </c>
      <c r="F4422" s="8" t="s">
        <v>23855</v>
      </c>
      <c r="G4422" s="8" t="s">
        <v>23882</v>
      </c>
      <c r="H4422" s="8" t="s">
        <v>23883</v>
      </c>
      <c r="I4422" s="8" t="str">
        <f>HYPERLINK("http://gianniaccardi.com/","gianniaccardi.com")</f>
        <v>gianniaccardi.com</v>
      </c>
      <c r="J4422" s="10">
        <v>221.41399999999999</v>
      </c>
      <c r="K4422" s="10">
        <v>156.40700000000001</v>
      </c>
      <c r="L4422" s="10">
        <v>157.774</v>
      </c>
      <c r="M4422" s="10">
        <v>9.8170000000000002</v>
      </c>
      <c r="N4422" s="10">
        <v>6.226</v>
      </c>
      <c r="O4422" s="10">
        <v>9.2929999999999993</v>
      </c>
      <c r="P4422" s="15" t="s">
        <v>23858</v>
      </c>
      <c r="Q4422" s="10">
        <v>0</v>
      </c>
      <c r="R4422" s="10">
        <v>0</v>
      </c>
    </row>
    <row r="4423" spans="1:18" ht="43" customHeight="1" x14ac:dyDescent="0.15">
      <c r="A4423" s="11" t="s">
        <v>23884</v>
      </c>
      <c r="B4423" s="1" t="s">
        <v>23885</v>
      </c>
      <c r="C4423" s="11" t="s">
        <v>23886</v>
      </c>
      <c r="D4423" s="11" t="s">
        <v>23886</v>
      </c>
      <c r="E4423" s="11" t="s">
        <v>23887</v>
      </c>
      <c r="F4423" s="11" t="s">
        <v>23863</v>
      </c>
      <c r="G4423" s="11" t="s">
        <v>23888</v>
      </c>
      <c r="H4423" s="11" t="s">
        <v>23889</v>
      </c>
      <c r="I4423" s="11" t="str">
        <f>HYPERLINK("http://www.bomaitalia.it/","www.bomaitalia.it")</f>
        <v>www.bomaitalia.it</v>
      </c>
      <c r="J4423" s="12">
        <v>216.114</v>
      </c>
      <c r="K4423" s="12">
        <v>216.114</v>
      </c>
      <c r="L4423" s="13">
        <v>157.78700000000001</v>
      </c>
      <c r="M4423" s="12">
        <v>-5.2080000000000002</v>
      </c>
      <c r="N4423" s="12">
        <v>-5.2080000000000002</v>
      </c>
      <c r="O4423" s="12">
        <v>-13.04</v>
      </c>
      <c r="P4423" s="12">
        <v>5</v>
      </c>
      <c r="Q4423" s="12">
        <v>5</v>
      </c>
      <c r="R4423" s="12">
        <v>6</v>
      </c>
    </row>
    <row r="4424" spans="1:18" ht="17" customHeight="1" x14ac:dyDescent="0.15">
      <c r="A4424" s="8" t="s">
        <v>23890</v>
      </c>
      <c r="B4424" s="9" t="s">
        <v>23891</v>
      </c>
      <c r="C4424" s="8" t="s">
        <v>23892</v>
      </c>
      <c r="D4424" s="8" t="s">
        <v>23892</v>
      </c>
      <c r="E4424" s="8" t="s">
        <v>23893</v>
      </c>
      <c r="F4424" s="8" t="s">
        <v>23848</v>
      </c>
      <c r="G4424" s="8" t="s">
        <v>23882</v>
      </c>
      <c r="H4424" s="8" t="s">
        <v>23883</v>
      </c>
      <c r="I4424" s="8" t="str">
        <f>HYPERLINK("http://www.vero-verde.com/","www.vero-verde.com")</f>
        <v>www.vero-verde.com</v>
      </c>
      <c r="J4424" s="10">
        <v>9.0820000000000007</v>
      </c>
      <c r="K4424" s="10">
        <v>9.0820000000000007</v>
      </c>
      <c r="L4424" s="10">
        <v>157.744</v>
      </c>
      <c r="M4424" s="10">
        <v>-34.444000000000003</v>
      </c>
      <c r="N4424" s="10">
        <v>-34.444000000000003</v>
      </c>
      <c r="O4424" s="10">
        <v>-38.484000000000002</v>
      </c>
      <c r="P4424" s="10">
        <v>1</v>
      </c>
      <c r="Q4424" s="10">
        <v>1</v>
      </c>
      <c r="R4424" s="10">
        <v>3</v>
      </c>
    </row>
    <row r="4425" spans="1:18" ht="43" customHeight="1" x14ac:dyDescent="0.15">
      <c r="A4425" s="11" t="s">
        <v>23894</v>
      </c>
      <c r="B4425" s="1" t="s">
        <v>23895</v>
      </c>
      <c r="C4425" s="11" t="s">
        <v>23896</v>
      </c>
      <c r="D4425" s="11" t="s">
        <v>23896</v>
      </c>
      <c r="E4425" s="11" t="s">
        <v>23897</v>
      </c>
      <c r="F4425" s="11" t="s">
        <v>23898</v>
      </c>
      <c r="G4425" s="11" t="s">
        <v>23899</v>
      </c>
      <c r="H4425" s="11" t="s">
        <v>23857</v>
      </c>
      <c r="I4425" s="11" t="str">
        <f>HYPERLINK("http://www.xdrums.it/","www.xdrums.it")</f>
        <v>www.xdrums.it</v>
      </c>
      <c r="J4425" s="12">
        <v>214.84800000000001</v>
      </c>
      <c r="K4425" s="12">
        <v>214.84800000000001</v>
      </c>
      <c r="L4425" s="13">
        <v>156.86199999999999</v>
      </c>
      <c r="M4425" s="12">
        <v>0.93200000000000005</v>
      </c>
      <c r="N4425" s="12">
        <v>0.93200000000000005</v>
      </c>
      <c r="O4425" s="12">
        <v>-22.681999999999999</v>
      </c>
      <c r="P4425" s="12">
        <v>4</v>
      </c>
      <c r="Q4425" s="12">
        <v>4</v>
      </c>
      <c r="R4425" s="12">
        <v>6</v>
      </c>
    </row>
    <row r="4426" spans="1:18" ht="17" customHeight="1" x14ac:dyDescent="0.15">
      <c r="A4426" s="8" t="s">
        <v>23900</v>
      </c>
      <c r="B4426" s="9" t="s">
        <v>23901</v>
      </c>
      <c r="C4426" s="8" t="s">
        <v>23902</v>
      </c>
      <c r="D4426" s="8" t="s">
        <v>23902</v>
      </c>
      <c r="E4426" s="8" t="s">
        <v>23903</v>
      </c>
      <c r="F4426" s="8" t="s">
        <v>23904</v>
      </c>
      <c r="G4426" s="8" t="s">
        <v>23905</v>
      </c>
      <c r="H4426" s="8" t="s">
        <v>23871</v>
      </c>
      <c r="I4426" s="8" t="str">
        <f>HYPERLINK("http://www.artedeimercatanti.com/","www.artedeimercatanti.com")</f>
        <v>www.artedeimercatanti.com</v>
      </c>
      <c r="J4426" s="10">
        <v>204.749</v>
      </c>
      <c r="K4426" s="10">
        <v>204.749</v>
      </c>
      <c r="L4426" s="10">
        <v>156.542</v>
      </c>
      <c r="M4426" s="10">
        <v>3.4000000000000002E-2</v>
      </c>
      <c r="N4426" s="10">
        <v>3.4000000000000002E-2</v>
      </c>
      <c r="O4426" s="10">
        <v>0.154</v>
      </c>
      <c r="P4426" s="10">
        <v>2</v>
      </c>
      <c r="Q4426" s="10">
        <v>2</v>
      </c>
      <c r="R4426" s="10">
        <v>2</v>
      </c>
    </row>
    <row r="4427" spans="1:18" ht="29.5" customHeight="1" x14ac:dyDescent="0.15">
      <c r="A4427" s="11" t="s">
        <v>23906</v>
      </c>
      <c r="B4427" s="1" t="s">
        <v>23907</v>
      </c>
      <c r="C4427" s="11" t="s">
        <v>23908</v>
      </c>
      <c r="D4427" s="11" t="s">
        <v>23908</v>
      </c>
      <c r="E4427" s="11" t="s">
        <v>23909</v>
      </c>
      <c r="F4427" s="11" t="s">
        <v>23855</v>
      </c>
      <c r="G4427" s="11" t="s">
        <v>23888</v>
      </c>
      <c r="H4427" s="11" t="s">
        <v>23889</v>
      </c>
      <c r="I4427" s="11" t="str">
        <f>HYPERLINK("http://www.francesca.it/","www.francesca.it")</f>
        <v>www.francesca.it</v>
      </c>
      <c r="J4427" s="12">
        <v>157.34</v>
      </c>
      <c r="K4427" s="12">
        <v>157.34</v>
      </c>
      <c r="L4427" s="13">
        <v>156.09299999999999</v>
      </c>
      <c r="M4427" s="12">
        <v>14.989000000000001</v>
      </c>
      <c r="N4427" s="12">
        <v>14.989000000000001</v>
      </c>
      <c r="O4427" s="12">
        <v>16.736000000000001</v>
      </c>
      <c r="P4427" s="12">
        <v>3</v>
      </c>
      <c r="Q4427" s="12">
        <v>3</v>
      </c>
      <c r="R4427" s="12">
        <v>4</v>
      </c>
    </row>
    <row r="4428" spans="1:18" ht="17" customHeight="1" x14ac:dyDescent="0.15">
      <c r="A4428" s="8" t="s">
        <v>23910</v>
      </c>
      <c r="B4428" s="9" t="s">
        <v>23911</v>
      </c>
      <c r="C4428" s="8" t="s">
        <v>23912</v>
      </c>
      <c r="D4428" s="8" t="s">
        <v>23912</v>
      </c>
      <c r="E4428" s="8" t="s">
        <v>23913</v>
      </c>
      <c r="F4428" s="8" t="s">
        <v>23914</v>
      </c>
      <c r="G4428" s="8" t="s">
        <v>23905</v>
      </c>
      <c r="H4428" s="8" t="s">
        <v>23871</v>
      </c>
      <c r="I4428" s="8" t="str">
        <f>HYPERLINK("http://www.solomodasrl.com/","www.solomodasrl.com")</f>
        <v>www.solomodasrl.com</v>
      </c>
      <c r="J4428" s="10">
        <v>604.03300000000002</v>
      </c>
      <c r="K4428" s="10">
        <v>604.03300000000002</v>
      </c>
      <c r="L4428" s="10">
        <v>155.221</v>
      </c>
      <c r="M4428" s="10">
        <v>13.192</v>
      </c>
      <c r="N4428" s="10">
        <v>13.192</v>
      </c>
      <c r="O4428" s="10">
        <v>8.3919999999999995</v>
      </c>
      <c r="P4428" s="10">
        <v>4</v>
      </c>
      <c r="Q4428" s="10">
        <v>4</v>
      </c>
      <c r="R4428" s="10">
        <v>3</v>
      </c>
    </row>
    <row r="4429" spans="1:18" ht="17" customHeight="1" x14ac:dyDescent="0.15">
      <c r="A4429" s="11" t="s">
        <v>23915</v>
      </c>
      <c r="B4429" s="1" t="s">
        <v>23916</v>
      </c>
      <c r="C4429" s="11" t="s">
        <v>23917</v>
      </c>
      <c r="D4429" s="11" t="s">
        <v>23917</v>
      </c>
      <c r="E4429" s="11" t="s">
        <v>23918</v>
      </c>
      <c r="F4429" s="11" t="s">
        <v>23876</v>
      </c>
      <c r="G4429" s="11" t="s">
        <v>23919</v>
      </c>
      <c r="H4429" s="11" t="s">
        <v>23883</v>
      </c>
      <c r="I4429" s="11" t="str">
        <f>HYPERLINK("http://outlet.garman.it/","outlet.garman.it")</f>
        <v>outlet.garman.it</v>
      </c>
      <c r="J4429" s="12">
        <v>243.39500000000001</v>
      </c>
      <c r="K4429" s="12">
        <v>243.39500000000001</v>
      </c>
      <c r="L4429" s="13">
        <v>155.18600000000001</v>
      </c>
      <c r="M4429" s="12">
        <v>1.3120000000000001</v>
      </c>
      <c r="N4429" s="12">
        <v>1.3120000000000001</v>
      </c>
      <c r="O4429" s="12">
        <v>-6.6689999999999996</v>
      </c>
      <c r="P4429" s="12">
        <v>0</v>
      </c>
      <c r="Q4429" s="12">
        <v>0</v>
      </c>
      <c r="R4429" s="12">
        <v>0</v>
      </c>
    </row>
    <row r="4430" spans="1:18" ht="43" customHeight="1" x14ac:dyDescent="0.15">
      <c r="A4430" s="8" t="s">
        <v>23920</v>
      </c>
      <c r="B4430" s="9" t="s">
        <v>23921</v>
      </c>
      <c r="C4430" s="8" t="s">
        <v>23922</v>
      </c>
      <c r="D4430" s="8" t="s">
        <v>23922</v>
      </c>
      <c r="E4430" s="8" t="s">
        <v>23923</v>
      </c>
      <c r="F4430" s="8" t="s">
        <v>23924</v>
      </c>
      <c r="G4430" s="8" t="s">
        <v>23925</v>
      </c>
      <c r="H4430" s="8" t="s">
        <v>23850</v>
      </c>
      <c r="I4430" s="8" t="str">
        <f>HYPERLINK("http://www.jvand.it/","www.jvand.it")</f>
        <v>www.jvand.it</v>
      </c>
      <c r="J4430" s="10">
        <v>130.88300000000001</v>
      </c>
      <c r="K4430" s="10">
        <v>130.88300000000001</v>
      </c>
      <c r="L4430" s="10">
        <v>155.24299999999999</v>
      </c>
      <c r="M4430" s="10">
        <v>-10.701000000000001</v>
      </c>
      <c r="N4430" s="10">
        <v>-10.701000000000001</v>
      </c>
      <c r="O4430" s="10">
        <v>-50.996000000000002</v>
      </c>
      <c r="P4430" s="10">
        <v>4</v>
      </c>
      <c r="Q4430" s="10">
        <v>4</v>
      </c>
      <c r="R4430" s="10">
        <v>5</v>
      </c>
    </row>
    <row r="4431" spans="1:18" ht="17" customHeight="1" x14ac:dyDescent="0.15">
      <c r="A4431" s="11" t="s">
        <v>23926</v>
      </c>
      <c r="B4431" s="1" t="s">
        <v>23927</v>
      </c>
      <c r="C4431" s="11" t="s">
        <v>23928</v>
      </c>
      <c r="D4431" s="11" t="s">
        <v>23928</v>
      </c>
      <c r="E4431" s="11" t="s">
        <v>23929</v>
      </c>
      <c r="F4431" s="11" t="s">
        <v>23930</v>
      </c>
      <c r="G4431" s="11" t="s">
        <v>23931</v>
      </c>
      <c r="H4431" s="11" t="s">
        <v>23932</v>
      </c>
      <c r="I4431" s="11" t="str">
        <f>HYPERLINK("http://www.european-culture.it/","www.european-culture.it")</f>
        <v>www.european-culture.it</v>
      </c>
      <c r="J4431" s="12">
        <v>3489.288</v>
      </c>
      <c r="K4431" s="12">
        <v>3489.288</v>
      </c>
      <c r="L4431" s="13">
        <v>154.88800000000001</v>
      </c>
      <c r="M4431" s="12">
        <v>97.370999999999995</v>
      </c>
      <c r="N4431" s="12">
        <v>97.370999999999995</v>
      </c>
      <c r="O4431" s="12">
        <v>7.5339999999999998</v>
      </c>
      <c r="P4431" s="12">
        <v>2</v>
      </c>
      <c r="Q4431" s="12">
        <v>2</v>
      </c>
      <c r="R4431" s="12">
        <v>2</v>
      </c>
    </row>
    <row r="4432" spans="1:18" ht="17" customHeight="1" x14ac:dyDescent="0.15">
      <c r="A4432" s="8" t="s">
        <v>23933</v>
      </c>
      <c r="B4432" s="9" t="s">
        <v>23934</v>
      </c>
      <c r="C4432" s="8" t="s">
        <v>23935</v>
      </c>
      <c r="D4432" s="8" t="s">
        <v>23935</v>
      </c>
      <c r="E4432" s="8" t="s">
        <v>23936</v>
      </c>
      <c r="F4432" s="8" t="s">
        <v>23863</v>
      </c>
      <c r="G4432" s="8" t="s">
        <v>23937</v>
      </c>
      <c r="H4432" s="8" t="s">
        <v>23938</v>
      </c>
      <c r="I4432" s="8" t="str">
        <f>HYPERLINK("http://www.miviu.it/","www.miviu.it")</f>
        <v>www.miviu.it</v>
      </c>
      <c r="J4432" s="10">
        <v>67.5</v>
      </c>
      <c r="K4432" s="10">
        <v>67.5</v>
      </c>
      <c r="L4432" s="10">
        <v>154.74700000000001</v>
      </c>
      <c r="M4432" s="10">
        <v>-40.387999999999998</v>
      </c>
      <c r="N4432" s="10">
        <v>-40.387999999999998</v>
      </c>
      <c r="O4432" s="10">
        <v>2.6989999999999998</v>
      </c>
      <c r="P4432" s="15" t="s">
        <v>23858</v>
      </c>
      <c r="Q4432" s="15" t="s">
        <v>23858</v>
      </c>
      <c r="R4432" s="10">
        <v>1</v>
      </c>
    </row>
    <row r="4433" spans="1:18" ht="17" customHeight="1" x14ac:dyDescent="0.15">
      <c r="A4433" s="11" t="s">
        <v>23939</v>
      </c>
      <c r="B4433" s="1" t="s">
        <v>23940</v>
      </c>
      <c r="C4433" s="11" t="s">
        <v>23941</v>
      </c>
      <c r="D4433" s="11" t="s">
        <v>23941</v>
      </c>
      <c r="E4433" s="11" t="s">
        <v>23942</v>
      </c>
      <c r="F4433" s="11" t="s">
        <v>23904</v>
      </c>
      <c r="G4433" s="11" t="s">
        <v>23943</v>
      </c>
      <c r="H4433" s="11" t="s">
        <v>23944</v>
      </c>
      <c r="I4433" s="11" t="str">
        <f>HYPERLINK("http://www.flmaglieriadautore.com/","www.flmaglieriadautore.com")</f>
        <v>www.flmaglieriadautore.com</v>
      </c>
      <c r="J4433" s="12">
        <v>154.52799999999999</v>
      </c>
      <c r="K4433" s="14" t="s">
        <v>23858</v>
      </c>
      <c r="L4433" s="13">
        <v>154.52799999999999</v>
      </c>
      <c r="M4433" s="12">
        <v>-41.98</v>
      </c>
      <c r="N4433" s="14" t="s">
        <v>23858</v>
      </c>
      <c r="O4433" s="12">
        <v>-41.98</v>
      </c>
      <c r="P4433" s="12">
        <v>3</v>
      </c>
      <c r="Q4433" s="14" t="s">
        <v>23858</v>
      </c>
      <c r="R4433" s="12">
        <v>3</v>
      </c>
    </row>
    <row r="4434" spans="1:18" ht="43" customHeight="1" x14ac:dyDescent="0.15">
      <c r="A4434" s="8" t="s">
        <v>23945</v>
      </c>
      <c r="B4434" s="9" t="s">
        <v>23946</v>
      </c>
      <c r="C4434" s="8" t="s">
        <v>23947</v>
      </c>
      <c r="D4434" s="8" t="s">
        <v>23947</v>
      </c>
      <c r="E4434" s="8" t="s">
        <v>23948</v>
      </c>
      <c r="F4434" s="8" t="s">
        <v>23848</v>
      </c>
      <c r="G4434" s="8" t="s">
        <v>23949</v>
      </c>
      <c r="H4434" s="8" t="s">
        <v>23857</v>
      </c>
      <c r="I4434" s="8" t="str">
        <f>HYPERLINK("http://www.fdmdesigns.it/","www.fdmdesigns.it")</f>
        <v>www.fdmdesigns.it</v>
      </c>
      <c r="J4434" s="10">
        <v>127.41200000000001</v>
      </c>
      <c r="K4434" s="10">
        <v>127.41200000000001</v>
      </c>
      <c r="L4434" s="10">
        <v>154.268</v>
      </c>
      <c r="M4434" s="10">
        <v>-3.4020000000000001</v>
      </c>
      <c r="N4434" s="10">
        <v>-3.4020000000000001</v>
      </c>
      <c r="O4434" s="10">
        <v>14.224</v>
      </c>
      <c r="P4434" s="10">
        <v>7</v>
      </c>
      <c r="Q4434" s="10">
        <v>7</v>
      </c>
      <c r="R4434" s="10">
        <v>6</v>
      </c>
    </row>
    <row r="4435" spans="1:18" ht="17" customHeight="1" x14ac:dyDescent="0.15">
      <c r="A4435" s="11" t="s">
        <v>23950</v>
      </c>
      <c r="B4435" s="1" t="s">
        <v>23951</v>
      </c>
      <c r="C4435" s="11" t="s">
        <v>23952</v>
      </c>
      <c r="D4435" s="11" t="s">
        <v>23952</v>
      </c>
      <c r="E4435" s="11" t="s">
        <v>23953</v>
      </c>
      <c r="F4435" s="11" t="s">
        <v>23954</v>
      </c>
      <c r="G4435" s="11" t="s">
        <v>23864</v>
      </c>
      <c r="H4435" s="11" t="s">
        <v>23850</v>
      </c>
      <c r="I4435" s="11" t="str">
        <f>HYPERLINK("http://www.comancheros.com/","www.comancheros.com")</f>
        <v>www.comancheros.com</v>
      </c>
      <c r="J4435" s="12">
        <v>153.08500000000001</v>
      </c>
      <c r="K4435" s="12">
        <v>153.08500000000001</v>
      </c>
      <c r="L4435" s="13">
        <v>153.83500000000001</v>
      </c>
      <c r="M4435" s="12">
        <v>-5.867</v>
      </c>
      <c r="N4435" s="12">
        <v>-5.867</v>
      </c>
      <c r="O4435" s="12">
        <v>6.5190000000000001</v>
      </c>
      <c r="P4435" s="14" t="s">
        <v>23858</v>
      </c>
      <c r="Q4435" s="14" t="s">
        <v>23858</v>
      </c>
      <c r="R4435" s="12">
        <v>3</v>
      </c>
    </row>
    <row r="4436" spans="1:18" ht="43" customHeight="1" x14ac:dyDescent="0.15">
      <c r="A4436" s="8" t="s">
        <v>23955</v>
      </c>
      <c r="B4436" s="9" t="s">
        <v>23956</v>
      </c>
      <c r="C4436" s="8" t="s">
        <v>23957</v>
      </c>
      <c r="D4436" s="8" t="s">
        <v>23957</v>
      </c>
      <c r="E4436" s="8" t="s">
        <v>23958</v>
      </c>
      <c r="F4436" s="8" t="s">
        <v>23930</v>
      </c>
      <c r="G4436" s="8" t="s">
        <v>23959</v>
      </c>
      <c r="H4436" s="8" t="s">
        <v>23960</v>
      </c>
      <c r="I4436" s="8" t="str">
        <f>HYPERLINK("http://www.luomodrink.it/","www.luomodrink.it")</f>
        <v>www.luomodrink.it</v>
      </c>
      <c r="J4436" s="10">
        <v>117.548</v>
      </c>
      <c r="K4436" s="10">
        <v>117.548</v>
      </c>
      <c r="L4436" s="10">
        <v>152.93</v>
      </c>
      <c r="M4436" s="10">
        <v>0.84299999999999997</v>
      </c>
      <c r="N4436" s="10">
        <v>0.84299999999999997</v>
      </c>
      <c r="O4436" s="10">
        <v>0.64700000000000002</v>
      </c>
      <c r="P4436" s="10">
        <v>1</v>
      </c>
      <c r="Q4436" s="10">
        <v>1</v>
      </c>
      <c r="R4436" s="10">
        <v>1</v>
      </c>
    </row>
    <row r="4437" spans="1:18" ht="17" customHeight="1" x14ac:dyDescent="0.15">
      <c r="A4437" s="11" t="s">
        <v>23961</v>
      </c>
      <c r="B4437" s="1" t="s">
        <v>23962</v>
      </c>
      <c r="C4437" s="11" t="s">
        <v>23963</v>
      </c>
      <c r="D4437" s="11" t="s">
        <v>23963</v>
      </c>
      <c r="E4437" s="11" t="s">
        <v>23964</v>
      </c>
      <c r="F4437" s="11" t="s">
        <v>23848</v>
      </c>
      <c r="G4437" s="11" t="s">
        <v>23965</v>
      </c>
      <c r="H4437" s="11" t="s">
        <v>23850</v>
      </c>
      <c r="I4437" s="11" t="str">
        <f>HYPERLINK("http://myplus.design/","myplus.design")</f>
        <v>myplus.design</v>
      </c>
      <c r="J4437" s="12">
        <v>430.02300000000002</v>
      </c>
      <c r="K4437" s="12">
        <v>430.02300000000002</v>
      </c>
      <c r="L4437" s="13">
        <v>152.19900000000001</v>
      </c>
      <c r="M4437" s="12">
        <v>-48.786000000000001</v>
      </c>
      <c r="N4437" s="12">
        <v>-48.786000000000001</v>
      </c>
      <c r="O4437" s="12">
        <v>-452.38900000000001</v>
      </c>
      <c r="P4437" s="12">
        <v>0</v>
      </c>
      <c r="Q4437" s="12">
        <v>0</v>
      </c>
      <c r="R4437" s="12">
        <v>0</v>
      </c>
    </row>
    <row r="4438" spans="1:18" ht="17" customHeight="1" x14ac:dyDescent="0.15">
      <c r="A4438" s="8" t="s">
        <v>23966</v>
      </c>
      <c r="B4438" s="9" t="s">
        <v>23967</v>
      </c>
      <c r="C4438" s="8" t="s">
        <v>23968</v>
      </c>
      <c r="D4438" s="8" t="s">
        <v>23968</v>
      </c>
      <c r="E4438" s="8" t="s">
        <v>23969</v>
      </c>
      <c r="F4438" s="8" t="s">
        <v>23924</v>
      </c>
      <c r="G4438" s="8" t="s">
        <v>23931</v>
      </c>
      <c r="H4438" s="8" t="s">
        <v>23932</v>
      </c>
      <c r="I4438" s="8" t="str">
        <f>HYPERLINK("http://www.gokid.eu/","www.gokid.eu")</f>
        <v>www.gokid.eu</v>
      </c>
      <c r="J4438" s="10">
        <v>183.96199999999999</v>
      </c>
      <c r="K4438" s="10">
        <v>183.96199999999999</v>
      </c>
      <c r="L4438" s="10">
        <v>152.01</v>
      </c>
      <c r="M4438" s="10">
        <v>1.1639999999999999</v>
      </c>
      <c r="N4438" s="10">
        <v>1.1639999999999999</v>
      </c>
      <c r="O4438" s="10">
        <v>1.359</v>
      </c>
      <c r="P4438" s="15" t="s">
        <v>23858</v>
      </c>
      <c r="Q4438" s="15" t="s">
        <v>23858</v>
      </c>
      <c r="R4438" s="15" t="s">
        <v>23858</v>
      </c>
    </row>
    <row r="4439" spans="1:18" ht="17" customHeight="1" x14ac:dyDescent="0.15">
      <c r="A4439" s="11" t="s">
        <v>23970</v>
      </c>
      <c r="B4439" s="1" t="s">
        <v>23971</v>
      </c>
      <c r="C4439" s="11" t="s">
        <v>23972</v>
      </c>
      <c r="D4439" s="11" t="s">
        <v>23972</v>
      </c>
      <c r="E4439" s="11" t="s">
        <v>23973</v>
      </c>
      <c r="F4439" s="11" t="s">
        <v>23848</v>
      </c>
      <c r="G4439" s="11" t="s">
        <v>23974</v>
      </c>
      <c r="H4439" s="11" t="s">
        <v>23857</v>
      </c>
      <c r="I4439" s="11" t="str">
        <f>HYPERLINK("http://www.calzaturegipi.com/","www.calzaturegipi.com")</f>
        <v>www.calzaturegipi.com</v>
      </c>
      <c r="J4439" s="12">
        <v>119.563</v>
      </c>
      <c r="K4439" s="12">
        <v>119.563</v>
      </c>
      <c r="L4439" s="13">
        <v>151.584</v>
      </c>
      <c r="M4439" s="12">
        <v>-7.7409999999999997</v>
      </c>
      <c r="N4439" s="12">
        <v>-7.7409999999999997</v>
      </c>
      <c r="O4439" s="12">
        <v>-77.652000000000001</v>
      </c>
      <c r="P4439" s="12">
        <v>0</v>
      </c>
      <c r="Q4439" s="12">
        <v>0</v>
      </c>
      <c r="R4439" s="12">
        <v>2</v>
      </c>
    </row>
    <row r="4440" spans="1:18" ht="17" customHeight="1" x14ac:dyDescent="0.15">
      <c r="A4440" s="8" t="s">
        <v>23975</v>
      </c>
      <c r="B4440" s="9" t="s">
        <v>23976</v>
      </c>
      <c r="C4440" s="8" t="s">
        <v>23977</v>
      </c>
      <c r="D4440" s="8" t="s">
        <v>23977</v>
      </c>
      <c r="E4440" s="8" t="s">
        <v>23978</v>
      </c>
      <c r="F4440" s="8" t="s">
        <v>23855</v>
      </c>
      <c r="G4440" s="8" t="s">
        <v>23882</v>
      </c>
      <c r="H4440" s="8" t="s">
        <v>23883</v>
      </c>
      <c r="I4440" s="8" t="str">
        <f>HYPERLINK("http://gioadri.com/","gioadri.com")</f>
        <v>gioadri.com</v>
      </c>
      <c r="J4440" s="10">
        <v>151.59</v>
      </c>
      <c r="K4440" s="10">
        <v>151.59</v>
      </c>
      <c r="L4440" s="10">
        <v>151.39099999999999</v>
      </c>
      <c r="M4440" s="10">
        <v>-10.94</v>
      </c>
      <c r="N4440" s="10">
        <v>-10.94</v>
      </c>
      <c r="O4440" s="10">
        <v>-15.45</v>
      </c>
      <c r="P4440" s="10">
        <v>1</v>
      </c>
      <c r="Q4440" s="10">
        <v>1</v>
      </c>
      <c r="R4440" s="10">
        <v>1</v>
      </c>
    </row>
    <row r="4441" spans="1:18" ht="43" customHeight="1" x14ac:dyDescent="0.15">
      <c r="A4441" s="11" t="s">
        <v>23979</v>
      </c>
      <c r="B4441" s="1" t="s">
        <v>23980</v>
      </c>
      <c r="C4441" s="11" t="s">
        <v>23981</v>
      </c>
      <c r="D4441" s="11" t="s">
        <v>23981</v>
      </c>
      <c r="E4441" s="11" t="s">
        <v>23982</v>
      </c>
      <c r="F4441" s="11" t="s">
        <v>23914</v>
      </c>
      <c r="G4441" s="11" t="s">
        <v>23983</v>
      </c>
      <c r="H4441" s="11" t="s">
        <v>23984</v>
      </c>
      <c r="I4441" s="11" t="str">
        <f>HYPERLINK("http://www.nora.com/","www.nora.com")</f>
        <v>www.nora.com</v>
      </c>
      <c r="J4441" s="12">
        <v>151.357</v>
      </c>
      <c r="K4441" s="14" t="s">
        <v>23858</v>
      </c>
      <c r="L4441" s="13">
        <v>151.357</v>
      </c>
      <c r="M4441" s="12">
        <v>3.8290000000000002</v>
      </c>
      <c r="N4441" s="14" t="s">
        <v>23858</v>
      </c>
      <c r="O4441" s="12">
        <v>3.8290000000000002</v>
      </c>
      <c r="P4441" s="12">
        <v>1</v>
      </c>
      <c r="Q4441" s="14" t="s">
        <v>23858</v>
      </c>
      <c r="R4441" s="12">
        <v>1</v>
      </c>
    </row>
    <row r="4442" spans="1:18" ht="43" customHeight="1" x14ac:dyDescent="0.15">
      <c r="A4442" s="8" t="s">
        <v>23985</v>
      </c>
      <c r="B4442" s="9" t="s">
        <v>23986</v>
      </c>
      <c r="C4442" s="8" t="s">
        <v>23987</v>
      </c>
      <c r="D4442" s="8" t="s">
        <v>23987</v>
      </c>
      <c r="E4442" s="8" t="s">
        <v>23988</v>
      </c>
      <c r="F4442" s="8" t="s">
        <v>23876</v>
      </c>
      <c r="G4442" s="8" t="s">
        <v>23925</v>
      </c>
      <c r="H4442" s="8" t="s">
        <v>23850</v>
      </c>
      <c r="I4442" s="8" t="str">
        <f>HYPERLINK("http://www.pietrolonghi.com/","www.pietrolonghi.com")</f>
        <v>www.pietrolonghi.com</v>
      </c>
      <c r="J4442" s="10">
        <v>95.888999999999996</v>
      </c>
      <c r="K4442" s="10">
        <v>95.888999999999996</v>
      </c>
      <c r="L4442" s="10">
        <v>151.28700000000001</v>
      </c>
      <c r="M4442" s="10">
        <v>-17.736999999999998</v>
      </c>
      <c r="N4442" s="10">
        <v>-17.736999999999998</v>
      </c>
      <c r="O4442" s="10">
        <v>16.815999999999999</v>
      </c>
      <c r="P4442" s="10">
        <v>3</v>
      </c>
      <c r="Q4442" s="10">
        <v>3</v>
      </c>
      <c r="R4442" s="10">
        <v>3</v>
      </c>
    </row>
    <row r="4443" spans="1:18" ht="17" customHeight="1" x14ac:dyDescent="0.15">
      <c r="A4443" s="11" t="s">
        <v>23989</v>
      </c>
      <c r="B4443" s="1" t="s">
        <v>23990</v>
      </c>
      <c r="C4443" s="11" t="s">
        <v>23991</v>
      </c>
      <c r="D4443" s="11" t="s">
        <v>23991</v>
      </c>
      <c r="E4443" s="11" t="s">
        <v>23992</v>
      </c>
      <c r="F4443" s="11" t="s">
        <v>23930</v>
      </c>
      <c r="G4443" s="11" t="s">
        <v>23870</v>
      </c>
      <c r="H4443" s="11" t="s">
        <v>23871</v>
      </c>
      <c r="I4443" s="11" t="str">
        <f>HYPERLINK("http://www.rufus.it/","www.rufus.it")</f>
        <v>www.rufus.it</v>
      </c>
      <c r="J4443" s="12">
        <v>180.55500000000001</v>
      </c>
      <c r="K4443" s="12">
        <v>180.55500000000001</v>
      </c>
      <c r="L4443" s="13">
        <v>150.96700000000001</v>
      </c>
      <c r="M4443" s="12">
        <v>19.361999999999998</v>
      </c>
      <c r="N4443" s="12">
        <v>19.361999999999998</v>
      </c>
      <c r="O4443" s="12">
        <v>24.378</v>
      </c>
      <c r="P4443" s="14" t="s">
        <v>23858</v>
      </c>
      <c r="Q4443" s="14" t="s">
        <v>23858</v>
      </c>
      <c r="R4443" s="12">
        <v>2</v>
      </c>
    </row>
    <row r="4444" spans="1:18" ht="17" customHeight="1" x14ac:dyDescent="0.15">
      <c r="A4444" s="8" t="s">
        <v>23993</v>
      </c>
      <c r="B4444" s="9" t="s">
        <v>23994</v>
      </c>
      <c r="C4444" s="8" t="s">
        <v>23995</v>
      </c>
      <c r="D4444" s="8" t="s">
        <v>23995</v>
      </c>
      <c r="E4444" s="8" t="s">
        <v>23996</v>
      </c>
      <c r="F4444" s="8" t="s">
        <v>23997</v>
      </c>
      <c r="G4444" s="8" t="s">
        <v>23905</v>
      </c>
      <c r="H4444" s="8" t="s">
        <v>23871</v>
      </c>
      <c r="I4444" s="8" t="str">
        <f>HYPERLINK("http://www.bcsport.it/","www.bcsport.it")</f>
        <v>www.bcsport.it</v>
      </c>
      <c r="J4444" s="10">
        <v>195.078</v>
      </c>
      <c r="K4444" s="10">
        <v>195.078</v>
      </c>
      <c r="L4444" s="10">
        <v>150.928</v>
      </c>
      <c r="M4444" s="10">
        <v>10.99</v>
      </c>
      <c r="N4444" s="10">
        <v>10.99</v>
      </c>
      <c r="O4444" s="10">
        <v>0.13500000000000001</v>
      </c>
      <c r="P4444" s="10">
        <v>1</v>
      </c>
      <c r="Q4444" s="10">
        <v>1</v>
      </c>
      <c r="R4444" s="10">
        <v>0</v>
      </c>
    </row>
    <row r="4445" spans="1:18" ht="17" customHeight="1" x14ac:dyDescent="0.15">
      <c r="A4445" s="11" t="s">
        <v>23998</v>
      </c>
      <c r="B4445" s="1" t="s">
        <v>23999</v>
      </c>
      <c r="C4445" s="11" t="s">
        <v>24000</v>
      </c>
      <c r="D4445" s="11" t="s">
        <v>24000</v>
      </c>
      <c r="E4445" s="11" t="s">
        <v>24001</v>
      </c>
      <c r="F4445" s="11" t="s">
        <v>23954</v>
      </c>
      <c r="G4445" s="11" t="s">
        <v>23899</v>
      </c>
      <c r="H4445" s="11" t="s">
        <v>23857</v>
      </c>
      <c r="I4445" s="11" t="str">
        <f>HYPERLINK("http://www.pisanpell.it/","www.pisanpell.it")</f>
        <v>www.pisanpell.it</v>
      </c>
      <c r="J4445" s="12">
        <v>43.918999999999997</v>
      </c>
      <c r="K4445" s="12">
        <v>43.918999999999997</v>
      </c>
      <c r="L4445" s="13">
        <v>150.51599999999999</v>
      </c>
      <c r="M4445" s="12">
        <v>-5.5789999999999997</v>
      </c>
      <c r="N4445" s="12">
        <v>-5.5789999999999997</v>
      </c>
      <c r="O4445" s="12">
        <v>-39.78</v>
      </c>
      <c r="P4445" s="12">
        <v>1</v>
      </c>
      <c r="Q4445" s="12">
        <v>1</v>
      </c>
      <c r="R4445" s="12">
        <v>1</v>
      </c>
    </row>
    <row r="4446" spans="1:18" ht="17" customHeight="1" x14ac:dyDescent="0.15">
      <c r="A4446" s="8" t="s">
        <v>24002</v>
      </c>
      <c r="B4446" s="9" t="s">
        <v>24003</v>
      </c>
      <c r="C4446" s="8" t="s">
        <v>24004</v>
      </c>
      <c r="D4446" s="8" t="s">
        <v>24004</v>
      </c>
      <c r="E4446" s="8" t="s">
        <v>24005</v>
      </c>
      <c r="F4446" s="8" t="s">
        <v>23898</v>
      </c>
      <c r="G4446" s="8" t="s">
        <v>23905</v>
      </c>
      <c r="H4446" s="8" t="s">
        <v>23871</v>
      </c>
      <c r="I4446" s="8" t="str">
        <f>HYPERLINK("http://new.fratellicorrieri.com/","new.fratellicorrieri.com")</f>
        <v>new.fratellicorrieri.com</v>
      </c>
      <c r="J4446" s="10">
        <v>160.00700000000001</v>
      </c>
      <c r="K4446" s="10">
        <v>160.00700000000001</v>
      </c>
      <c r="L4446" s="10">
        <v>150.16800000000001</v>
      </c>
      <c r="M4446" s="10">
        <v>-18.940999999999999</v>
      </c>
      <c r="N4446" s="10">
        <v>-18.940999999999999</v>
      </c>
      <c r="O4446" s="10">
        <v>1.1279999999999999</v>
      </c>
      <c r="P4446" s="10">
        <v>0</v>
      </c>
      <c r="Q4446" s="10">
        <v>0</v>
      </c>
      <c r="R4446" s="10">
        <v>0</v>
      </c>
    </row>
    <row r="4447" spans="1:18" ht="17" customHeight="1" x14ac:dyDescent="0.15">
      <c r="A4447" s="11" t="s">
        <v>24006</v>
      </c>
      <c r="B4447" s="1" t="s">
        <v>24007</v>
      </c>
      <c r="C4447" s="11" t="s">
        <v>24008</v>
      </c>
      <c r="D4447" s="11" t="s">
        <v>24008</v>
      </c>
      <c r="E4447" s="11" t="s">
        <v>24009</v>
      </c>
      <c r="F4447" s="11" t="s">
        <v>23914</v>
      </c>
      <c r="G4447" s="11" t="s">
        <v>24010</v>
      </c>
      <c r="H4447" s="11" t="s">
        <v>24011</v>
      </c>
      <c r="I4447" s="11" t="str">
        <f>HYPERLINK("http://en.sartoriesticchi.com/","en.sartoriesticchi.com")</f>
        <v>en.sartoriesticchi.com</v>
      </c>
      <c r="J4447" s="12">
        <v>157.57400000000001</v>
      </c>
      <c r="K4447" s="12">
        <v>157.57400000000001</v>
      </c>
      <c r="L4447" s="13">
        <v>149.25299999999999</v>
      </c>
      <c r="M4447" s="12">
        <v>3.052</v>
      </c>
      <c r="N4447" s="12">
        <v>3.052</v>
      </c>
      <c r="O4447" s="12">
        <v>-3.903</v>
      </c>
      <c r="P4447" s="12">
        <v>0</v>
      </c>
      <c r="Q4447" s="12">
        <v>0</v>
      </c>
      <c r="R4447" s="14" t="s">
        <v>23858</v>
      </c>
    </row>
    <row r="4448" spans="1:18" ht="29.5" customHeight="1" x14ac:dyDescent="0.15">
      <c r="A4448" s="8" t="s">
        <v>24012</v>
      </c>
      <c r="B4448" s="9" t="s">
        <v>24013</v>
      </c>
      <c r="C4448" s="8" t="s">
        <v>24014</v>
      </c>
      <c r="D4448" s="8" t="s">
        <v>24014</v>
      </c>
      <c r="E4448" s="8" t="s">
        <v>24015</v>
      </c>
      <c r="F4448" s="8" t="s">
        <v>23997</v>
      </c>
      <c r="G4448" s="8" t="s">
        <v>23856</v>
      </c>
      <c r="H4448" s="8" t="s">
        <v>23857</v>
      </c>
      <c r="I4448" s="8" t="str">
        <f>HYPERLINK("http://dama-blu-srl-05634001217.quantofattura.com/","dama-blu-srl-05634001217.quantofattura.com")</f>
        <v>dama-blu-srl-05634001217.quantofattura.com</v>
      </c>
      <c r="J4448" s="10">
        <v>45.323999999999998</v>
      </c>
      <c r="K4448" s="10">
        <v>45.323999999999998</v>
      </c>
      <c r="L4448" s="10">
        <v>148.815</v>
      </c>
      <c r="M4448" s="10">
        <v>-19.565000000000001</v>
      </c>
      <c r="N4448" s="10">
        <v>-19.565000000000001</v>
      </c>
      <c r="O4448" s="10">
        <v>12.824</v>
      </c>
      <c r="P4448" s="10">
        <v>2</v>
      </c>
      <c r="Q4448" s="10">
        <v>2</v>
      </c>
      <c r="R4448" s="10">
        <v>2</v>
      </c>
    </row>
    <row r="4449" spans="1:18" ht="17" customHeight="1" x14ac:dyDescent="0.15">
      <c r="A4449" s="11" t="s">
        <v>24016</v>
      </c>
      <c r="B4449" s="1" t="s">
        <v>24017</v>
      </c>
      <c r="C4449" s="11" t="s">
        <v>24018</v>
      </c>
      <c r="D4449" s="11" t="s">
        <v>24018</v>
      </c>
      <c r="E4449" s="11" t="s">
        <v>24019</v>
      </c>
      <c r="F4449" s="11" t="s">
        <v>24020</v>
      </c>
      <c r="G4449" s="11" t="s">
        <v>24021</v>
      </c>
      <c r="H4449" s="11" t="s">
        <v>24022</v>
      </c>
      <c r="I4449" s="11" t="str">
        <f>HYPERLINK("http://www.pantotex.com/","www.pantotex.com")</f>
        <v>www.pantotex.com</v>
      </c>
      <c r="J4449" s="12">
        <v>179.70699999999999</v>
      </c>
      <c r="K4449" s="12">
        <v>179.70699999999999</v>
      </c>
      <c r="L4449" s="13">
        <v>148.63999999999999</v>
      </c>
      <c r="M4449" s="12">
        <v>-13.779</v>
      </c>
      <c r="N4449" s="12">
        <v>-13.779</v>
      </c>
      <c r="O4449" s="12">
        <v>-33.673999999999999</v>
      </c>
      <c r="P4449" s="12">
        <v>1</v>
      </c>
      <c r="Q4449" s="12">
        <v>1</v>
      </c>
      <c r="R4449" s="12">
        <v>1</v>
      </c>
    </row>
    <row r="4450" spans="1:18" ht="17" customHeight="1" x14ac:dyDescent="0.15">
      <c r="A4450" s="8" t="s">
        <v>24023</v>
      </c>
      <c r="B4450" s="9" t="s">
        <v>24024</v>
      </c>
      <c r="C4450" s="8" t="s">
        <v>24025</v>
      </c>
      <c r="D4450" s="8" t="s">
        <v>24025</v>
      </c>
      <c r="E4450" s="8" t="s">
        <v>24026</v>
      </c>
      <c r="F4450" s="8" t="s">
        <v>24020</v>
      </c>
      <c r="G4450" s="8" t="s">
        <v>24027</v>
      </c>
      <c r="H4450" s="8" t="s">
        <v>24028</v>
      </c>
      <c r="I4450" s="8" t="str">
        <f>HYPERLINK("http://enylo.it/","enylo.it")</f>
        <v>enylo.it</v>
      </c>
      <c r="J4450" s="10">
        <v>161.74299999999999</v>
      </c>
      <c r="K4450" s="10">
        <v>161.74299999999999</v>
      </c>
      <c r="L4450" s="10">
        <v>147.214</v>
      </c>
      <c r="M4450" s="10">
        <v>-24.454999999999998</v>
      </c>
      <c r="N4450" s="10">
        <v>-24.454999999999998</v>
      </c>
      <c r="O4450" s="10">
        <v>6.8140000000000001</v>
      </c>
      <c r="P4450" s="10">
        <v>0</v>
      </c>
      <c r="Q4450" s="10">
        <v>0</v>
      </c>
      <c r="R4450" s="10">
        <v>0</v>
      </c>
    </row>
    <row r="4451" spans="1:18" ht="29.5" customHeight="1" x14ac:dyDescent="0.15">
      <c r="A4451" s="11" t="s">
        <v>24029</v>
      </c>
      <c r="B4451" s="1" t="s">
        <v>24030</v>
      </c>
      <c r="C4451" s="11" t="s">
        <v>24031</v>
      </c>
      <c r="D4451" s="11" t="s">
        <v>24031</v>
      </c>
      <c r="E4451" s="11" t="s">
        <v>24032</v>
      </c>
      <c r="F4451" s="11" t="s">
        <v>24033</v>
      </c>
      <c r="G4451" s="11" t="s">
        <v>24034</v>
      </c>
      <c r="H4451" s="11" t="s">
        <v>24035</v>
      </c>
      <c r="I4451" s="11" t="str">
        <f>HYPERLINK("http://marineinterior.com/","marineinterior.com")</f>
        <v>marineinterior.com</v>
      </c>
      <c r="J4451" s="12">
        <v>157.30099999999999</v>
      </c>
      <c r="K4451" s="12">
        <v>157.30099999999999</v>
      </c>
      <c r="L4451" s="13">
        <v>147.20099999999999</v>
      </c>
      <c r="M4451" s="12">
        <v>-6.0380000000000003</v>
      </c>
      <c r="N4451" s="12">
        <v>-6.0380000000000003</v>
      </c>
      <c r="O4451" s="12">
        <v>-8.5470000000000006</v>
      </c>
      <c r="P4451" s="12">
        <v>2</v>
      </c>
      <c r="Q4451" s="12">
        <v>2</v>
      </c>
      <c r="R4451" s="12">
        <v>2</v>
      </c>
    </row>
    <row r="4452" spans="1:18" ht="43" customHeight="1" x14ac:dyDescent="0.15">
      <c r="A4452" s="8" t="s">
        <v>24036</v>
      </c>
      <c r="B4452" s="9" t="s">
        <v>24037</v>
      </c>
      <c r="C4452" s="8" t="s">
        <v>24038</v>
      </c>
      <c r="D4452" s="8" t="s">
        <v>24038</v>
      </c>
      <c r="E4452" s="8" t="s">
        <v>24039</v>
      </c>
      <c r="F4452" s="8" t="s">
        <v>24040</v>
      </c>
      <c r="G4452" s="8" t="s">
        <v>24041</v>
      </c>
      <c r="H4452" s="8" t="s">
        <v>24042</v>
      </c>
      <c r="I4452" s="8" t="str">
        <f>HYPERLINK("http://www.lorsobruno.com/","www.lorsobruno.com")</f>
        <v>www.lorsobruno.com</v>
      </c>
      <c r="J4452" s="10">
        <v>137.87899999999999</v>
      </c>
      <c r="K4452" s="10">
        <v>137.87899999999999</v>
      </c>
      <c r="L4452" s="10">
        <v>147.1</v>
      </c>
      <c r="M4452" s="10">
        <v>12.307</v>
      </c>
      <c r="N4452" s="10">
        <v>12.307</v>
      </c>
      <c r="O4452" s="10">
        <v>10.273</v>
      </c>
      <c r="P4452" s="10">
        <v>0</v>
      </c>
      <c r="Q4452" s="10">
        <v>0</v>
      </c>
      <c r="R4452" s="10">
        <v>0</v>
      </c>
    </row>
    <row r="4453" spans="1:18" ht="17" customHeight="1" x14ac:dyDescent="0.15">
      <c r="A4453" s="11" t="s">
        <v>24043</v>
      </c>
      <c r="B4453" s="1" t="s">
        <v>24044</v>
      </c>
      <c r="C4453" s="11" t="s">
        <v>24045</v>
      </c>
      <c r="D4453" s="11" t="s">
        <v>24045</v>
      </c>
      <c r="E4453" s="11" t="s">
        <v>24046</v>
      </c>
      <c r="F4453" s="11" t="s">
        <v>24047</v>
      </c>
      <c r="G4453" s="11" t="s">
        <v>24048</v>
      </c>
      <c r="H4453" s="11" t="s">
        <v>24049</v>
      </c>
      <c r="I4453" s="11" t="str">
        <f>HYPERLINK("http://www.enrysport.it/","www.enrysport.it")</f>
        <v>www.enrysport.it</v>
      </c>
      <c r="J4453" s="12">
        <v>135.85499999999999</v>
      </c>
      <c r="K4453" s="12">
        <v>135.85499999999999</v>
      </c>
      <c r="L4453" s="13">
        <v>146.90100000000001</v>
      </c>
      <c r="M4453" s="12">
        <v>10.542999999999999</v>
      </c>
      <c r="N4453" s="12">
        <v>10.542999999999999</v>
      </c>
      <c r="O4453" s="12">
        <v>6.4390000000000001</v>
      </c>
      <c r="P4453" s="12">
        <v>2</v>
      </c>
      <c r="Q4453" s="12">
        <v>2</v>
      </c>
      <c r="R4453" s="12">
        <v>2</v>
      </c>
    </row>
    <row r="4454" spans="1:18" ht="17" customHeight="1" x14ac:dyDescent="0.15">
      <c r="A4454" s="8" t="s">
        <v>24050</v>
      </c>
      <c r="B4454" s="9" t="s">
        <v>24051</v>
      </c>
      <c r="C4454" s="8" t="s">
        <v>24052</v>
      </c>
      <c r="D4454" s="8" t="s">
        <v>24052</v>
      </c>
      <c r="E4454" s="8" t="s">
        <v>24053</v>
      </c>
      <c r="F4454" s="8" t="s">
        <v>24040</v>
      </c>
      <c r="G4454" s="8" t="s">
        <v>24054</v>
      </c>
      <c r="H4454" s="8" t="s">
        <v>24055</v>
      </c>
      <c r="I4454" s="8" t="str">
        <f>HYPERLINK("http://www.ottofiori.it/","www.ottofiori.it")</f>
        <v>www.ottofiori.it</v>
      </c>
      <c r="J4454" s="10">
        <v>129.50800000000001</v>
      </c>
      <c r="K4454" s="10">
        <v>129.50800000000001</v>
      </c>
      <c r="L4454" s="10">
        <v>146.88800000000001</v>
      </c>
      <c r="M4454" s="10">
        <v>5.8730000000000002</v>
      </c>
      <c r="N4454" s="10">
        <v>5.8730000000000002</v>
      </c>
      <c r="O4454" s="10">
        <v>29.809000000000001</v>
      </c>
      <c r="P4454" s="10">
        <v>0</v>
      </c>
      <c r="Q4454" s="10">
        <v>0</v>
      </c>
      <c r="R4454" s="10">
        <v>0</v>
      </c>
    </row>
    <row r="4455" spans="1:18" ht="17" customHeight="1" x14ac:dyDescent="0.15">
      <c r="A4455" s="11" t="s">
        <v>24056</v>
      </c>
      <c r="B4455" s="1" t="s">
        <v>24057</v>
      </c>
      <c r="C4455" s="11" t="s">
        <v>24058</v>
      </c>
      <c r="D4455" s="11" t="s">
        <v>24058</v>
      </c>
      <c r="E4455" s="11" t="s">
        <v>24059</v>
      </c>
      <c r="F4455" s="11" t="s">
        <v>24060</v>
      </c>
      <c r="G4455" s="11" t="s">
        <v>24061</v>
      </c>
      <c r="H4455" s="11" t="s">
        <v>24049</v>
      </c>
      <c r="I4455" s="11" t="str">
        <f>HYPERLINK("http://www.alexridolfi.it/","www.alexridolfi.it")</f>
        <v>www.alexridolfi.it</v>
      </c>
      <c r="J4455" s="12">
        <v>142.70400000000001</v>
      </c>
      <c r="K4455" s="12">
        <v>142.70400000000001</v>
      </c>
      <c r="L4455" s="13">
        <v>146.846</v>
      </c>
      <c r="M4455" s="12">
        <v>1.4</v>
      </c>
      <c r="N4455" s="12">
        <v>1.4</v>
      </c>
      <c r="O4455" s="12">
        <v>-0.39800000000000002</v>
      </c>
      <c r="P4455" s="12">
        <v>4</v>
      </c>
      <c r="Q4455" s="12">
        <v>4</v>
      </c>
      <c r="R4455" s="12">
        <v>4</v>
      </c>
    </row>
    <row r="4456" spans="1:18" ht="29.5" customHeight="1" x14ac:dyDescent="0.15">
      <c r="A4456" s="8" t="s">
        <v>24062</v>
      </c>
      <c r="B4456" s="9" t="s">
        <v>24063</v>
      </c>
      <c r="C4456" s="8" t="s">
        <v>24064</v>
      </c>
      <c r="D4456" s="8" t="s">
        <v>24064</v>
      </c>
      <c r="E4456" s="8" t="s">
        <v>24065</v>
      </c>
      <c r="F4456" s="8" t="s">
        <v>24066</v>
      </c>
      <c r="G4456" s="8" t="s">
        <v>24067</v>
      </c>
      <c r="H4456" s="8" t="s">
        <v>24055</v>
      </c>
      <c r="I4456" s="8" t="str">
        <f>HYPERLINK("http://www.hoplites.it/","www.hoplites.it")</f>
        <v>www.hoplites.it</v>
      </c>
      <c r="J4456" s="10">
        <v>243.73400000000001</v>
      </c>
      <c r="K4456" s="10">
        <v>243.73400000000001</v>
      </c>
      <c r="L4456" s="10">
        <v>146.297</v>
      </c>
      <c r="M4456" s="10">
        <v>-6.4260000000000002</v>
      </c>
      <c r="N4456" s="10">
        <v>-6.4260000000000002</v>
      </c>
      <c r="O4456" s="10">
        <v>-9.6859999999999999</v>
      </c>
      <c r="P4456" s="10">
        <v>2</v>
      </c>
      <c r="Q4456" s="10">
        <v>2</v>
      </c>
      <c r="R4456" s="10">
        <v>2</v>
      </c>
    </row>
    <row r="4457" spans="1:18" ht="17" customHeight="1" x14ac:dyDescent="0.15">
      <c r="A4457" s="11" t="s">
        <v>24068</v>
      </c>
      <c r="B4457" s="1" t="s">
        <v>24069</v>
      </c>
      <c r="C4457" s="11" t="s">
        <v>24070</v>
      </c>
      <c r="D4457" s="11" t="s">
        <v>24070</v>
      </c>
      <c r="E4457" s="11" t="s">
        <v>24071</v>
      </c>
      <c r="F4457" s="11" t="s">
        <v>24033</v>
      </c>
      <c r="G4457" s="11" t="s">
        <v>24072</v>
      </c>
      <c r="H4457" s="11" t="s">
        <v>24073</v>
      </c>
      <c r="I4457" s="11" t="str">
        <f>HYPERLINK("http://bisbag.vudoo.it/","bisbag.vudoo.it")</f>
        <v>bisbag.vudoo.it</v>
      </c>
      <c r="J4457" s="12">
        <v>115.82599999999999</v>
      </c>
      <c r="K4457" s="12">
        <v>115.82599999999999</v>
      </c>
      <c r="L4457" s="13">
        <v>144.76</v>
      </c>
      <c r="M4457" s="12">
        <v>1.3680000000000001</v>
      </c>
      <c r="N4457" s="12">
        <v>1.3680000000000001</v>
      </c>
      <c r="O4457" s="12">
        <v>0.40500000000000003</v>
      </c>
      <c r="P4457" s="12">
        <v>4</v>
      </c>
      <c r="Q4457" s="12">
        <v>4</v>
      </c>
      <c r="R4457" s="12">
        <v>3</v>
      </c>
    </row>
    <row r="4458" spans="1:18" ht="17" customHeight="1" x14ac:dyDescent="0.15">
      <c r="A4458" s="8" t="s">
        <v>24074</v>
      </c>
      <c r="B4458" s="9" t="s">
        <v>24075</v>
      </c>
      <c r="C4458" s="8" t="s">
        <v>24076</v>
      </c>
      <c r="D4458" s="8" t="s">
        <v>24076</v>
      </c>
      <c r="E4458" s="8" t="s">
        <v>24077</v>
      </c>
      <c r="F4458" s="8" t="s">
        <v>24033</v>
      </c>
      <c r="G4458" s="8" t="s">
        <v>24078</v>
      </c>
      <c r="H4458" s="8" t="s">
        <v>24042</v>
      </c>
      <c r="I4458" s="8" t="str">
        <f>HYPERLINK("http://www.94punto70.it/","www.94punto70.it")</f>
        <v>www.94punto70.it</v>
      </c>
      <c r="J4458" s="10">
        <v>138.21899999999999</v>
      </c>
      <c r="K4458" s="10">
        <v>138.21899999999999</v>
      </c>
      <c r="L4458" s="10">
        <v>143.976</v>
      </c>
      <c r="M4458" s="10">
        <v>32.238</v>
      </c>
      <c r="N4458" s="10">
        <v>32.238</v>
      </c>
      <c r="O4458" s="10">
        <v>33.597999999999999</v>
      </c>
      <c r="P4458" s="10">
        <v>0</v>
      </c>
      <c r="Q4458" s="10">
        <v>0</v>
      </c>
      <c r="R4458" s="10">
        <v>0</v>
      </c>
    </row>
    <row r="4459" spans="1:18" ht="17" customHeight="1" x14ac:dyDescent="0.15">
      <c r="A4459" s="11" t="s">
        <v>24079</v>
      </c>
      <c r="B4459" s="1" t="s">
        <v>24080</v>
      </c>
      <c r="C4459" s="11" t="s">
        <v>24081</v>
      </c>
      <c r="D4459" s="11" t="s">
        <v>24081</v>
      </c>
      <c r="E4459" s="11" t="s">
        <v>24082</v>
      </c>
      <c r="F4459" s="11" t="s">
        <v>24083</v>
      </c>
      <c r="G4459" s="11" t="s">
        <v>24084</v>
      </c>
      <c r="H4459" s="11" t="s">
        <v>24085</v>
      </c>
      <c r="I4459" s="11" t="str">
        <f>HYPERLINK("http://www.agorartmilano.it/","www.agorartmilano.it")</f>
        <v>www.agorartmilano.it</v>
      </c>
      <c r="J4459" s="12">
        <v>143.72300000000001</v>
      </c>
      <c r="K4459" s="14" t="s">
        <v>24086</v>
      </c>
      <c r="L4459" s="13">
        <v>143.72300000000001</v>
      </c>
      <c r="M4459" s="12">
        <v>-15.026999999999999</v>
      </c>
      <c r="N4459" s="14" t="s">
        <v>24086</v>
      </c>
      <c r="O4459" s="12">
        <v>-15.026999999999999</v>
      </c>
      <c r="P4459" s="12">
        <v>2</v>
      </c>
      <c r="Q4459" s="14" t="s">
        <v>24086</v>
      </c>
      <c r="R4459" s="12">
        <v>2</v>
      </c>
    </row>
    <row r="4460" spans="1:18" ht="17" customHeight="1" x14ac:dyDescent="0.15">
      <c r="A4460" s="8" t="s">
        <v>24087</v>
      </c>
      <c r="B4460" s="9" t="s">
        <v>24088</v>
      </c>
      <c r="C4460" s="8" t="s">
        <v>24089</v>
      </c>
      <c r="D4460" s="8" t="s">
        <v>24089</v>
      </c>
      <c r="E4460" s="8" t="s">
        <v>24090</v>
      </c>
      <c r="F4460" s="8" t="s">
        <v>24033</v>
      </c>
      <c r="G4460" s="8" t="s">
        <v>24072</v>
      </c>
      <c r="H4460" s="8" t="s">
        <v>24073</v>
      </c>
      <c r="I4460" s="8" t="str">
        <f>HYPERLINK("http://robertomantellassi.com/","robertomantellassi.com")</f>
        <v>robertomantellassi.com</v>
      </c>
      <c r="J4460" s="10">
        <v>113.655</v>
      </c>
      <c r="K4460" s="10">
        <v>113.655</v>
      </c>
      <c r="L4460" s="10">
        <v>143.68799999999999</v>
      </c>
      <c r="M4460" s="10">
        <v>2.117</v>
      </c>
      <c r="N4460" s="10">
        <v>2.117</v>
      </c>
      <c r="O4460" s="10">
        <v>1.1060000000000001</v>
      </c>
      <c r="P4460" s="15" t="s">
        <v>24086</v>
      </c>
      <c r="Q4460" s="15" t="s">
        <v>24086</v>
      </c>
      <c r="R4460" s="10">
        <v>1</v>
      </c>
    </row>
    <row r="4461" spans="1:18" ht="17" customHeight="1" x14ac:dyDescent="0.15">
      <c r="A4461" s="11" t="s">
        <v>24091</v>
      </c>
      <c r="B4461" s="1" t="s">
        <v>24092</v>
      </c>
      <c r="C4461" s="11" t="s">
        <v>24093</v>
      </c>
      <c r="D4461" s="11" t="s">
        <v>24093</v>
      </c>
      <c r="E4461" s="11" t="s">
        <v>24094</v>
      </c>
      <c r="F4461" s="11" t="s">
        <v>24040</v>
      </c>
      <c r="G4461" s="11" t="s">
        <v>24034</v>
      </c>
      <c r="H4461" s="11" t="s">
        <v>24035</v>
      </c>
      <c r="I4461" s="11" t="str">
        <f>HYPERLINK("http://www.dancingday.it/","www.dancingday.it")</f>
        <v>www.dancingday.it</v>
      </c>
      <c r="J4461" s="12">
        <v>188.40600000000001</v>
      </c>
      <c r="K4461" s="12">
        <v>188.40600000000001</v>
      </c>
      <c r="L4461" s="13">
        <v>143.15100000000001</v>
      </c>
      <c r="M4461" s="12">
        <v>2.782</v>
      </c>
      <c r="N4461" s="12">
        <v>2.782</v>
      </c>
      <c r="O4461" s="12">
        <v>0.87</v>
      </c>
      <c r="P4461" s="12">
        <v>3</v>
      </c>
      <c r="Q4461" s="12">
        <v>3</v>
      </c>
      <c r="R4461" s="12">
        <v>4</v>
      </c>
    </row>
    <row r="4462" spans="1:18" ht="17" customHeight="1" x14ac:dyDescent="0.15">
      <c r="A4462" s="8" t="s">
        <v>24095</v>
      </c>
      <c r="B4462" s="9" t="s">
        <v>24096</v>
      </c>
      <c r="C4462" s="8" t="s">
        <v>24097</v>
      </c>
      <c r="D4462" s="8" t="s">
        <v>24097</v>
      </c>
      <c r="E4462" s="8" t="s">
        <v>24098</v>
      </c>
      <c r="F4462" s="8" t="s">
        <v>24099</v>
      </c>
      <c r="G4462" s="8" t="s">
        <v>24100</v>
      </c>
      <c r="H4462" s="8" t="s">
        <v>24042</v>
      </c>
      <c r="I4462" s="8" t="str">
        <f>HYPERLINK("http://www.calzaturaortopedica.it/","www.calzaturaortopedica.it")</f>
        <v>www.calzaturaortopedica.it</v>
      </c>
      <c r="J4462" s="10">
        <v>203.53299999999999</v>
      </c>
      <c r="K4462" s="10">
        <v>203.53299999999999</v>
      </c>
      <c r="L4462" s="10">
        <v>142.68700000000001</v>
      </c>
      <c r="M4462" s="10">
        <v>14.073</v>
      </c>
      <c r="N4462" s="10">
        <v>14.073</v>
      </c>
      <c r="O4462" s="10">
        <v>6.9829999999999997</v>
      </c>
      <c r="P4462" s="15" t="s">
        <v>24086</v>
      </c>
      <c r="Q4462" s="15" t="s">
        <v>24086</v>
      </c>
      <c r="R4462" s="15" t="s">
        <v>24086</v>
      </c>
    </row>
    <row r="4463" spans="1:18" ht="17" customHeight="1" x14ac:dyDescent="0.15">
      <c r="A4463" s="11" t="s">
        <v>24101</v>
      </c>
      <c r="B4463" s="1" t="s">
        <v>24102</v>
      </c>
      <c r="C4463" s="11" t="s">
        <v>24103</v>
      </c>
      <c r="D4463" s="11" t="s">
        <v>24103</v>
      </c>
      <c r="E4463" s="11" t="s">
        <v>24104</v>
      </c>
      <c r="F4463" s="11" t="s">
        <v>24060</v>
      </c>
      <c r="G4463" s="11" t="s">
        <v>24105</v>
      </c>
      <c r="H4463" s="11" t="s">
        <v>24106</v>
      </c>
      <c r="I4463" s="11" t="str">
        <f>HYPERLINK("http://www.maglificioangelapitta.it/","www.maglificioangelapitta.it")</f>
        <v>www.maglificioangelapitta.it</v>
      </c>
      <c r="J4463" s="12">
        <v>160.24100000000001</v>
      </c>
      <c r="K4463" s="12">
        <v>160.24100000000001</v>
      </c>
      <c r="L4463" s="13">
        <v>142.48599999999999</v>
      </c>
      <c r="M4463" s="12">
        <v>46.884</v>
      </c>
      <c r="N4463" s="12">
        <v>46.884</v>
      </c>
      <c r="O4463" s="12">
        <v>12.456</v>
      </c>
      <c r="P4463" s="12">
        <v>2</v>
      </c>
      <c r="Q4463" s="12">
        <v>2</v>
      </c>
      <c r="R4463" s="12">
        <v>2</v>
      </c>
    </row>
    <row r="4464" spans="1:18" ht="17" customHeight="1" x14ac:dyDescent="0.15">
      <c r="A4464" s="8" t="s">
        <v>24107</v>
      </c>
      <c r="B4464" s="9" t="s">
        <v>24108</v>
      </c>
      <c r="C4464" s="8" t="s">
        <v>24109</v>
      </c>
      <c r="D4464" s="8" t="s">
        <v>24109</v>
      </c>
      <c r="E4464" s="8" t="s">
        <v>24110</v>
      </c>
      <c r="F4464" s="8" t="s">
        <v>24111</v>
      </c>
      <c r="G4464" s="8" t="s">
        <v>24112</v>
      </c>
      <c r="H4464" s="8" t="s">
        <v>24113</v>
      </c>
      <c r="I4464" s="8" t="str">
        <f>HYPERLINK("http://www.tacchificiotecnoplast.it/","www.tacchificiotecnoplast.it")</f>
        <v>www.tacchificiotecnoplast.it</v>
      </c>
      <c r="J4464" s="10">
        <v>180.262</v>
      </c>
      <c r="K4464" s="10">
        <v>180.262</v>
      </c>
      <c r="L4464" s="10">
        <v>141.72900000000001</v>
      </c>
      <c r="M4464" s="10">
        <v>4.7359999999999998</v>
      </c>
      <c r="N4464" s="10">
        <v>4.7359999999999998</v>
      </c>
      <c r="O4464" s="10">
        <v>-2.625</v>
      </c>
      <c r="P4464" s="10">
        <v>3</v>
      </c>
      <c r="Q4464" s="10">
        <v>3</v>
      </c>
      <c r="R4464" s="10">
        <v>3</v>
      </c>
    </row>
    <row r="4465" spans="1:18" ht="17" customHeight="1" x14ac:dyDescent="0.15">
      <c r="A4465" s="11" t="s">
        <v>24114</v>
      </c>
      <c r="B4465" s="1" t="s">
        <v>24115</v>
      </c>
      <c r="C4465" s="11" t="s">
        <v>24116</v>
      </c>
      <c r="D4465" s="11" t="s">
        <v>24116</v>
      </c>
      <c r="E4465" s="11" t="s">
        <v>24117</v>
      </c>
      <c r="F4465" s="11" t="s">
        <v>24033</v>
      </c>
      <c r="G4465" s="11" t="s">
        <v>24118</v>
      </c>
      <c r="H4465" s="11" t="s">
        <v>24119</v>
      </c>
      <c r="I4465" s="11" t="str">
        <f>HYPERLINK("http://borsarte.com/","borsarte.com")</f>
        <v>borsarte.com</v>
      </c>
      <c r="J4465" s="12">
        <v>116.834</v>
      </c>
      <c r="K4465" s="12">
        <v>116.834</v>
      </c>
      <c r="L4465" s="13">
        <v>141.05000000000001</v>
      </c>
      <c r="M4465" s="12">
        <v>-16.422999999999998</v>
      </c>
      <c r="N4465" s="12">
        <v>-16.422999999999998</v>
      </c>
      <c r="O4465" s="12">
        <v>0.78300000000000003</v>
      </c>
      <c r="P4465" s="12">
        <v>1</v>
      </c>
      <c r="Q4465" s="12">
        <v>1</v>
      </c>
      <c r="R4465" s="12">
        <v>1</v>
      </c>
    </row>
    <row r="4466" spans="1:18" ht="17" customHeight="1" x14ac:dyDescent="0.15">
      <c r="A4466" s="8" t="s">
        <v>24120</v>
      </c>
      <c r="B4466" s="9" t="s">
        <v>24121</v>
      </c>
      <c r="C4466" s="8" t="s">
        <v>24122</v>
      </c>
      <c r="D4466" s="8" t="s">
        <v>24122</v>
      </c>
      <c r="E4466" s="8" t="s">
        <v>24123</v>
      </c>
      <c r="F4466" s="8" t="s">
        <v>24040</v>
      </c>
      <c r="G4466" s="8" t="s">
        <v>24084</v>
      </c>
      <c r="H4466" s="8" t="s">
        <v>24085</v>
      </c>
      <c r="I4466" s="8" t="str">
        <f>HYPERLINK("http://sanandresmilano.com/","sanandresmilano.com")</f>
        <v>sanandresmilano.com</v>
      </c>
      <c r="J4466" s="10">
        <v>211.92</v>
      </c>
      <c r="K4466" s="10">
        <v>211.92</v>
      </c>
      <c r="L4466" s="10">
        <v>140.87799999999999</v>
      </c>
      <c r="M4466" s="10">
        <v>-0.40300000000000002</v>
      </c>
      <c r="N4466" s="10">
        <v>-0.40300000000000002</v>
      </c>
      <c r="O4466" s="10">
        <v>1.0740000000000001</v>
      </c>
      <c r="P4466" s="10">
        <v>1</v>
      </c>
      <c r="Q4466" s="10">
        <v>1</v>
      </c>
      <c r="R4466" s="10">
        <v>0</v>
      </c>
    </row>
    <row r="4467" spans="1:18" ht="68" customHeight="1" x14ac:dyDescent="0.15">
      <c r="A4467" s="11" t="s">
        <v>24124</v>
      </c>
      <c r="B4467" s="1" t="s">
        <v>24125</v>
      </c>
      <c r="C4467" s="11" t="s">
        <v>24126</v>
      </c>
      <c r="D4467" s="11" t="s">
        <v>24126</v>
      </c>
      <c r="E4467" s="11" t="s">
        <v>24127</v>
      </c>
      <c r="F4467" s="11" t="s">
        <v>24099</v>
      </c>
      <c r="G4467" s="11" t="s">
        <v>24112</v>
      </c>
      <c r="H4467" s="11" t="s">
        <v>24113</v>
      </c>
      <c r="I4467" s="11" t="str">
        <f>HYPERLINK("http://www.lidomarinozzi.com/","www.lidomarinozzi.com")</f>
        <v>www.lidomarinozzi.com</v>
      </c>
      <c r="J4467" s="12">
        <v>37.953000000000003</v>
      </c>
      <c r="K4467" s="12">
        <v>37.953000000000003</v>
      </c>
      <c r="L4467" s="13">
        <v>140.834</v>
      </c>
      <c r="M4467" s="12">
        <v>-9.89</v>
      </c>
      <c r="N4467" s="12">
        <v>-9.89</v>
      </c>
      <c r="O4467" s="12">
        <v>-41.262</v>
      </c>
      <c r="P4467" s="12">
        <v>1</v>
      </c>
      <c r="Q4467" s="12">
        <v>1</v>
      </c>
      <c r="R4467" s="12">
        <v>3</v>
      </c>
    </row>
    <row r="4468" spans="1:18" ht="17" customHeight="1" x14ac:dyDescent="0.15">
      <c r="A4468" s="8" t="s">
        <v>24128</v>
      </c>
      <c r="B4468" s="9" t="s">
        <v>24129</v>
      </c>
      <c r="C4468" s="8" t="s">
        <v>24130</v>
      </c>
      <c r="D4468" s="8" t="s">
        <v>24130</v>
      </c>
      <c r="E4468" s="8" t="s">
        <v>24131</v>
      </c>
      <c r="F4468" s="8" t="s">
        <v>24099</v>
      </c>
      <c r="G4468" s="8" t="s">
        <v>24132</v>
      </c>
      <c r="H4468" s="8" t="s">
        <v>24113</v>
      </c>
      <c r="I4468" s="8" t="str">
        <f>HYPERLINK("http://kyarastyle.com/","kyarastyle.com")</f>
        <v>kyarastyle.com</v>
      </c>
      <c r="J4468" s="10">
        <v>104.602</v>
      </c>
      <c r="K4468" s="10">
        <v>104.602</v>
      </c>
      <c r="L4468" s="10">
        <v>140.15700000000001</v>
      </c>
      <c r="M4468" s="10">
        <v>6.9089999999999998</v>
      </c>
      <c r="N4468" s="10">
        <v>6.9089999999999998</v>
      </c>
      <c r="O4468" s="10">
        <v>18.084</v>
      </c>
      <c r="P4468" s="10">
        <v>3</v>
      </c>
      <c r="Q4468" s="10">
        <v>3</v>
      </c>
      <c r="R4468" s="10">
        <v>4</v>
      </c>
    </row>
    <row r="4469" spans="1:18" ht="17" customHeight="1" x14ac:dyDescent="0.15">
      <c r="A4469" s="11" t="s">
        <v>24133</v>
      </c>
      <c r="B4469" s="1" t="s">
        <v>24134</v>
      </c>
      <c r="C4469" s="11" t="s">
        <v>24135</v>
      </c>
      <c r="D4469" s="11" t="s">
        <v>24135</v>
      </c>
      <c r="E4469" s="11" t="s">
        <v>24136</v>
      </c>
      <c r="F4469" s="11" t="s">
        <v>24020</v>
      </c>
      <c r="G4469" s="11" t="s">
        <v>24054</v>
      </c>
      <c r="H4469" s="11" t="s">
        <v>24055</v>
      </c>
      <c r="I4469" s="11" t="str">
        <f>HYPERLINK("http://www.maglificiosimona.com/","www.maglificiosimona.com")</f>
        <v>www.maglificiosimona.com</v>
      </c>
      <c r="J4469" s="12">
        <v>185.465</v>
      </c>
      <c r="K4469" s="12">
        <v>185.465</v>
      </c>
      <c r="L4469" s="13">
        <v>139.786</v>
      </c>
      <c r="M4469" s="12">
        <v>9.2240000000000002</v>
      </c>
      <c r="N4469" s="12">
        <v>9.2240000000000002</v>
      </c>
      <c r="O4469" s="12">
        <v>4.3179999999999996</v>
      </c>
      <c r="P4469" s="14" t="s">
        <v>24086</v>
      </c>
      <c r="Q4469" s="14" t="s">
        <v>24086</v>
      </c>
      <c r="R4469" s="12">
        <v>2</v>
      </c>
    </row>
    <row r="4470" spans="1:18" ht="17" customHeight="1" x14ac:dyDescent="0.15">
      <c r="A4470" s="8" t="s">
        <v>24137</v>
      </c>
      <c r="B4470" s="9" t="s">
        <v>24138</v>
      </c>
      <c r="C4470" s="8" t="s">
        <v>24139</v>
      </c>
      <c r="D4470" s="8" t="s">
        <v>24139</v>
      </c>
      <c r="E4470" s="8" t="s">
        <v>24140</v>
      </c>
      <c r="F4470" s="8" t="s">
        <v>24040</v>
      </c>
      <c r="G4470" s="8" t="s">
        <v>24034</v>
      </c>
      <c r="H4470" s="8" t="s">
        <v>24035</v>
      </c>
      <c r="I4470" s="8" t="str">
        <f>HYPERLINK("http://www.imperodeglisposi.it/","www.imperodeglisposi.it")</f>
        <v>www.imperodeglisposi.it</v>
      </c>
      <c r="J4470" s="10">
        <v>176.93700000000001</v>
      </c>
      <c r="K4470" s="10">
        <v>176.93700000000001</v>
      </c>
      <c r="L4470" s="10">
        <v>139.75700000000001</v>
      </c>
      <c r="M4470" s="10">
        <v>1.5589999999999999</v>
      </c>
      <c r="N4470" s="10">
        <v>1.5589999999999999</v>
      </c>
      <c r="O4470" s="10">
        <v>41.613999999999997</v>
      </c>
      <c r="P4470" s="15" t="s">
        <v>24086</v>
      </c>
      <c r="Q4470" s="15" t="s">
        <v>24086</v>
      </c>
      <c r="R4470" s="10">
        <v>2</v>
      </c>
    </row>
    <row r="4471" spans="1:18" ht="29.5" customHeight="1" x14ac:dyDescent="0.15">
      <c r="A4471" s="11" t="s">
        <v>24141</v>
      </c>
      <c r="B4471" s="1" t="s">
        <v>24142</v>
      </c>
      <c r="C4471" s="11" t="s">
        <v>24143</v>
      </c>
      <c r="D4471" s="11" t="s">
        <v>24143</v>
      </c>
      <c r="E4471" s="11" t="s">
        <v>24144</v>
      </c>
      <c r="F4471" s="11" t="s">
        <v>24033</v>
      </c>
      <c r="G4471" s="11" t="s">
        <v>24027</v>
      </c>
      <c r="H4471" s="11" t="s">
        <v>24028</v>
      </c>
      <c r="I4471" s="11" t="str">
        <f>HYPERLINK("http://www.carminetisci.it/","www.carminetisci.it")</f>
        <v>www.carminetisci.it</v>
      </c>
      <c r="J4471" s="12">
        <v>179.96600000000001</v>
      </c>
      <c r="K4471" s="12">
        <v>179.96600000000001</v>
      </c>
      <c r="L4471" s="13">
        <v>139.619</v>
      </c>
      <c r="M4471" s="12">
        <v>24.943999999999999</v>
      </c>
      <c r="N4471" s="12">
        <v>24.943999999999999</v>
      </c>
      <c r="O4471" s="12">
        <v>37.892000000000003</v>
      </c>
      <c r="P4471" s="12">
        <v>2</v>
      </c>
      <c r="Q4471" s="12">
        <v>2</v>
      </c>
      <c r="R4471" s="12">
        <v>1</v>
      </c>
    </row>
    <row r="4472" spans="1:18" ht="17" customHeight="1" x14ac:dyDescent="0.15">
      <c r="A4472" s="8" t="s">
        <v>24145</v>
      </c>
      <c r="B4472" s="9" t="s">
        <v>24146</v>
      </c>
      <c r="C4472" s="8" t="s">
        <v>24147</v>
      </c>
      <c r="D4472" s="8" t="s">
        <v>24147</v>
      </c>
      <c r="E4472" s="8" t="s">
        <v>24148</v>
      </c>
      <c r="F4472" s="8" t="s">
        <v>24149</v>
      </c>
      <c r="G4472" s="8" t="s">
        <v>24034</v>
      </c>
      <c r="H4472" s="8" t="s">
        <v>24035</v>
      </c>
      <c r="I4472" s="8" t="str">
        <f>HYPERLINK("http://www.dellasorte.com/","www.dellasorte.com")</f>
        <v>www.dellasorte.com</v>
      </c>
      <c r="J4472" s="10">
        <v>130.261</v>
      </c>
      <c r="K4472" s="10">
        <v>130.261</v>
      </c>
      <c r="L4472" s="10">
        <v>139.22999999999999</v>
      </c>
      <c r="M4472" s="10">
        <v>2.286</v>
      </c>
      <c r="N4472" s="10">
        <v>2.286</v>
      </c>
      <c r="O4472" s="10">
        <v>13.324999999999999</v>
      </c>
      <c r="P4472" s="15" t="s">
        <v>24086</v>
      </c>
      <c r="Q4472" s="15" t="s">
        <v>24086</v>
      </c>
      <c r="R4472" s="10">
        <v>2</v>
      </c>
    </row>
    <row r="4473" spans="1:18" ht="17" customHeight="1" x14ac:dyDescent="0.15">
      <c r="A4473" s="11" t="s">
        <v>24150</v>
      </c>
      <c r="B4473" s="1" t="s">
        <v>24151</v>
      </c>
      <c r="C4473" s="11" t="s">
        <v>24152</v>
      </c>
      <c r="D4473" s="11" t="s">
        <v>24152</v>
      </c>
      <c r="E4473" s="11" t="s">
        <v>24153</v>
      </c>
      <c r="F4473" s="11" t="s">
        <v>24154</v>
      </c>
      <c r="G4473" s="11" t="s">
        <v>24155</v>
      </c>
      <c r="H4473" s="11" t="s">
        <v>24085</v>
      </c>
      <c r="I4473" s="11" t="str">
        <f>HYPERLINK("http://www.effettodanza.it/","www.effettodanza.it")</f>
        <v>www.effettodanza.it</v>
      </c>
      <c r="J4473" s="12">
        <v>188.86500000000001</v>
      </c>
      <c r="K4473" s="12">
        <v>188.86500000000001</v>
      </c>
      <c r="L4473" s="13">
        <v>139.13499999999999</v>
      </c>
      <c r="M4473" s="12">
        <v>-4.335</v>
      </c>
      <c r="N4473" s="12">
        <v>-4.335</v>
      </c>
      <c r="O4473" s="12">
        <v>-17.411000000000001</v>
      </c>
      <c r="P4473" s="12">
        <v>1</v>
      </c>
      <c r="Q4473" s="12">
        <v>1</v>
      </c>
      <c r="R4473" s="12">
        <v>4</v>
      </c>
    </row>
    <row r="4474" spans="1:18" ht="43" customHeight="1" x14ac:dyDescent="0.15">
      <c r="A4474" s="8" t="s">
        <v>24156</v>
      </c>
      <c r="B4474" s="9" t="s">
        <v>24157</v>
      </c>
      <c r="C4474" s="8" t="s">
        <v>24158</v>
      </c>
      <c r="D4474" s="8" t="s">
        <v>24158</v>
      </c>
      <c r="E4474" s="8" t="s">
        <v>24159</v>
      </c>
      <c r="F4474" s="8" t="s">
        <v>24083</v>
      </c>
      <c r="G4474" s="8" t="s">
        <v>24034</v>
      </c>
      <c r="H4474" s="8" t="s">
        <v>24035</v>
      </c>
      <c r="I4474" s="8" t="str">
        <f>HYPERLINK("http://www.misebymonica.it/","www.misebymonica.it")</f>
        <v>www.misebymonica.it</v>
      </c>
      <c r="J4474" s="10">
        <v>87.28</v>
      </c>
      <c r="K4474" s="10">
        <v>87.28</v>
      </c>
      <c r="L4474" s="10">
        <v>138.88</v>
      </c>
      <c r="M4474" s="10">
        <v>-2.306</v>
      </c>
      <c r="N4474" s="10">
        <v>-2.306</v>
      </c>
      <c r="O4474" s="10">
        <v>-0.76400000000000001</v>
      </c>
      <c r="P4474" s="10">
        <v>0</v>
      </c>
      <c r="Q4474" s="10">
        <v>0</v>
      </c>
      <c r="R4474" s="10">
        <v>0</v>
      </c>
    </row>
    <row r="4475" spans="1:18" ht="29.5" customHeight="1" x14ac:dyDescent="0.15">
      <c r="A4475" s="11" t="s">
        <v>24160</v>
      </c>
      <c r="B4475" s="1" t="s">
        <v>24161</v>
      </c>
      <c r="C4475" s="11" t="s">
        <v>24162</v>
      </c>
      <c r="D4475" s="11" t="s">
        <v>24162</v>
      </c>
      <c r="E4475" s="11" t="s">
        <v>24163</v>
      </c>
      <c r="F4475" s="11" t="s">
        <v>24099</v>
      </c>
      <c r="G4475" s="11" t="s">
        <v>24027</v>
      </c>
      <c r="H4475" s="11" t="s">
        <v>24028</v>
      </c>
      <c r="I4475" s="11" t="str">
        <f>HYPERLINK("http://www.ferrante1875.com/","www.ferrante1875.com")</f>
        <v>www.ferrante1875.com</v>
      </c>
      <c r="J4475" s="12">
        <v>249.82900000000001</v>
      </c>
      <c r="K4475" s="12">
        <v>249.82900000000001</v>
      </c>
      <c r="L4475" s="13">
        <v>138.81899999999999</v>
      </c>
      <c r="M4475" s="12">
        <v>21.812999999999999</v>
      </c>
      <c r="N4475" s="12">
        <v>21.812999999999999</v>
      </c>
      <c r="O4475" s="12">
        <v>22.640999999999998</v>
      </c>
      <c r="P4475" s="12">
        <v>0</v>
      </c>
      <c r="Q4475" s="12">
        <v>0</v>
      </c>
      <c r="R4475" s="12">
        <v>0</v>
      </c>
    </row>
    <row r="4476" spans="1:18" ht="17" customHeight="1" x14ac:dyDescent="0.15">
      <c r="A4476" s="8" t="s">
        <v>24164</v>
      </c>
      <c r="B4476" s="9" t="s">
        <v>24165</v>
      </c>
      <c r="C4476" s="8" t="s">
        <v>24166</v>
      </c>
      <c r="D4476" s="8" t="s">
        <v>24166</v>
      </c>
      <c r="E4476" s="8" t="s">
        <v>24167</v>
      </c>
      <c r="F4476" s="8" t="s">
        <v>24099</v>
      </c>
      <c r="G4476" s="8" t="s">
        <v>24112</v>
      </c>
      <c r="H4476" s="8" t="s">
        <v>24113</v>
      </c>
      <c r="I4476" s="8" t="str">
        <f>HYPERLINK("http://www.albertomonti.it/","www.albertomonti.it")</f>
        <v>www.albertomonti.it</v>
      </c>
      <c r="J4476" s="10">
        <v>135.30699999999999</v>
      </c>
      <c r="K4476" s="10">
        <v>135.30699999999999</v>
      </c>
      <c r="L4476" s="10">
        <v>138.64599999999999</v>
      </c>
      <c r="M4476" s="10">
        <v>-2.0419999999999998</v>
      </c>
      <c r="N4476" s="10">
        <v>-2.0419999999999998</v>
      </c>
      <c r="O4476" s="10">
        <v>3.9169999999999998</v>
      </c>
      <c r="P4476" s="10">
        <v>2</v>
      </c>
      <c r="Q4476" s="10">
        <v>2</v>
      </c>
      <c r="R4476" s="10">
        <v>2</v>
      </c>
    </row>
    <row r="4477" spans="1:18" ht="17" customHeight="1" x14ac:dyDescent="0.15">
      <c r="A4477" s="11" t="s">
        <v>24168</v>
      </c>
      <c r="B4477" s="1" t="s">
        <v>24169</v>
      </c>
      <c r="C4477" s="11" t="s">
        <v>24170</v>
      </c>
      <c r="D4477" s="11" t="s">
        <v>24170</v>
      </c>
      <c r="E4477" s="11" t="s">
        <v>24171</v>
      </c>
      <c r="F4477" s="11" t="s">
        <v>24040</v>
      </c>
      <c r="G4477" s="11" t="s">
        <v>24172</v>
      </c>
      <c r="H4477" s="11" t="s">
        <v>24042</v>
      </c>
      <c r="I4477" s="11" t="str">
        <f>HYPERLINK("http://www.rossinicamiceria.it/","www.rossinicamiceria.it")</f>
        <v>www.rossinicamiceria.it</v>
      </c>
      <c r="J4477" s="12">
        <v>169.239</v>
      </c>
      <c r="K4477" s="12">
        <v>169.239</v>
      </c>
      <c r="L4477" s="13">
        <v>138.41499999999999</v>
      </c>
      <c r="M4477" s="12">
        <v>2.1179999999999999</v>
      </c>
      <c r="N4477" s="12">
        <v>2.1179999999999999</v>
      </c>
      <c r="O4477" s="12">
        <v>2.7469999999999999</v>
      </c>
      <c r="P4477" s="12">
        <v>3</v>
      </c>
      <c r="Q4477" s="12">
        <v>3</v>
      </c>
      <c r="R4477" s="12">
        <v>3</v>
      </c>
    </row>
    <row r="4478" spans="1:18" ht="17" customHeight="1" x14ac:dyDescent="0.15">
      <c r="A4478" s="8" t="s">
        <v>24173</v>
      </c>
      <c r="B4478" s="9" t="s">
        <v>24174</v>
      </c>
      <c r="C4478" s="8" t="s">
        <v>24175</v>
      </c>
      <c r="D4478" s="8" t="s">
        <v>24175</v>
      </c>
      <c r="E4478" s="8" t="s">
        <v>24176</v>
      </c>
      <c r="F4478" s="8" t="s">
        <v>24066</v>
      </c>
      <c r="G4478" s="8" t="s">
        <v>24177</v>
      </c>
      <c r="H4478" s="8" t="s">
        <v>24178</v>
      </c>
      <c r="I4478" s="8" t="str">
        <f>HYPERLINK("http://linovaleri.it/","linovaleri.it")</f>
        <v>linovaleri.it</v>
      </c>
      <c r="J4478" s="10">
        <v>150.46700000000001</v>
      </c>
      <c r="K4478" s="10">
        <v>150.46700000000001</v>
      </c>
      <c r="L4478" s="10">
        <v>138.25</v>
      </c>
      <c r="M4478" s="10">
        <v>11.946999999999999</v>
      </c>
      <c r="N4478" s="10">
        <v>11.946999999999999</v>
      </c>
      <c r="O4478" s="10">
        <v>9.3330000000000002</v>
      </c>
      <c r="P4478" s="10">
        <v>2</v>
      </c>
      <c r="Q4478" s="10">
        <v>2</v>
      </c>
      <c r="R4478" s="10">
        <v>2</v>
      </c>
    </row>
    <row r="4479" spans="1:18" ht="17" customHeight="1" x14ac:dyDescent="0.15">
      <c r="A4479" s="11" t="s">
        <v>24179</v>
      </c>
      <c r="B4479" s="1" t="s">
        <v>24180</v>
      </c>
      <c r="C4479" s="11" t="s">
        <v>24181</v>
      </c>
      <c r="D4479" s="11" t="s">
        <v>24181</v>
      </c>
      <c r="E4479" s="11" t="s">
        <v>24182</v>
      </c>
      <c r="F4479" s="11" t="s">
        <v>24066</v>
      </c>
      <c r="G4479" s="11" t="s">
        <v>24048</v>
      </c>
      <c r="H4479" s="11" t="s">
        <v>24049</v>
      </c>
      <c r="I4479" s="11" t="str">
        <f>HYPERLINK("http://www.de-pietri.com/","www.de-pietri.com")</f>
        <v>www.de-pietri.com</v>
      </c>
      <c r="J4479" s="12">
        <v>165.04900000000001</v>
      </c>
      <c r="K4479" s="12">
        <v>165.04900000000001</v>
      </c>
      <c r="L4479" s="13">
        <v>137.96100000000001</v>
      </c>
      <c r="M4479" s="12">
        <v>34.116</v>
      </c>
      <c r="N4479" s="12">
        <v>34.116</v>
      </c>
      <c r="O4479" s="12">
        <v>10.241</v>
      </c>
      <c r="P4479" s="12">
        <v>0</v>
      </c>
      <c r="Q4479" s="12">
        <v>0</v>
      </c>
      <c r="R4479" s="12">
        <v>0</v>
      </c>
    </row>
    <row r="4480" spans="1:18" ht="29.5" customHeight="1" x14ac:dyDescent="0.15">
      <c r="A4480" s="8" t="s">
        <v>24183</v>
      </c>
      <c r="B4480" s="9" t="s">
        <v>24184</v>
      </c>
      <c r="C4480" s="8" t="s">
        <v>24185</v>
      </c>
      <c r="D4480" s="8" t="s">
        <v>24185</v>
      </c>
      <c r="E4480" s="8" t="s">
        <v>24186</v>
      </c>
      <c r="F4480" s="8" t="s">
        <v>24187</v>
      </c>
      <c r="G4480" s="8" t="s">
        <v>24034</v>
      </c>
      <c r="H4480" s="8" t="s">
        <v>24035</v>
      </c>
      <c r="I4480" s="8" t="str">
        <f>HYPERLINK("http://mauriziobazar.com/","mauriziobazar.com")</f>
        <v>mauriziobazar.com</v>
      </c>
      <c r="J4480" s="10">
        <v>243.46899999999999</v>
      </c>
      <c r="K4480" s="10">
        <v>243.46899999999999</v>
      </c>
      <c r="L4480" s="10">
        <v>137.309</v>
      </c>
      <c r="M4480" s="10">
        <v>46.069000000000003</v>
      </c>
      <c r="N4480" s="10">
        <v>46.069000000000003</v>
      </c>
      <c r="O4480" s="10">
        <v>14.016999999999999</v>
      </c>
      <c r="P4480" s="10">
        <v>3</v>
      </c>
      <c r="Q4480" s="10">
        <v>3</v>
      </c>
      <c r="R4480" s="10">
        <v>2</v>
      </c>
    </row>
    <row r="4481" spans="1:18" ht="29.5" customHeight="1" x14ac:dyDescent="0.15">
      <c r="A4481" s="11" t="s">
        <v>24188</v>
      </c>
      <c r="B4481" s="1" t="s">
        <v>24189</v>
      </c>
      <c r="C4481" s="11" t="s">
        <v>24190</v>
      </c>
      <c r="D4481" s="11" t="s">
        <v>24190</v>
      </c>
      <c r="E4481" s="11" t="s">
        <v>24191</v>
      </c>
      <c r="F4481" s="11" t="s">
        <v>24192</v>
      </c>
      <c r="G4481" s="11" t="s">
        <v>24193</v>
      </c>
      <c r="H4481" s="11" t="s">
        <v>24194</v>
      </c>
      <c r="I4481" s="11" t="str">
        <f>HYPERLINK("http://www.inpell.it/","http://www.inpell.it")</f>
        <v>http://www.inpell.it</v>
      </c>
      <c r="J4481" s="12">
        <v>212.239</v>
      </c>
      <c r="K4481" s="12">
        <v>212.239</v>
      </c>
      <c r="L4481" s="13">
        <v>137.321</v>
      </c>
      <c r="M4481" s="12">
        <v>-10.673999999999999</v>
      </c>
      <c r="N4481" s="12">
        <v>-10.673999999999999</v>
      </c>
      <c r="O4481" s="12">
        <v>-300.02</v>
      </c>
      <c r="P4481" s="12">
        <v>2</v>
      </c>
      <c r="Q4481" s="12">
        <v>2</v>
      </c>
      <c r="R4481" s="12">
        <v>2</v>
      </c>
    </row>
    <row r="4482" spans="1:18" ht="29.5" customHeight="1" x14ac:dyDescent="0.15">
      <c r="A4482" s="8" t="s">
        <v>24195</v>
      </c>
      <c r="B4482" s="9" t="s">
        <v>24196</v>
      </c>
      <c r="C4482" s="8" t="s">
        <v>24197</v>
      </c>
      <c r="D4482" s="8" t="s">
        <v>24197</v>
      </c>
      <c r="E4482" s="8" t="s">
        <v>24198</v>
      </c>
      <c r="F4482" s="8" t="s">
        <v>24199</v>
      </c>
      <c r="G4482" s="8" t="s">
        <v>24200</v>
      </c>
      <c r="H4482" s="8" t="s">
        <v>24201</v>
      </c>
      <c r="I4482" s="8" t="str">
        <f>HYPERLINK("http://www.lmtessili.com/","www.lmtessili.com")</f>
        <v>www.lmtessili.com</v>
      </c>
      <c r="J4482" s="10">
        <v>271.02199999999999</v>
      </c>
      <c r="K4482" s="10">
        <v>271.02199999999999</v>
      </c>
      <c r="L4482" s="10">
        <v>137.06800000000001</v>
      </c>
      <c r="M4482" s="10">
        <v>2.5739999999999998</v>
      </c>
      <c r="N4482" s="10">
        <v>2.5739999999999998</v>
      </c>
      <c r="O4482" s="10">
        <v>-9.4749999999999996</v>
      </c>
      <c r="P4482" s="10">
        <v>1</v>
      </c>
      <c r="Q4482" s="10">
        <v>1</v>
      </c>
      <c r="R4482" s="10">
        <v>1</v>
      </c>
    </row>
    <row r="4483" spans="1:18" ht="17" customHeight="1" x14ac:dyDescent="0.15">
      <c r="A4483" s="11" t="s">
        <v>24202</v>
      </c>
      <c r="B4483" s="1" t="s">
        <v>24203</v>
      </c>
      <c r="C4483" s="11" t="s">
        <v>24204</v>
      </c>
      <c r="D4483" s="11" t="s">
        <v>24204</v>
      </c>
      <c r="E4483" s="11" t="s">
        <v>24205</v>
      </c>
      <c r="F4483" s="11" t="s">
        <v>24199</v>
      </c>
      <c r="G4483" s="11" t="s">
        <v>24206</v>
      </c>
      <c r="H4483" s="11" t="s">
        <v>24201</v>
      </c>
      <c r="I4483" s="11" t="str">
        <f>HYPERLINK("http://www.aliceedanza.com/","www.aliceedanza.com")</f>
        <v>www.aliceedanza.com</v>
      </c>
      <c r="J4483" s="12">
        <v>155.27600000000001</v>
      </c>
      <c r="K4483" s="12">
        <v>155.27600000000001</v>
      </c>
      <c r="L4483" s="13">
        <v>136.00700000000001</v>
      </c>
      <c r="M4483" s="12">
        <v>-8.3849999999999998</v>
      </c>
      <c r="N4483" s="12">
        <v>-8.3849999999999998</v>
      </c>
      <c r="O4483" s="12">
        <v>-6.8289999999999997</v>
      </c>
      <c r="P4483" s="12">
        <v>5</v>
      </c>
      <c r="Q4483" s="12">
        <v>5</v>
      </c>
      <c r="R4483" s="12">
        <v>5</v>
      </c>
    </row>
    <row r="4484" spans="1:18" ht="17" customHeight="1" x14ac:dyDescent="0.15">
      <c r="A4484" s="8" t="s">
        <v>24207</v>
      </c>
      <c r="B4484" s="9" t="s">
        <v>24208</v>
      </c>
      <c r="C4484" s="8" t="s">
        <v>24209</v>
      </c>
      <c r="D4484" s="8" t="s">
        <v>24209</v>
      </c>
      <c r="E4484" s="8" t="s">
        <v>24210</v>
      </c>
      <c r="F4484" s="8" t="s">
        <v>24211</v>
      </c>
      <c r="G4484" s="8" t="s">
        <v>24212</v>
      </c>
      <c r="H4484" s="8" t="s">
        <v>24213</v>
      </c>
      <c r="I4484" s="8" t="str">
        <f>HYPERLINK("http://amelialineshoes.com/","amelialineshoes.com")</f>
        <v>amelialineshoes.com</v>
      </c>
      <c r="J4484" s="10">
        <v>49.393000000000001</v>
      </c>
      <c r="K4484" s="10">
        <v>49.393000000000001</v>
      </c>
      <c r="L4484" s="10">
        <v>135.761</v>
      </c>
      <c r="M4484" s="10">
        <v>15.91</v>
      </c>
      <c r="N4484" s="10">
        <v>15.91</v>
      </c>
      <c r="O4484" s="10">
        <v>52.792000000000002</v>
      </c>
      <c r="P4484" s="15" t="s">
        <v>24214</v>
      </c>
      <c r="Q4484" s="15" t="s">
        <v>24214</v>
      </c>
      <c r="R4484" s="10">
        <v>1</v>
      </c>
    </row>
    <row r="4485" spans="1:18" ht="17" customHeight="1" x14ac:dyDescent="0.15">
      <c r="A4485" s="11" t="s">
        <v>24215</v>
      </c>
      <c r="B4485" s="1" t="s">
        <v>24216</v>
      </c>
      <c r="C4485" s="11" t="s">
        <v>24217</v>
      </c>
      <c r="D4485" s="11" t="s">
        <v>24217</v>
      </c>
      <c r="E4485" s="11" t="s">
        <v>24218</v>
      </c>
      <c r="F4485" s="11" t="s">
        <v>24211</v>
      </c>
      <c r="G4485" s="11" t="s">
        <v>24219</v>
      </c>
      <c r="H4485" s="11" t="s">
        <v>24220</v>
      </c>
      <c r="I4485" s="11" t="str">
        <f>HYPERLINK("http://paulsilence.com/","paulsilence.com")</f>
        <v>paulsilence.com</v>
      </c>
      <c r="J4485" s="12">
        <v>154.85400000000001</v>
      </c>
      <c r="K4485" s="12">
        <v>154.85400000000001</v>
      </c>
      <c r="L4485" s="13">
        <v>135.685</v>
      </c>
      <c r="M4485" s="12">
        <v>3.165</v>
      </c>
      <c r="N4485" s="12">
        <v>3.165</v>
      </c>
      <c r="O4485" s="12">
        <v>3.4609999999999999</v>
      </c>
      <c r="P4485" s="12">
        <v>0</v>
      </c>
      <c r="Q4485" s="12">
        <v>0</v>
      </c>
      <c r="R4485" s="12">
        <v>0</v>
      </c>
    </row>
    <row r="4486" spans="1:18" ht="17" customHeight="1" x14ac:dyDescent="0.15">
      <c r="A4486" s="8" t="s">
        <v>24221</v>
      </c>
      <c r="B4486" s="9" t="s">
        <v>24222</v>
      </c>
      <c r="C4486" s="8" t="s">
        <v>24223</v>
      </c>
      <c r="D4486" s="8" t="s">
        <v>24223</v>
      </c>
      <c r="E4486" s="8" t="s">
        <v>24224</v>
      </c>
      <c r="F4486" s="8" t="s">
        <v>24211</v>
      </c>
      <c r="G4486" s="8" t="s">
        <v>24225</v>
      </c>
      <c r="H4486" s="8" t="s">
        <v>24213</v>
      </c>
      <c r="I4486" s="8" t="str">
        <f>HYPERLINK("http://www.amwh.it/","www.amwh.it")</f>
        <v>www.amwh.it</v>
      </c>
      <c r="J4486" s="10">
        <v>676.06100000000004</v>
      </c>
      <c r="K4486" s="10">
        <v>676.06100000000004</v>
      </c>
      <c r="L4486" s="10">
        <v>134.44999999999999</v>
      </c>
      <c r="M4486" s="10">
        <v>15.504</v>
      </c>
      <c r="N4486" s="10">
        <v>15.504</v>
      </c>
      <c r="O4486" s="10">
        <v>-0.61399999999999999</v>
      </c>
      <c r="P4486" s="10">
        <v>0</v>
      </c>
      <c r="Q4486" s="10">
        <v>0</v>
      </c>
      <c r="R4486" s="10">
        <v>0</v>
      </c>
    </row>
    <row r="4487" spans="1:18" ht="17" customHeight="1" x14ac:dyDescent="0.15">
      <c r="A4487" s="11" t="s">
        <v>24226</v>
      </c>
      <c r="B4487" s="1" t="s">
        <v>24227</v>
      </c>
      <c r="C4487" s="11" t="s">
        <v>24228</v>
      </c>
      <c r="D4487" s="11" t="s">
        <v>24228</v>
      </c>
      <c r="E4487" s="11" t="s">
        <v>24229</v>
      </c>
      <c r="F4487" s="11" t="s">
        <v>24230</v>
      </c>
      <c r="G4487" s="11" t="s">
        <v>24193</v>
      </c>
      <c r="H4487" s="11" t="s">
        <v>24194</v>
      </c>
      <c r="I4487" s="11" t="str">
        <f>HYPERLINK("http://www.p-elle.it/","www.p-elle.it")</f>
        <v>www.p-elle.it</v>
      </c>
      <c r="J4487" s="12">
        <v>162.21100000000001</v>
      </c>
      <c r="K4487" s="12">
        <v>162.21100000000001</v>
      </c>
      <c r="L4487" s="13">
        <v>134.489</v>
      </c>
      <c r="M4487" s="12">
        <v>2.1480000000000001</v>
      </c>
      <c r="N4487" s="12">
        <v>2.1480000000000001</v>
      </c>
      <c r="O4487" s="12">
        <v>5.4290000000000003</v>
      </c>
      <c r="P4487" s="12">
        <v>1</v>
      </c>
      <c r="Q4487" s="12">
        <v>1</v>
      </c>
      <c r="R4487" s="12">
        <v>1</v>
      </c>
    </row>
    <row r="4488" spans="1:18" ht="17" customHeight="1" x14ac:dyDescent="0.15">
      <c r="A4488" s="8" t="s">
        <v>24231</v>
      </c>
      <c r="B4488" s="9" t="s">
        <v>24232</v>
      </c>
      <c r="C4488" s="8" t="s">
        <v>24233</v>
      </c>
      <c r="D4488" s="8" t="s">
        <v>24233</v>
      </c>
      <c r="E4488" s="8" t="s">
        <v>24234</v>
      </c>
      <c r="F4488" s="8" t="s">
        <v>24192</v>
      </c>
      <c r="G4488" s="8" t="s">
        <v>24235</v>
      </c>
      <c r="H4488" s="8" t="s">
        <v>24236</v>
      </c>
      <c r="I4488" s="8" t="str">
        <f>HYPERLINK("http://www.sirnipelletteria.it/","www.sirnipelletteria.it")</f>
        <v>www.sirnipelletteria.it</v>
      </c>
      <c r="J4488" s="10">
        <v>152.37700000000001</v>
      </c>
      <c r="K4488" s="10">
        <v>152.37700000000001</v>
      </c>
      <c r="L4488" s="10">
        <v>133.93899999999999</v>
      </c>
      <c r="M4488" s="10">
        <v>-12.959</v>
      </c>
      <c r="N4488" s="10">
        <v>-12.959</v>
      </c>
      <c r="O4488" s="10">
        <v>21.375</v>
      </c>
      <c r="P4488" s="10">
        <v>3</v>
      </c>
      <c r="Q4488" s="10">
        <v>3</v>
      </c>
      <c r="R4488" s="10">
        <v>3</v>
      </c>
    </row>
    <row r="4489" spans="1:18" ht="17" customHeight="1" x14ac:dyDescent="0.15">
      <c r="A4489" s="11" t="s">
        <v>24237</v>
      </c>
      <c r="B4489" s="1" t="s">
        <v>24238</v>
      </c>
      <c r="C4489" s="11" t="s">
        <v>24239</v>
      </c>
      <c r="D4489" s="11" t="s">
        <v>24239</v>
      </c>
      <c r="E4489" s="11" t="s">
        <v>24240</v>
      </c>
      <c r="F4489" s="11" t="s">
        <v>24192</v>
      </c>
      <c r="G4489" s="11" t="s">
        <v>24241</v>
      </c>
      <c r="H4489" s="11" t="s">
        <v>24194</v>
      </c>
      <c r="I4489" s="11" t="str">
        <f>HYPERLINK("http://www.rendriu.it/","www.rendriu.it")</f>
        <v>www.rendriu.it</v>
      </c>
      <c r="J4489" s="12">
        <v>170.19399999999999</v>
      </c>
      <c r="K4489" s="12">
        <v>170.19399999999999</v>
      </c>
      <c r="L4489" s="13">
        <v>133.059</v>
      </c>
      <c r="M4489" s="12">
        <v>11.351000000000001</v>
      </c>
      <c r="N4489" s="12">
        <v>11.351000000000001</v>
      </c>
      <c r="O4489" s="12">
        <v>0.93799999999999994</v>
      </c>
      <c r="P4489" s="12">
        <v>0</v>
      </c>
      <c r="Q4489" s="12">
        <v>0</v>
      </c>
      <c r="R4489" s="12">
        <v>0</v>
      </c>
    </row>
    <row r="4490" spans="1:18" ht="17" customHeight="1" x14ac:dyDescent="0.15">
      <c r="A4490" s="8" t="s">
        <v>24242</v>
      </c>
      <c r="B4490" s="9" t="s">
        <v>24243</v>
      </c>
      <c r="C4490" s="8" t="s">
        <v>24244</v>
      </c>
      <c r="D4490" s="8" t="s">
        <v>24244</v>
      </c>
      <c r="E4490" s="8" t="s">
        <v>24245</v>
      </c>
      <c r="F4490" s="8" t="s">
        <v>24246</v>
      </c>
      <c r="G4490" s="8" t="s">
        <v>24212</v>
      </c>
      <c r="H4490" s="8" t="s">
        <v>24213</v>
      </c>
      <c r="I4490" s="8" t="str">
        <f>HYPERLINK("http://ranierofratelli.com/","ranierofratelli.com")</f>
        <v>ranierofratelli.com</v>
      </c>
      <c r="J4490" s="10">
        <v>53.78</v>
      </c>
      <c r="K4490" s="10">
        <v>113.236</v>
      </c>
      <c r="L4490" s="10">
        <v>132.90199999999999</v>
      </c>
      <c r="M4490" s="10">
        <v>29.733000000000001</v>
      </c>
      <c r="N4490" s="10">
        <v>10.238</v>
      </c>
      <c r="O4490" s="10">
        <v>-16.46</v>
      </c>
      <c r="P4490" s="10">
        <v>1</v>
      </c>
      <c r="Q4490" s="15" t="s">
        <v>24214</v>
      </c>
      <c r="R4490" s="15" t="s">
        <v>24214</v>
      </c>
    </row>
    <row r="4491" spans="1:18" ht="29.5" customHeight="1" x14ac:dyDescent="0.15">
      <c r="A4491" s="11" t="s">
        <v>24247</v>
      </c>
      <c r="B4491" s="1" t="s">
        <v>24248</v>
      </c>
      <c r="C4491" s="11" t="s">
        <v>24249</v>
      </c>
      <c r="D4491" s="11" t="s">
        <v>24249</v>
      </c>
      <c r="E4491" s="11" t="s">
        <v>24250</v>
      </c>
      <c r="F4491" s="11" t="s">
        <v>24251</v>
      </c>
      <c r="G4491" s="11" t="s">
        <v>24252</v>
      </c>
      <c r="H4491" s="11" t="s">
        <v>24253</v>
      </c>
      <c r="I4491" s="11" t="str">
        <f>HYPERLINK("http://www.sartoriapipi.it/","www.sartoriapipi.it")</f>
        <v>www.sartoriapipi.it</v>
      </c>
      <c r="J4491" s="12">
        <v>178.14699999999999</v>
      </c>
      <c r="K4491" s="12">
        <v>178.14699999999999</v>
      </c>
      <c r="L4491" s="13">
        <v>132.69800000000001</v>
      </c>
      <c r="M4491" s="12">
        <v>-13.98</v>
      </c>
      <c r="N4491" s="12">
        <v>-13.98</v>
      </c>
      <c r="O4491" s="12">
        <v>23.779</v>
      </c>
      <c r="P4491" s="14" t="s">
        <v>24214</v>
      </c>
      <c r="Q4491" s="14" t="s">
        <v>24214</v>
      </c>
      <c r="R4491" s="12">
        <v>4</v>
      </c>
    </row>
    <row r="4492" spans="1:18" ht="17" customHeight="1" x14ac:dyDescent="0.15">
      <c r="A4492" s="8" t="s">
        <v>24254</v>
      </c>
      <c r="B4492" s="9" t="s">
        <v>24255</v>
      </c>
      <c r="C4492" s="8" t="s">
        <v>24256</v>
      </c>
      <c r="D4492" s="8" t="s">
        <v>24256</v>
      </c>
      <c r="E4492" s="8" t="s">
        <v>24257</v>
      </c>
      <c r="F4492" s="8" t="s">
        <v>24230</v>
      </c>
      <c r="G4492" s="8" t="s">
        <v>24258</v>
      </c>
      <c r="H4492" s="8" t="s">
        <v>24213</v>
      </c>
      <c r="I4492" s="8" t="str">
        <f>HYPERLINK("http://www.annati.it/","www.annati.it")</f>
        <v>www.annati.it</v>
      </c>
      <c r="J4492" s="10">
        <v>159.12</v>
      </c>
      <c r="K4492" s="10">
        <v>159.12</v>
      </c>
      <c r="L4492" s="10">
        <v>131.964</v>
      </c>
      <c r="M4492" s="10">
        <v>32.692</v>
      </c>
      <c r="N4492" s="10">
        <v>32.692</v>
      </c>
      <c r="O4492" s="10">
        <v>21.414999999999999</v>
      </c>
      <c r="P4492" s="10">
        <v>5</v>
      </c>
      <c r="Q4492" s="10">
        <v>5</v>
      </c>
      <c r="R4492" s="10">
        <v>4</v>
      </c>
    </row>
    <row r="4493" spans="1:18" ht="17" customHeight="1" x14ac:dyDescent="0.15">
      <c r="A4493" s="11" t="s">
        <v>24259</v>
      </c>
      <c r="B4493" s="1" t="s">
        <v>24260</v>
      </c>
      <c r="C4493" s="11" t="s">
        <v>24261</v>
      </c>
      <c r="D4493" s="11" t="s">
        <v>24261</v>
      </c>
      <c r="E4493" s="11" t="s">
        <v>24262</v>
      </c>
      <c r="F4493" s="11" t="s">
        <v>24263</v>
      </c>
      <c r="G4493" s="11" t="s">
        <v>24264</v>
      </c>
      <c r="H4493" s="11" t="s">
        <v>24201</v>
      </c>
      <c r="I4493" s="11" t="str">
        <f>HYPERLINK("http://www.nazarenogabrielli.com/","www.nazarenogabrielli.com")</f>
        <v>www.nazarenogabrielli.com</v>
      </c>
      <c r="J4493" s="12">
        <v>313.96499999999997</v>
      </c>
      <c r="K4493" s="12">
        <v>313.96499999999997</v>
      </c>
      <c r="L4493" s="13">
        <v>131.77099999999999</v>
      </c>
      <c r="M4493" s="12">
        <v>9.1859999999999999</v>
      </c>
      <c r="N4493" s="12">
        <v>9.1859999999999999</v>
      </c>
      <c r="O4493" s="12">
        <v>2.4319999999999999</v>
      </c>
      <c r="P4493" s="12">
        <v>0</v>
      </c>
      <c r="Q4493" s="12">
        <v>0</v>
      </c>
      <c r="R4493" s="12">
        <v>1</v>
      </c>
    </row>
    <row r="4494" spans="1:18" ht="29.5" customHeight="1" x14ac:dyDescent="0.15">
      <c r="A4494" s="8" t="s">
        <v>24265</v>
      </c>
      <c r="B4494" s="9" t="s">
        <v>24266</v>
      </c>
      <c r="C4494" s="8" t="s">
        <v>24267</v>
      </c>
      <c r="D4494" s="8" t="s">
        <v>24267</v>
      </c>
      <c r="E4494" s="8" t="s">
        <v>24268</v>
      </c>
      <c r="F4494" s="8" t="s">
        <v>24199</v>
      </c>
      <c r="G4494" s="8" t="s">
        <v>24241</v>
      </c>
      <c r="H4494" s="8" t="s">
        <v>24194</v>
      </c>
      <c r="I4494" s="8" t="str">
        <f>HYPERLINK("http://www.theoutlierman.com/","www.theoutlierman.com")</f>
        <v>www.theoutlierman.com</v>
      </c>
      <c r="J4494" s="10">
        <v>136.84100000000001</v>
      </c>
      <c r="K4494" s="10">
        <v>136.84100000000001</v>
      </c>
      <c r="L4494" s="10">
        <v>131.78200000000001</v>
      </c>
      <c r="M4494" s="10">
        <v>2.238</v>
      </c>
      <c r="N4494" s="10">
        <v>2.238</v>
      </c>
      <c r="O4494" s="10">
        <v>-10.215999999999999</v>
      </c>
      <c r="P4494" s="10">
        <v>0</v>
      </c>
      <c r="Q4494" s="10">
        <v>0</v>
      </c>
      <c r="R4494" s="10">
        <v>0</v>
      </c>
    </row>
    <row r="4495" spans="1:18" ht="17" customHeight="1" x14ac:dyDescent="0.15">
      <c r="A4495" s="11" t="s">
        <v>24269</v>
      </c>
      <c r="B4495" s="1" t="s">
        <v>24270</v>
      </c>
      <c r="C4495" s="11" t="s">
        <v>24271</v>
      </c>
      <c r="D4495" s="11" t="s">
        <v>24271</v>
      </c>
      <c r="E4495" s="11" t="s">
        <v>24272</v>
      </c>
      <c r="F4495" s="11" t="s">
        <v>24273</v>
      </c>
      <c r="G4495" s="11" t="s">
        <v>24274</v>
      </c>
      <c r="H4495" s="11" t="s">
        <v>24194</v>
      </c>
      <c r="I4495" s="11" t="str">
        <f>HYPERLINK("http://shop.acquachiaramodena.com/","shop.acquachiaramodena.com")</f>
        <v>shop.acquachiaramodena.com</v>
      </c>
      <c r="J4495" s="12">
        <v>134.59200000000001</v>
      </c>
      <c r="K4495" s="12">
        <v>134.59200000000001</v>
      </c>
      <c r="L4495" s="13">
        <v>131.25899999999999</v>
      </c>
      <c r="M4495" s="12">
        <v>8.5079999999999991</v>
      </c>
      <c r="N4495" s="12">
        <v>8.5079999999999991</v>
      </c>
      <c r="O4495" s="12">
        <v>6.9189999999999996</v>
      </c>
      <c r="P4495" s="12">
        <v>1</v>
      </c>
      <c r="Q4495" s="12">
        <v>1</v>
      </c>
      <c r="R4495" s="12">
        <v>1</v>
      </c>
    </row>
    <row r="4496" spans="1:18" ht="17" customHeight="1" x14ac:dyDescent="0.15">
      <c r="A4496" s="8" t="s">
        <v>24275</v>
      </c>
      <c r="B4496" s="9" t="s">
        <v>24276</v>
      </c>
      <c r="C4496" s="8" t="s">
        <v>24277</v>
      </c>
      <c r="D4496" s="8" t="s">
        <v>24277</v>
      </c>
      <c r="E4496" s="8" t="s">
        <v>24278</v>
      </c>
      <c r="F4496" s="8" t="s">
        <v>24199</v>
      </c>
      <c r="G4496" s="8" t="s">
        <v>24241</v>
      </c>
      <c r="H4496" s="8" t="s">
        <v>24194</v>
      </c>
      <c r="I4496" s="8" t="str">
        <f>HYPERLINK("http://www.smartishop.it/","www.smartishop.it")</f>
        <v>www.smartishop.it</v>
      </c>
      <c r="J4496" s="10">
        <v>119.82299999999999</v>
      </c>
      <c r="K4496" s="10">
        <v>119.82299999999999</v>
      </c>
      <c r="L4496" s="10">
        <v>131.245</v>
      </c>
      <c r="M4496" s="10">
        <v>1.6930000000000001</v>
      </c>
      <c r="N4496" s="10">
        <v>1.6930000000000001</v>
      </c>
      <c r="O4496" s="10">
        <v>37.332000000000001</v>
      </c>
      <c r="P4496" s="10">
        <v>3</v>
      </c>
      <c r="Q4496" s="10">
        <v>3</v>
      </c>
      <c r="R4496" s="10">
        <v>2</v>
      </c>
    </row>
    <row r="4497" spans="1:18" ht="17" customHeight="1" x14ac:dyDescent="0.15">
      <c r="A4497" s="11" t="s">
        <v>24279</v>
      </c>
      <c r="B4497" s="1" t="s">
        <v>24280</v>
      </c>
      <c r="C4497" s="11" t="s">
        <v>24281</v>
      </c>
      <c r="D4497" s="11" t="s">
        <v>24281</v>
      </c>
      <c r="E4497" s="11" t="s">
        <v>24282</v>
      </c>
      <c r="F4497" s="11" t="s">
        <v>24199</v>
      </c>
      <c r="G4497" s="11" t="s">
        <v>24283</v>
      </c>
      <c r="H4497" s="11" t="s">
        <v>24220</v>
      </c>
      <c r="I4497" s="11" t="str">
        <f>HYPERLINK("http://www.yosono.it/","www.yosono.it")</f>
        <v>www.yosono.it</v>
      </c>
      <c r="J4497" s="12">
        <v>226.01900000000001</v>
      </c>
      <c r="K4497" s="12">
        <v>226.01900000000001</v>
      </c>
      <c r="L4497" s="13">
        <v>130.69</v>
      </c>
      <c r="M4497" s="12">
        <v>-489.166</v>
      </c>
      <c r="N4497" s="12">
        <v>-489.166</v>
      </c>
      <c r="O4497" s="12">
        <v>-403.32499999999999</v>
      </c>
      <c r="P4497" s="14" t="s">
        <v>24214</v>
      </c>
      <c r="Q4497" s="14" t="s">
        <v>24214</v>
      </c>
      <c r="R4497" s="12">
        <v>1</v>
      </c>
    </row>
    <row r="4498" spans="1:18" ht="29.5" customHeight="1" x14ac:dyDescent="0.15">
      <c r="A4498" s="8" t="s">
        <v>24284</v>
      </c>
      <c r="B4498" s="9" t="s">
        <v>24285</v>
      </c>
      <c r="C4498" s="8" t="s">
        <v>24286</v>
      </c>
      <c r="D4498" s="8" t="s">
        <v>24286</v>
      </c>
      <c r="E4498" s="8" t="s">
        <v>24287</v>
      </c>
      <c r="F4498" s="8" t="s">
        <v>24251</v>
      </c>
      <c r="G4498" s="8" t="s">
        <v>24235</v>
      </c>
      <c r="H4498" s="8" t="s">
        <v>24236</v>
      </c>
      <c r="I4498" s="8" t="str">
        <f>HYPERLINK("http://www.sartoriascavo.it/","www.sartoriascavo.it")</f>
        <v>www.sartoriascavo.it</v>
      </c>
      <c r="J4498" s="10">
        <v>153.95099999999999</v>
      </c>
      <c r="K4498" s="10">
        <v>153.95099999999999</v>
      </c>
      <c r="L4498" s="10">
        <v>129.869</v>
      </c>
      <c r="M4498" s="10">
        <v>-12.91</v>
      </c>
      <c r="N4498" s="10">
        <v>-12.91</v>
      </c>
      <c r="O4498" s="10">
        <v>-2.5070000000000001</v>
      </c>
      <c r="P4498" s="10">
        <v>3</v>
      </c>
      <c r="Q4498" s="10">
        <v>3</v>
      </c>
      <c r="R4498" s="10">
        <v>3</v>
      </c>
    </row>
    <row r="4499" spans="1:18" ht="17" customHeight="1" x14ac:dyDescent="0.15">
      <c r="A4499" s="11" t="s">
        <v>24288</v>
      </c>
      <c r="B4499" s="1" t="s">
        <v>24289</v>
      </c>
      <c r="C4499" s="11" t="s">
        <v>24290</v>
      </c>
      <c r="D4499" s="11" t="s">
        <v>24290</v>
      </c>
      <c r="E4499" s="11" t="s">
        <v>24291</v>
      </c>
      <c r="F4499" s="11" t="s">
        <v>24263</v>
      </c>
      <c r="G4499" s="11" t="s">
        <v>24283</v>
      </c>
      <c r="H4499" s="11" t="s">
        <v>24220</v>
      </c>
      <c r="I4499" s="11" t="str">
        <f>HYPERLINK("http://wudawu.com/","wudawu.com")</f>
        <v>wudawu.com</v>
      </c>
      <c r="J4499" s="12">
        <v>499.90800000000002</v>
      </c>
      <c r="K4499" s="12">
        <v>499.90800000000002</v>
      </c>
      <c r="L4499" s="13">
        <v>129.571</v>
      </c>
      <c r="M4499" s="12">
        <v>38.406999999999996</v>
      </c>
      <c r="N4499" s="12">
        <v>38.406999999999996</v>
      </c>
      <c r="O4499" s="12">
        <v>12.349</v>
      </c>
      <c r="P4499" s="12">
        <v>4</v>
      </c>
      <c r="Q4499" s="12">
        <v>4</v>
      </c>
      <c r="R4499" s="12">
        <v>2</v>
      </c>
    </row>
    <row r="4500" spans="1:18" ht="17" customHeight="1" x14ac:dyDescent="0.15">
      <c r="A4500" s="8" t="s">
        <v>24292</v>
      </c>
      <c r="B4500" s="9" t="s">
        <v>24293</v>
      </c>
      <c r="C4500" s="8" t="s">
        <v>24294</v>
      </c>
      <c r="D4500" s="8" t="s">
        <v>24294</v>
      </c>
      <c r="E4500" s="8" t="s">
        <v>24295</v>
      </c>
      <c r="F4500" s="8" t="s">
        <v>24246</v>
      </c>
      <c r="G4500" s="8" t="s">
        <v>24212</v>
      </c>
      <c r="H4500" s="8" t="s">
        <v>24213</v>
      </c>
      <c r="I4500" s="8" t="str">
        <f>HYPERLINK("http://www.celesteleather.com/","www.celesteleather.com")</f>
        <v>www.celesteleather.com</v>
      </c>
      <c r="J4500" s="10">
        <v>138.77000000000001</v>
      </c>
      <c r="K4500" s="10">
        <v>138.77000000000001</v>
      </c>
      <c r="L4500" s="10">
        <v>129.58000000000001</v>
      </c>
      <c r="M4500" s="10">
        <v>7.5330000000000004</v>
      </c>
      <c r="N4500" s="10">
        <v>7.5330000000000004</v>
      </c>
      <c r="O4500" s="10">
        <v>18.506</v>
      </c>
      <c r="P4500" s="10">
        <v>0</v>
      </c>
      <c r="Q4500" s="10">
        <v>0</v>
      </c>
      <c r="R4500" s="10">
        <v>0</v>
      </c>
    </row>
    <row r="4501" spans="1:18" ht="17" customHeight="1" x14ac:dyDescent="0.15">
      <c r="A4501" s="11" t="s">
        <v>24296</v>
      </c>
      <c r="B4501" s="1" t="s">
        <v>24297</v>
      </c>
      <c r="C4501" s="11" t="s">
        <v>24298</v>
      </c>
      <c r="D4501" s="11" t="s">
        <v>24298</v>
      </c>
      <c r="E4501" s="11" t="s">
        <v>24299</v>
      </c>
      <c r="F4501" s="11" t="s">
        <v>24273</v>
      </c>
      <c r="G4501" s="11" t="s">
        <v>24212</v>
      </c>
      <c r="H4501" s="11" t="s">
        <v>24213</v>
      </c>
      <c r="I4501" s="11" t="str">
        <f>HYPERLINK("http://sapopa.com/","sapopa.com")</f>
        <v>sapopa.com</v>
      </c>
      <c r="J4501" s="12">
        <v>1.151</v>
      </c>
      <c r="K4501" s="12">
        <v>1.151</v>
      </c>
      <c r="L4501" s="13">
        <v>126.887</v>
      </c>
      <c r="M4501" s="12">
        <v>-310.51799999999997</v>
      </c>
      <c r="N4501" s="12">
        <v>-310.51799999999997</v>
      </c>
      <c r="O4501" s="12">
        <v>-441.25799999999998</v>
      </c>
      <c r="P4501" s="12">
        <v>1</v>
      </c>
      <c r="Q4501" s="12">
        <v>1</v>
      </c>
      <c r="R4501" s="12">
        <v>1</v>
      </c>
    </row>
    <row r="4502" spans="1:18" ht="17" customHeight="1" x14ac:dyDescent="0.15">
      <c r="A4502" s="8" t="s">
        <v>24300</v>
      </c>
      <c r="B4502" s="9" t="s">
        <v>24301</v>
      </c>
      <c r="C4502" s="8" t="s">
        <v>24302</v>
      </c>
      <c r="D4502" s="8" t="s">
        <v>24302</v>
      </c>
      <c r="E4502" s="8" t="s">
        <v>24303</v>
      </c>
      <c r="F4502" s="8" t="s">
        <v>24251</v>
      </c>
      <c r="G4502" s="8" t="s">
        <v>24225</v>
      </c>
      <c r="H4502" s="8" t="s">
        <v>24213</v>
      </c>
      <c r="I4502" s="8" t="str">
        <f>HYPERLINK("http://en.sartoriaesthes.com/","en.sartoriaesthes.com")</f>
        <v>en.sartoriaesthes.com</v>
      </c>
      <c r="J4502" s="10">
        <v>331.97800000000001</v>
      </c>
      <c r="K4502" s="10">
        <v>331.97800000000001</v>
      </c>
      <c r="L4502" s="10">
        <v>126.16800000000001</v>
      </c>
      <c r="M4502" s="10">
        <v>-41.470999999999997</v>
      </c>
      <c r="N4502" s="10">
        <v>-41.470999999999997</v>
      </c>
      <c r="O4502" s="10">
        <v>-49.960999999999999</v>
      </c>
      <c r="P4502" s="10">
        <v>2</v>
      </c>
      <c r="Q4502" s="10">
        <v>2</v>
      </c>
      <c r="R4502" s="10">
        <v>2</v>
      </c>
    </row>
    <row r="4503" spans="1:18" ht="17" customHeight="1" x14ac:dyDescent="0.15">
      <c r="A4503" s="11" t="s">
        <v>24304</v>
      </c>
      <c r="B4503" s="1" t="s">
        <v>24305</v>
      </c>
      <c r="C4503" s="11" t="s">
        <v>24306</v>
      </c>
      <c r="D4503" s="11" t="s">
        <v>24306</v>
      </c>
      <c r="E4503" s="11" t="s">
        <v>24307</v>
      </c>
      <c r="F4503" s="11" t="s">
        <v>24192</v>
      </c>
      <c r="G4503" s="11" t="s">
        <v>24308</v>
      </c>
      <c r="H4503" s="11" t="s">
        <v>24309</v>
      </c>
      <c r="I4503" s="11" t="str">
        <f>HYPERLINK("http://www.adpromotionsrl.com/","www.adpromotionsrl.com")</f>
        <v>www.adpromotionsrl.com</v>
      </c>
      <c r="J4503" s="12">
        <v>100.363</v>
      </c>
      <c r="K4503" s="12">
        <v>100.363</v>
      </c>
      <c r="L4503" s="13">
        <v>126.214</v>
      </c>
      <c r="M4503" s="12">
        <v>6.72</v>
      </c>
      <c r="N4503" s="12">
        <v>6.72</v>
      </c>
      <c r="O4503" s="12">
        <v>16.625</v>
      </c>
      <c r="P4503" s="14" t="s">
        <v>24214</v>
      </c>
      <c r="Q4503" s="14" t="s">
        <v>24214</v>
      </c>
      <c r="R4503" s="12">
        <v>2</v>
      </c>
    </row>
    <row r="4504" spans="1:18" ht="17" customHeight="1" x14ac:dyDescent="0.15">
      <c r="A4504" s="8" t="s">
        <v>24310</v>
      </c>
      <c r="B4504" s="9" t="s">
        <v>24311</v>
      </c>
      <c r="C4504" s="8" t="s">
        <v>24312</v>
      </c>
      <c r="D4504" s="8" t="s">
        <v>24312</v>
      </c>
      <c r="E4504" s="8" t="s">
        <v>24313</v>
      </c>
      <c r="F4504" s="8" t="s">
        <v>24314</v>
      </c>
      <c r="G4504" s="8" t="s">
        <v>24315</v>
      </c>
      <c r="H4504" s="8" t="s">
        <v>24316</v>
      </c>
      <c r="I4504" s="8" t="str">
        <f>HYPERLINK("http://www.camiciprimavera.com/","www.camiciprimavera.com")</f>
        <v>www.camiciprimavera.com</v>
      </c>
      <c r="J4504" s="10">
        <v>160.91399999999999</v>
      </c>
      <c r="K4504" s="10">
        <v>160.91399999999999</v>
      </c>
      <c r="L4504" s="10">
        <v>126.03100000000001</v>
      </c>
      <c r="M4504" s="10">
        <v>-2.9180000000000001</v>
      </c>
      <c r="N4504" s="10">
        <v>-2.9180000000000001</v>
      </c>
      <c r="O4504" s="10">
        <v>3.9209999999999998</v>
      </c>
      <c r="P4504" s="10">
        <v>8</v>
      </c>
      <c r="Q4504" s="10">
        <v>8</v>
      </c>
      <c r="R4504" s="10">
        <v>9</v>
      </c>
    </row>
    <row r="4505" spans="1:18" ht="17" customHeight="1" x14ac:dyDescent="0.15">
      <c r="A4505" s="11" t="s">
        <v>24317</v>
      </c>
      <c r="B4505" s="1" t="s">
        <v>24318</v>
      </c>
      <c r="C4505" s="11" t="s">
        <v>24319</v>
      </c>
      <c r="D4505" s="11" t="s">
        <v>24319</v>
      </c>
      <c r="E4505" s="11" t="s">
        <v>24320</v>
      </c>
      <c r="F4505" s="11" t="s">
        <v>24263</v>
      </c>
      <c r="G4505" s="11" t="s">
        <v>24321</v>
      </c>
      <c r="H4505" s="11" t="s">
        <v>24316</v>
      </c>
      <c r="I4505" s="11" t="str">
        <f>HYPERLINK("http://www.coppolacerimonia.com/","www.coppolacerimonia.com")</f>
        <v>www.coppolacerimonia.com</v>
      </c>
      <c r="J4505" s="12">
        <v>208.35300000000001</v>
      </c>
      <c r="K4505" s="12">
        <v>208.35300000000001</v>
      </c>
      <c r="L4505" s="13">
        <v>125.742</v>
      </c>
      <c r="M4505" s="12">
        <v>6.8339999999999996</v>
      </c>
      <c r="N4505" s="12">
        <v>6.8339999999999996</v>
      </c>
      <c r="O4505" s="12">
        <v>6.3940000000000001</v>
      </c>
      <c r="P4505" s="12">
        <v>1</v>
      </c>
      <c r="Q4505" s="12">
        <v>1</v>
      </c>
      <c r="R4505" s="12">
        <v>0</v>
      </c>
    </row>
    <row r="4506" spans="1:18" ht="43" customHeight="1" x14ac:dyDescent="0.15">
      <c r="A4506" s="8" t="s">
        <v>24322</v>
      </c>
      <c r="B4506" s="9" t="s">
        <v>24323</v>
      </c>
      <c r="C4506" s="8" t="s">
        <v>24324</v>
      </c>
      <c r="D4506" s="8" t="s">
        <v>24324</v>
      </c>
      <c r="E4506" s="8" t="s">
        <v>24325</v>
      </c>
      <c r="F4506" s="8" t="s">
        <v>24263</v>
      </c>
      <c r="G4506" s="8" t="s">
        <v>24326</v>
      </c>
      <c r="H4506" s="8" t="s">
        <v>24327</v>
      </c>
      <c r="I4506" s="8" t="str">
        <f>HYPERLINK("http://stireriaindustrialemegaro.it/","stireriaindustrialemegaro.it")</f>
        <v>stireriaindustrialemegaro.it</v>
      </c>
      <c r="J4506" s="10">
        <v>157.78299999999999</v>
      </c>
      <c r="K4506" s="10">
        <v>157.78299999999999</v>
      </c>
      <c r="L4506" s="10">
        <v>125.70399999999999</v>
      </c>
      <c r="M4506" s="10">
        <v>2.0219999999999998</v>
      </c>
      <c r="N4506" s="10">
        <v>2.0219999999999998</v>
      </c>
      <c r="O4506" s="10">
        <v>2.9849999999999999</v>
      </c>
      <c r="P4506" s="10">
        <v>6</v>
      </c>
      <c r="Q4506" s="10">
        <v>6</v>
      </c>
      <c r="R4506" s="10">
        <v>6</v>
      </c>
    </row>
    <row r="4507" spans="1:18" ht="17" customHeight="1" x14ac:dyDescent="0.15">
      <c r="A4507" s="11" t="s">
        <v>24328</v>
      </c>
      <c r="B4507" s="1" t="s">
        <v>24329</v>
      </c>
      <c r="C4507" s="11" t="s">
        <v>24330</v>
      </c>
      <c r="D4507" s="11" t="s">
        <v>24331</v>
      </c>
      <c r="E4507" s="11" t="s">
        <v>24332</v>
      </c>
      <c r="F4507" s="11" t="s">
        <v>24263</v>
      </c>
      <c r="G4507" s="11" t="s">
        <v>24333</v>
      </c>
      <c r="H4507" s="11" t="s">
        <v>24327</v>
      </c>
      <c r="I4507" s="11" t="str">
        <f>HYPERLINK("http://medysport.it/","medysport.it")</f>
        <v>medysport.it</v>
      </c>
      <c r="J4507" s="12">
        <v>127.434</v>
      </c>
      <c r="K4507" s="12">
        <v>127.434</v>
      </c>
      <c r="L4507" s="13">
        <v>125.563</v>
      </c>
      <c r="M4507" s="12">
        <v>2.8849999999999998</v>
      </c>
      <c r="N4507" s="12">
        <v>2.8849999999999998</v>
      </c>
      <c r="O4507" s="12">
        <v>0.215</v>
      </c>
      <c r="P4507" s="14" t="s">
        <v>24214</v>
      </c>
      <c r="Q4507" s="14" t="s">
        <v>24214</v>
      </c>
      <c r="R4507" s="12">
        <v>2</v>
      </c>
    </row>
    <row r="4508" spans="1:18" ht="43" customHeight="1" x14ac:dyDescent="0.15">
      <c r="A4508" s="8" t="s">
        <v>24334</v>
      </c>
      <c r="B4508" s="9" t="s">
        <v>24335</v>
      </c>
      <c r="C4508" s="8" t="s">
        <v>24336</v>
      </c>
      <c r="D4508" s="8" t="s">
        <v>24336</v>
      </c>
      <c r="E4508" s="8" t="s">
        <v>24337</v>
      </c>
      <c r="F4508" s="8" t="s">
        <v>24199</v>
      </c>
      <c r="G4508" s="8" t="s">
        <v>24338</v>
      </c>
      <c r="H4508" s="8" t="s">
        <v>24327</v>
      </c>
      <c r="I4508" s="8" t="str">
        <f>HYPERLINK("http://www.dambrosiocouture.it/","www.dambrosiocouture.it")</f>
        <v>www.dambrosiocouture.it</v>
      </c>
      <c r="J4508" s="10">
        <v>219.61699999999999</v>
      </c>
      <c r="K4508" s="10">
        <v>219.61699999999999</v>
      </c>
      <c r="L4508" s="10">
        <v>125.19799999999999</v>
      </c>
      <c r="M4508" s="10">
        <v>5.2910000000000004</v>
      </c>
      <c r="N4508" s="10">
        <v>5.2910000000000004</v>
      </c>
      <c r="O4508" s="10">
        <v>2.8879999999999999</v>
      </c>
      <c r="P4508" s="15" t="s">
        <v>24214</v>
      </c>
      <c r="Q4508" s="15" t="s">
        <v>24214</v>
      </c>
      <c r="R4508" s="10">
        <v>4</v>
      </c>
    </row>
    <row r="4509" spans="1:18" ht="17" customHeight="1" x14ac:dyDescent="0.15">
      <c r="A4509" s="11" t="s">
        <v>24339</v>
      </c>
      <c r="B4509" s="1" t="s">
        <v>24340</v>
      </c>
      <c r="C4509" s="11" t="s">
        <v>24341</v>
      </c>
      <c r="D4509" s="11" t="s">
        <v>24341</v>
      </c>
      <c r="E4509" s="11" t="s">
        <v>24342</v>
      </c>
      <c r="F4509" s="11" t="s">
        <v>24343</v>
      </c>
      <c r="G4509" s="11" t="s">
        <v>24344</v>
      </c>
      <c r="H4509" s="11" t="s">
        <v>24201</v>
      </c>
      <c r="I4509" s="11" t="str">
        <f>HYPERLINK("http://www.newlivecalze.com/","www.newlivecalze.com")</f>
        <v>www.newlivecalze.com</v>
      </c>
      <c r="J4509" s="12">
        <v>99.825000000000003</v>
      </c>
      <c r="K4509" s="12">
        <v>99.825000000000003</v>
      </c>
      <c r="L4509" s="13">
        <v>125.196</v>
      </c>
      <c r="M4509" s="12">
        <v>-1.7649999999999999</v>
      </c>
      <c r="N4509" s="12">
        <v>-1.7649999999999999</v>
      </c>
      <c r="O4509" s="12">
        <v>14.685</v>
      </c>
      <c r="P4509" s="12">
        <v>0</v>
      </c>
      <c r="Q4509" s="12">
        <v>0</v>
      </c>
      <c r="R4509" s="12">
        <v>0</v>
      </c>
    </row>
    <row r="4510" spans="1:18" ht="29.5" customHeight="1" x14ac:dyDescent="0.15">
      <c r="A4510" s="8" t="s">
        <v>24345</v>
      </c>
      <c r="B4510" s="9" t="s">
        <v>24346</v>
      </c>
      <c r="C4510" s="8" t="s">
        <v>24347</v>
      </c>
      <c r="D4510" s="8" t="s">
        <v>24347</v>
      </c>
      <c r="E4510" s="8" t="s">
        <v>24348</v>
      </c>
      <c r="F4510" s="8" t="s">
        <v>24246</v>
      </c>
      <c r="G4510" s="8" t="s">
        <v>24264</v>
      </c>
      <c r="H4510" s="8" t="s">
        <v>24201</v>
      </c>
      <c r="I4510" s="8" t="str">
        <f>HYPERLINK("http://matteofossati.it/","matteofossati.it")</f>
        <v>matteofossati.it</v>
      </c>
      <c r="J4510" s="10">
        <v>247.64699999999999</v>
      </c>
      <c r="K4510" s="10">
        <v>247.64699999999999</v>
      </c>
      <c r="L4510" s="10">
        <v>125.075</v>
      </c>
      <c r="M4510" s="10">
        <v>16.736000000000001</v>
      </c>
      <c r="N4510" s="10">
        <v>16.736000000000001</v>
      </c>
      <c r="O4510" s="10">
        <v>-29.92</v>
      </c>
      <c r="P4510" s="10">
        <v>1</v>
      </c>
      <c r="Q4510" s="10">
        <v>1</v>
      </c>
      <c r="R4510" s="10">
        <v>1</v>
      </c>
    </row>
    <row r="4511" spans="1:18" ht="17" customHeight="1" x14ac:dyDescent="0.15">
      <c r="A4511" s="11" t="s">
        <v>24349</v>
      </c>
      <c r="B4511" s="1" t="s">
        <v>24350</v>
      </c>
      <c r="C4511" s="11" t="s">
        <v>24351</v>
      </c>
      <c r="D4511" s="11" t="s">
        <v>24351</v>
      </c>
      <c r="E4511" s="11" t="s">
        <v>24352</v>
      </c>
      <c r="F4511" s="11" t="s">
        <v>24199</v>
      </c>
      <c r="G4511" s="11" t="s">
        <v>24353</v>
      </c>
      <c r="H4511" s="11" t="s">
        <v>24354</v>
      </c>
      <c r="I4511" s="11" t="str">
        <f>HYPERLINK("http://pelletteriawindy.it/","pelletteriawindy.it")</f>
        <v>pelletteriawindy.it</v>
      </c>
      <c r="J4511" s="12">
        <v>73.295000000000002</v>
      </c>
      <c r="K4511" s="12">
        <v>73.295000000000002</v>
      </c>
      <c r="L4511" s="13">
        <v>124.997</v>
      </c>
      <c r="M4511" s="12">
        <v>17.509</v>
      </c>
      <c r="N4511" s="12">
        <v>17.509</v>
      </c>
      <c r="O4511" s="12">
        <v>10.996</v>
      </c>
      <c r="P4511" s="12">
        <v>0</v>
      </c>
      <c r="Q4511" s="12">
        <v>0</v>
      </c>
      <c r="R4511" s="12">
        <v>1</v>
      </c>
    </row>
    <row r="4512" spans="1:18" ht="17" customHeight="1" x14ac:dyDescent="0.15">
      <c r="A4512" s="8" t="s">
        <v>24355</v>
      </c>
      <c r="B4512" s="9" t="s">
        <v>24356</v>
      </c>
      <c r="C4512" s="8" t="s">
        <v>24357</v>
      </c>
      <c r="D4512" s="8" t="s">
        <v>24357</v>
      </c>
      <c r="E4512" s="8" t="s">
        <v>24358</v>
      </c>
      <c r="F4512" s="8" t="s">
        <v>24246</v>
      </c>
      <c r="G4512" s="8" t="s">
        <v>24359</v>
      </c>
      <c r="H4512" s="8" t="s">
        <v>24354</v>
      </c>
      <c r="I4512" s="8" t="str">
        <f>HYPERLINK("http://www.lasermarc.it/","www.lasermarc.it")</f>
        <v>www.lasermarc.it</v>
      </c>
      <c r="J4512" s="10">
        <v>269.5</v>
      </c>
      <c r="K4512" s="10">
        <v>269.5</v>
      </c>
      <c r="L4512" s="10">
        <v>124.486</v>
      </c>
      <c r="M4512" s="10">
        <v>2.4670000000000001</v>
      </c>
      <c r="N4512" s="10">
        <v>2.4670000000000001</v>
      </c>
      <c r="O4512" s="10">
        <v>-61.31</v>
      </c>
      <c r="P4512" s="10">
        <v>2</v>
      </c>
      <c r="Q4512" s="10">
        <v>2</v>
      </c>
      <c r="R4512" s="10">
        <v>2</v>
      </c>
    </row>
    <row r="4513" spans="1:18" ht="43" customHeight="1" x14ac:dyDescent="0.15">
      <c r="A4513" s="11" t="s">
        <v>24360</v>
      </c>
      <c r="B4513" s="1" t="s">
        <v>24361</v>
      </c>
      <c r="C4513" s="11" t="s">
        <v>24362</v>
      </c>
      <c r="D4513" s="11" t="s">
        <v>24362</v>
      </c>
      <c r="E4513" s="11" t="s">
        <v>24363</v>
      </c>
      <c r="F4513" s="11" t="s">
        <v>24364</v>
      </c>
      <c r="G4513" s="11" t="s">
        <v>24365</v>
      </c>
      <c r="H4513" s="11" t="s">
        <v>24366</v>
      </c>
      <c r="I4513" s="11" t="str">
        <f>HYPERLINK("http://annascipione.it/","annascipione.it")</f>
        <v>annascipione.it</v>
      </c>
      <c r="J4513" s="12">
        <v>126.43899999999999</v>
      </c>
      <c r="K4513" s="12">
        <v>126.43899999999999</v>
      </c>
      <c r="L4513" s="13">
        <v>124.316</v>
      </c>
      <c r="M4513" s="12">
        <v>-30.248000000000001</v>
      </c>
      <c r="N4513" s="12">
        <v>-30.248000000000001</v>
      </c>
      <c r="O4513" s="12">
        <v>3.738</v>
      </c>
      <c r="P4513" s="12">
        <v>3</v>
      </c>
      <c r="Q4513" s="12">
        <v>3</v>
      </c>
      <c r="R4513" s="12">
        <v>2</v>
      </c>
    </row>
    <row r="4514" spans="1:18" ht="29.5" customHeight="1" x14ac:dyDescent="0.15">
      <c r="A4514" s="8" t="s">
        <v>24367</v>
      </c>
      <c r="B4514" s="9" t="s">
        <v>24368</v>
      </c>
      <c r="C4514" s="8" t="s">
        <v>24369</v>
      </c>
      <c r="D4514" s="8" t="s">
        <v>24369</v>
      </c>
      <c r="E4514" s="8" t="s">
        <v>24370</v>
      </c>
      <c r="F4514" s="8" t="s">
        <v>24364</v>
      </c>
      <c r="G4514" s="8" t="s">
        <v>24371</v>
      </c>
      <c r="H4514" s="8" t="s">
        <v>24372</v>
      </c>
      <c r="I4514" s="8" t="str">
        <f>HYPERLINK("http://www.masterofwardrobe.com/","www.masterofwardrobe.com")</f>
        <v>www.masterofwardrobe.com</v>
      </c>
      <c r="J4514" s="10">
        <v>124.203</v>
      </c>
      <c r="K4514" s="15" t="s">
        <v>24373</v>
      </c>
      <c r="L4514" s="10">
        <v>124.203</v>
      </c>
      <c r="M4514" s="10">
        <v>13.708</v>
      </c>
      <c r="N4514" s="15" t="s">
        <v>24373</v>
      </c>
      <c r="O4514" s="10">
        <v>13.708</v>
      </c>
      <c r="P4514" s="10">
        <v>0</v>
      </c>
      <c r="Q4514" s="15" t="s">
        <v>24373</v>
      </c>
      <c r="R4514" s="10">
        <v>0</v>
      </c>
    </row>
    <row r="4515" spans="1:18" ht="17" customHeight="1" x14ac:dyDescent="0.15">
      <c r="A4515" s="11" t="s">
        <v>24374</v>
      </c>
      <c r="B4515" s="1" t="s">
        <v>24375</v>
      </c>
      <c r="C4515" s="11" t="s">
        <v>24376</v>
      </c>
      <c r="D4515" s="11" t="s">
        <v>24376</v>
      </c>
      <c r="E4515" s="11" t="s">
        <v>24377</v>
      </c>
      <c r="F4515" s="11" t="s">
        <v>24378</v>
      </c>
      <c r="G4515" s="11" t="s">
        <v>24379</v>
      </c>
      <c r="H4515" s="11" t="s">
        <v>24380</v>
      </c>
      <c r="I4515" s="11" t="str">
        <f>HYPERLINK("http://www.danton-caparrini.it/","www.danton-caparrini.it")</f>
        <v>www.danton-caparrini.it</v>
      </c>
      <c r="J4515" s="12">
        <v>127.90600000000001</v>
      </c>
      <c r="K4515" s="12">
        <v>127.90600000000001</v>
      </c>
      <c r="L4515" s="13">
        <v>124</v>
      </c>
      <c r="M4515" s="12">
        <v>-189.12299999999999</v>
      </c>
      <c r="N4515" s="12">
        <v>-189.12299999999999</v>
      </c>
      <c r="O4515" s="12">
        <v>68.468000000000004</v>
      </c>
      <c r="P4515" s="12">
        <v>0</v>
      </c>
      <c r="Q4515" s="12">
        <v>0</v>
      </c>
      <c r="R4515" s="12">
        <v>0</v>
      </c>
    </row>
    <row r="4516" spans="1:18" ht="17" customHeight="1" x14ac:dyDescent="0.15">
      <c r="A4516" s="8" t="s">
        <v>24381</v>
      </c>
      <c r="B4516" s="9" t="s">
        <v>24382</v>
      </c>
      <c r="C4516" s="8" t="s">
        <v>24383</v>
      </c>
      <c r="D4516" s="8" t="s">
        <v>24383</v>
      </c>
      <c r="E4516" s="8" t="s">
        <v>24384</v>
      </c>
      <c r="F4516" s="8" t="s">
        <v>24385</v>
      </c>
      <c r="G4516" s="8" t="s">
        <v>24386</v>
      </c>
      <c r="H4516" s="8" t="s">
        <v>24387</v>
      </c>
      <c r="I4516" s="8" t="str">
        <f>HYPERLINK("http://www.wainermoda.com/","www.wainermoda.com")</f>
        <v>www.wainermoda.com</v>
      </c>
      <c r="J4516" s="10">
        <v>118.003</v>
      </c>
      <c r="K4516" s="10">
        <v>118.003</v>
      </c>
      <c r="L4516" s="10">
        <v>124.035</v>
      </c>
      <c r="M4516" s="10">
        <v>1.0209999999999999</v>
      </c>
      <c r="N4516" s="10">
        <v>1.0209999999999999</v>
      </c>
      <c r="O4516" s="10">
        <v>4.149</v>
      </c>
      <c r="P4516" s="10">
        <v>4</v>
      </c>
      <c r="Q4516" s="10">
        <v>4</v>
      </c>
      <c r="R4516" s="10">
        <v>4</v>
      </c>
    </row>
    <row r="4517" spans="1:18" ht="29.5" customHeight="1" x14ac:dyDescent="0.15">
      <c r="A4517" s="11" t="s">
        <v>24388</v>
      </c>
      <c r="B4517" s="1" t="s">
        <v>24389</v>
      </c>
      <c r="C4517" s="11" t="s">
        <v>24390</v>
      </c>
      <c r="D4517" s="11" t="s">
        <v>24390</v>
      </c>
      <c r="E4517" s="11" t="s">
        <v>24391</v>
      </c>
      <c r="F4517" s="11" t="s">
        <v>24392</v>
      </c>
      <c r="G4517" s="11" t="s">
        <v>24393</v>
      </c>
      <c r="H4517" s="11" t="s">
        <v>24394</v>
      </c>
      <c r="I4517" s="11" t="str">
        <f>HYPERLINK("http://valigeriancv.it/","valigeriancv.it")</f>
        <v>valigeriancv.it</v>
      </c>
      <c r="J4517" s="12">
        <v>135.42500000000001</v>
      </c>
      <c r="K4517" s="12">
        <v>135.42500000000001</v>
      </c>
      <c r="L4517" s="13">
        <v>123.319</v>
      </c>
      <c r="M4517" s="12">
        <v>-25.887</v>
      </c>
      <c r="N4517" s="12">
        <v>-25.887</v>
      </c>
      <c r="O4517" s="12">
        <v>-5.8239999999999998</v>
      </c>
      <c r="P4517" s="12">
        <v>0</v>
      </c>
      <c r="Q4517" s="12">
        <v>0</v>
      </c>
      <c r="R4517" s="12">
        <v>0</v>
      </c>
    </row>
    <row r="4518" spans="1:18" ht="17" customHeight="1" x14ac:dyDescent="0.15">
      <c r="A4518" s="8" t="s">
        <v>24395</v>
      </c>
      <c r="B4518" s="9" t="s">
        <v>24396</v>
      </c>
      <c r="C4518" s="8" t="s">
        <v>24397</v>
      </c>
      <c r="D4518" s="8" t="s">
        <v>24397</v>
      </c>
      <c r="E4518" s="8" t="s">
        <v>24398</v>
      </c>
      <c r="F4518" s="8" t="s">
        <v>24399</v>
      </c>
      <c r="G4518" s="8" t="s">
        <v>24400</v>
      </c>
      <c r="H4518" s="8" t="s">
        <v>24394</v>
      </c>
      <c r="I4518" s="8" t="str">
        <f>HYPERLINK("http://www.christinebistore.it/","www.christinebistore.it")</f>
        <v>www.christinebistore.it</v>
      </c>
      <c r="J4518" s="10">
        <v>133.714</v>
      </c>
      <c r="K4518" s="10">
        <v>133.714</v>
      </c>
      <c r="L4518" s="10">
        <v>123.066</v>
      </c>
      <c r="M4518" s="10">
        <v>10.84</v>
      </c>
      <c r="N4518" s="10">
        <v>10.84</v>
      </c>
      <c r="O4518" s="10">
        <v>6.7519999999999998</v>
      </c>
      <c r="P4518" s="10">
        <v>1</v>
      </c>
      <c r="Q4518" s="10">
        <v>1</v>
      </c>
      <c r="R4518" s="10">
        <v>2</v>
      </c>
    </row>
    <row r="4519" spans="1:18" ht="17" customHeight="1" x14ac:dyDescent="0.15">
      <c r="A4519" s="11" t="s">
        <v>24401</v>
      </c>
      <c r="B4519" s="1" t="s">
        <v>24402</v>
      </c>
      <c r="C4519" s="11" t="s">
        <v>24403</v>
      </c>
      <c r="D4519" s="11" t="s">
        <v>24403</v>
      </c>
      <c r="E4519" s="11" t="s">
        <v>24404</v>
      </c>
      <c r="F4519" s="11" t="s">
        <v>24405</v>
      </c>
      <c r="G4519" s="11" t="s">
        <v>24406</v>
      </c>
      <c r="H4519" s="11" t="s">
        <v>24407</v>
      </c>
      <c r="I4519" s="11" t="str">
        <f>HYPERLINK("http://www.nidasrl.eu/","www.nidasrl.eu")</f>
        <v>www.nidasrl.eu</v>
      </c>
      <c r="J4519" s="12">
        <v>107.15900000000001</v>
      </c>
      <c r="K4519" s="12">
        <v>107.15900000000001</v>
      </c>
      <c r="L4519" s="13">
        <v>123.08199999999999</v>
      </c>
      <c r="M4519" s="12">
        <v>4.6849999999999996</v>
      </c>
      <c r="N4519" s="12">
        <v>4.6849999999999996</v>
      </c>
      <c r="O4519" s="12">
        <v>4.1180000000000003</v>
      </c>
      <c r="P4519" s="12">
        <v>0</v>
      </c>
      <c r="Q4519" s="12">
        <v>0</v>
      </c>
      <c r="R4519" s="12">
        <v>0</v>
      </c>
    </row>
    <row r="4520" spans="1:18" ht="17" customHeight="1" x14ac:dyDescent="0.15">
      <c r="A4520" s="8" t="s">
        <v>24408</v>
      </c>
      <c r="B4520" s="9" t="s">
        <v>24409</v>
      </c>
      <c r="C4520" s="8" t="s">
        <v>24410</v>
      </c>
      <c r="D4520" s="8" t="s">
        <v>24410</v>
      </c>
      <c r="E4520" s="8" t="s">
        <v>24411</v>
      </c>
      <c r="F4520" s="8" t="s">
        <v>24405</v>
      </c>
      <c r="G4520" s="8" t="s">
        <v>24412</v>
      </c>
      <c r="H4520" s="8" t="s">
        <v>24413</v>
      </c>
      <c r="I4520" s="8" t="str">
        <f>HYPERLINK("http://tendaydelivery.it/","tendaydelivery.it")</f>
        <v>tendaydelivery.it</v>
      </c>
      <c r="J4520" s="10">
        <v>309.74900000000002</v>
      </c>
      <c r="K4520" s="10">
        <v>309.74900000000002</v>
      </c>
      <c r="L4520" s="10">
        <v>122.842</v>
      </c>
      <c r="M4520" s="10">
        <v>26.498999999999999</v>
      </c>
      <c r="N4520" s="10">
        <v>26.498999999999999</v>
      </c>
      <c r="O4520" s="10">
        <v>12.611000000000001</v>
      </c>
      <c r="P4520" s="10">
        <v>0</v>
      </c>
      <c r="Q4520" s="10">
        <v>0</v>
      </c>
      <c r="R4520" s="10">
        <v>0</v>
      </c>
    </row>
    <row r="4521" spans="1:18" ht="17" customHeight="1" x14ac:dyDescent="0.15">
      <c r="A4521" s="11" t="s">
        <v>24414</v>
      </c>
      <c r="B4521" s="1" t="s">
        <v>24415</v>
      </c>
      <c r="C4521" s="11" t="s">
        <v>24416</v>
      </c>
      <c r="D4521" s="11" t="s">
        <v>24416</v>
      </c>
      <c r="E4521" s="11" t="s">
        <v>24417</v>
      </c>
      <c r="F4521" s="11" t="s">
        <v>24399</v>
      </c>
      <c r="G4521" s="11" t="s">
        <v>24418</v>
      </c>
      <c r="H4521" s="11" t="s">
        <v>24419</v>
      </c>
      <c r="I4521" s="11" t="str">
        <f>HYPERLINK("http://www.colorworks-srl.it/","www.colorworks-srl.it")</f>
        <v>www.colorworks-srl.it</v>
      </c>
      <c r="J4521" s="12">
        <v>126.304</v>
      </c>
      <c r="K4521" s="12">
        <v>126.304</v>
      </c>
      <c r="L4521" s="13">
        <v>122.455</v>
      </c>
      <c r="M4521" s="12">
        <v>14.282</v>
      </c>
      <c r="N4521" s="12">
        <v>14.282</v>
      </c>
      <c r="O4521" s="12">
        <v>12.335000000000001</v>
      </c>
      <c r="P4521" s="12">
        <v>0</v>
      </c>
      <c r="Q4521" s="12">
        <v>0</v>
      </c>
      <c r="R4521" s="12">
        <v>0</v>
      </c>
    </row>
    <row r="4522" spans="1:18" ht="17" customHeight="1" x14ac:dyDescent="0.15">
      <c r="A4522" s="8" t="s">
        <v>24420</v>
      </c>
      <c r="B4522" s="9" t="s">
        <v>24421</v>
      </c>
      <c r="C4522" s="8" t="s">
        <v>24422</v>
      </c>
      <c r="D4522" s="8" t="s">
        <v>24422</v>
      </c>
      <c r="E4522" s="8" t="s">
        <v>24423</v>
      </c>
      <c r="F4522" s="8" t="s">
        <v>24399</v>
      </c>
      <c r="G4522" s="8" t="s">
        <v>24424</v>
      </c>
      <c r="H4522" s="8" t="s">
        <v>24425</v>
      </c>
      <c r="I4522" s="8" t="str">
        <f>HYPERLINK("http://www.sapiel.com/","www.sapiel.com")</f>
        <v>www.sapiel.com</v>
      </c>
      <c r="J4522" s="10">
        <v>197.68299999999999</v>
      </c>
      <c r="K4522" s="10">
        <v>197.68299999999999</v>
      </c>
      <c r="L4522" s="10">
        <v>121.38800000000001</v>
      </c>
      <c r="M4522" s="10">
        <v>2.2069999999999999</v>
      </c>
      <c r="N4522" s="10">
        <v>2.2069999999999999</v>
      </c>
      <c r="O4522" s="10">
        <v>-51.491999999999997</v>
      </c>
      <c r="P4522" s="15" t="s">
        <v>24373</v>
      </c>
      <c r="Q4522" s="15" t="s">
        <v>24373</v>
      </c>
      <c r="R4522" s="10">
        <v>7</v>
      </c>
    </row>
    <row r="4523" spans="1:18" ht="17" customHeight="1" x14ac:dyDescent="0.15">
      <c r="A4523" s="11" t="s">
        <v>24426</v>
      </c>
      <c r="B4523" s="1" t="s">
        <v>24427</v>
      </c>
      <c r="C4523" s="11" t="s">
        <v>24428</v>
      </c>
      <c r="D4523" s="11" t="s">
        <v>24428</v>
      </c>
      <c r="E4523" s="11" t="s">
        <v>24429</v>
      </c>
      <c r="F4523" s="11" t="s">
        <v>24405</v>
      </c>
      <c r="G4523" s="11" t="s">
        <v>24430</v>
      </c>
      <c r="H4523" s="11" t="s">
        <v>24413</v>
      </c>
      <c r="I4523" s="11" t="str">
        <f>HYPERLINK("http://www.rufinosrl.com/","www.rufinosrl.com")</f>
        <v>www.rufinosrl.com</v>
      </c>
      <c r="J4523" s="12">
        <v>300.98899999999998</v>
      </c>
      <c r="K4523" s="12">
        <v>300.98899999999998</v>
      </c>
      <c r="L4523" s="13">
        <v>121.19</v>
      </c>
      <c r="M4523" s="12">
        <v>-7.1999999999999995E-2</v>
      </c>
      <c r="N4523" s="12">
        <v>-7.1999999999999995E-2</v>
      </c>
      <c r="O4523" s="12">
        <v>-34.411999999999999</v>
      </c>
      <c r="P4523" s="12">
        <v>11</v>
      </c>
      <c r="Q4523" s="12">
        <v>11</v>
      </c>
      <c r="R4523" s="12">
        <v>8</v>
      </c>
    </row>
    <row r="4524" spans="1:18" ht="17" customHeight="1" x14ac:dyDescent="0.15">
      <c r="A4524" s="8" t="s">
        <v>24431</v>
      </c>
      <c r="B4524" s="9" t="s">
        <v>24432</v>
      </c>
      <c r="C4524" s="8" t="s">
        <v>24433</v>
      </c>
      <c r="D4524" s="8" t="s">
        <v>24433</v>
      </c>
      <c r="E4524" s="8" t="s">
        <v>24434</v>
      </c>
      <c r="F4524" s="8" t="s">
        <v>24385</v>
      </c>
      <c r="G4524" s="8" t="s">
        <v>24400</v>
      </c>
      <c r="H4524" s="8" t="s">
        <v>24394</v>
      </c>
      <c r="I4524" s="8" t="str">
        <f>HYPERLINK("http://www.rvfurs.it/","www.rvfurs.it")</f>
        <v>www.rvfurs.it</v>
      </c>
      <c r="J4524" s="10">
        <v>108.47199999999999</v>
      </c>
      <c r="K4524" s="10">
        <v>108.47199999999999</v>
      </c>
      <c r="L4524" s="10">
        <v>120.76600000000001</v>
      </c>
      <c r="M4524" s="10">
        <v>1.798</v>
      </c>
      <c r="N4524" s="10">
        <v>1.798</v>
      </c>
      <c r="O4524" s="10">
        <v>-1.671</v>
      </c>
      <c r="P4524" s="10">
        <v>1</v>
      </c>
      <c r="Q4524" s="10">
        <v>1</v>
      </c>
      <c r="R4524" s="10">
        <v>1</v>
      </c>
    </row>
    <row r="4525" spans="1:18" ht="17" customHeight="1" x14ac:dyDescent="0.15">
      <c r="A4525" s="11" t="s">
        <v>24435</v>
      </c>
      <c r="B4525" s="1" t="s">
        <v>24436</v>
      </c>
      <c r="C4525" s="11" t="s">
        <v>24437</v>
      </c>
      <c r="D4525" s="11" t="s">
        <v>24437</v>
      </c>
      <c r="E4525" s="11" t="s">
        <v>24438</v>
      </c>
      <c r="F4525" s="11" t="s">
        <v>24378</v>
      </c>
      <c r="G4525" s="11" t="s">
        <v>24406</v>
      </c>
      <c r="H4525" s="11" t="s">
        <v>24407</v>
      </c>
      <c r="I4525" s="11" t="str">
        <f>HYPERLINK("http://www.marioacquaviva.it/","www.marioacquaviva.it")</f>
        <v>www.marioacquaviva.it</v>
      </c>
      <c r="J4525" s="12">
        <v>120.642</v>
      </c>
      <c r="K4525" s="14" t="s">
        <v>24373</v>
      </c>
      <c r="L4525" s="13">
        <v>120.642</v>
      </c>
      <c r="M4525" s="12">
        <v>3.8010000000000002</v>
      </c>
      <c r="N4525" s="14" t="s">
        <v>24373</v>
      </c>
      <c r="O4525" s="12">
        <v>3.8010000000000002</v>
      </c>
      <c r="P4525" s="12">
        <v>2</v>
      </c>
      <c r="Q4525" s="14" t="s">
        <v>24373</v>
      </c>
      <c r="R4525" s="12">
        <v>2</v>
      </c>
    </row>
    <row r="4526" spans="1:18" ht="17" customHeight="1" x14ac:dyDescent="0.15">
      <c r="A4526" s="8" t="s">
        <v>24439</v>
      </c>
      <c r="B4526" s="9" t="s">
        <v>24440</v>
      </c>
      <c r="C4526" s="8" t="s">
        <v>24441</v>
      </c>
      <c r="D4526" s="8" t="s">
        <v>24441</v>
      </c>
      <c r="E4526" s="8" t="s">
        <v>24442</v>
      </c>
      <c r="F4526" s="8" t="s">
        <v>24443</v>
      </c>
      <c r="G4526" s="8" t="s">
        <v>24444</v>
      </c>
      <c r="H4526" s="8" t="s">
        <v>24394</v>
      </c>
      <c r="I4526" s="8" t="str">
        <f>HYPERLINK("http://www.dinamica.it/","www.dinamica.it")</f>
        <v>www.dinamica.it</v>
      </c>
      <c r="J4526" s="10">
        <v>413.97399999999999</v>
      </c>
      <c r="K4526" s="10">
        <v>413.97399999999999</v>
      </c>
      <c r="L4526" s="10">
        <v>120.098</v>
      </c>
      <c r="M4526" s="10">
        <v>0.308</v>
      </c>
      <c r="N4526" s="10">
        <v>0.308</v>
      </c>
      <c r="O4526" s="10">
        <v>0.20699999999999999</v>
      </c>
      <c r="P4526" s="10">
        <v>6</v>
      </c>
      <c r="Q4526" s="10">
        <v>6</v>
      </c>
      <c r="R4526" s="10">
        <v>0</v>
      </c>
    </row>
    <row r="4527" spans="1:18" ht="17" customHeight="1" x14ac:dyDescent="0.15">
      <c r="A4527" s="11" t="s">
        <v>24445</v>
      </c>
      <c r="B4527" s="1" t="s">
        <v>24446</v>
      </c>
      <c r="C4527" s="11" t="s">
        <v>24447</v>
      </c>
      <c r="D4527" s="11" t="s">
        <v>24447</v>
      </c>
      <c r="E4527" s="11" t="s">
        <v>24448</v>
      </c>
      <c r="F4527" s="11" t="s">
        <v>24449</v>
      </c>
      <c r="G4527" s="11" t="s">
        <v>24450</v>
      </c>
      <c r="H4527" s="11" t="s">
        <v>24419</v>
      </c>
      <c r="I4527" s="11" t="str">
        <f>HYPERLINK("http://www.lacosrl.it/","www.lacosrl.it")</f>
        <v>www.lacosrl.it</v>
      </c>
      <c r="J4527" s="12">
        <v>143.06399999999999</v>
      </c>
      <c r="K4527" s="12">
        <v>143.06399999999999</v>
      </c>
      <c r="L4527" s="13">
        <v>120.116</v>
      </c>
      <c r="M4527" s="12">
        <v>23.960999999999999</v>
      </c>
      <c r="N4527" s="12">
        <v>23.960999999999999</v>
      </c>
      <c r="O4527" s="12">
        <v>6.6660000000000004</v>
      </c>
      <c r="P4527" s="12">
        <v>5</v>
      </c>
      <c r="Q4527" s="12">
        <v>5</v>
      </c>
      <c r="R4527" s="12">
        <v>5</v>
      </c>
    </row>
    <row r="4528" spans="1:18" ht="29.5" customHeight="1" x14ac:dyDescent="0.15">
      <c r="A4528" s="8" t="s">
        <v>24451</v>
      </c>
      <c r="B4528" s="9" t="s">
        <v>24452</v>
      </c>
      <c r="C4528" s="8" t="s">
        <v>24453</v>
      </c>
      <c r="D4528" s="8" t="s">
        <v>24453</v>
      </c>
      <c r="E4528" s="8" t="s">
        <v>24454</v>
      </c>
      <c r="F4528" s="8" t="s">
        <v>24378</v>
      </c>
      <c r="G4528" s="8" t="s">
        <v>24455</v>
      </c>
      <c r="H4528" s="8" t="s">
        <v>24380</v>
      </c>
      <c r="I4528" s="8" t="str">
        <f>HYPERLINK("http://www.corbellishoes.com/","www.corbellishoes.com")</f>
        <v>www.corbellishoes.com</v>
      </c>
      <c r="J4528" s="10">
        <v>119.91800000000001</v>
      </c>
      <c r="K4528" s="15" t="s">
        <v>24373</v>
      </c>
      <c r="L4528" s="10">
        <v>119.91800000000001</v>
      </c>
      <c r="M4528" s="10">
        <v>-61.255000000000003</v>
      </c>
      <c r="N4528" s="15" t="s">
        <v>24373</v>
      </c>
      <c r="O4528" s="10">
        <v>-61.255000000000003</v>
      </c>
      <c r="P4528" s="10">
        <v>2</v>
      </c>
      <c r="Q4528" s="15" t="s">
        <v>24373</v>
      </c>
      <c r="R4528" s="10">
        <v>2</v>
      </c>
    </row>
    <row r="4529" spans="1:18" ht="17" customHeight="1" x14ac:dyDescent="0.15">
      <c r="A4529" s="11" t="s">
        <v>24456</v>
      </c>
      <c r="B4529" s="1" t="s">
        <v>24457</v>
      </c>
      <c r="C4529" s="11" t="s">
        <v>24458</v>
      </c>
      <c r="D4529" s="11" t="s">
        <v>24458</v>
      </c>
      <c r="E4529" s="11" t="s">
        <v>24459</v>
      </c>
      <c r="F4529" s="11" t="s">
        <v>24460</v>
      </c>
      <c r="G4529" s="11" t="s">
        <v>24461</v>
      </c>
      <c r="H4529" s="11" t="s">
        <v>24394</v>
      </c>
      <c r="I4529" s="11" t="str">
        <f>HYPERLINK("http://www.libica.it/","http://www.libica.it")</f>
        <v>http://www.libica.it</v>
      </c>
      <c r="J4529" s="12">
        <v>1.536</v>
      </c>
      <c r="K4529" s="12">
        <v>1.536</v>
      </c>
      <c r="L4529" s="13">
        <v>119.815</v>
      </c>
      <c r="M4529" s="12">
        <v>-135.52099999999999</v>
      </c>
      <c r="N4529" s="12">
        <v>-135.52099999999999</v>
      </c>
      <c r="O4529" s="12">
        <v>-161.57300000000001</v>
      </c>
      <c r="P4529" s="12">
        <v>0</v>
      </c>
      <c r="Q4529" s="12">
        <v>0</v>
      </c>
      <c r="R4529" s="12">
        <v>0</v>
      </c>
    </row>
    <row r="4530" spans="1:18" ht="17" customHeight="1" x14ac:dyDescent="0.15">
      <c r="A4530" s="8" t="s">
        <v>24462</v>
      </c>
      <c r="B4530" s="9" t="s">
        <v>24463</v>
      </c>
      <c r="C4530" s="8" t="s">
        <v>24464</v>
      </c>
      <c r="D4530" s="8" t="s">
        <v>24464</v>
      </c>
      <c r="E4530" s="8" t="s">
        <v>24465</v>
      </c>
      <c r="F4530" s="8" t="s">
        <v>24399</v>
      </c>
      <c r="G4530" s="8" t="s">
        <v>24466</v>
      </c>
      <c r="H4530" s="8" t="s">
        <v>24407</v>
      </c>
      <c r="I4530" s="8" t="str">
        <f>HYPERLINK("http://www.ricciarellimoda.it/","www.ricciarellimoda.it")</f>
        <v>www.ricciarellimoda.it</v>
      </c>
      <c r="J4530" s="10">
        <v>130.43899999999999</v>
      </c>
      <c r="K4530" s="10">
        <v>130.43899999999999</v>
      </c>
      <c r="L4530" s="10">
        <v>119.494</v>
      </c>
      <c r="M4530" s="10">
        <v>11.975</v>
      </c>
      <c r="N4530" s="10">
        <v>11.975</v>
      </c>
      <c r="O4530" s="10">
        <v>334.90800000000002</v>
      </c>
      <c r="P4530" s="15" t="s">
        <v>24373</v>
      </c>
      <c r="Q4530" s="15" t="s">
        <v>24373</v>
      </c>
      <c r="R4530" s="10">
        <v>6</v>
      </c>
    </row>
    <row r="4531" spans="1:18" ht="55.75" customHeight="1" x14ac:dyDescent="0.15">
      <c r="A4531" s="11" t="s">
        <v>24467</v>
      </c>
      <c r="B4531" s="1" t="s">
        <v>24468</v>
      </c>
      <c r="C4531" s="11" t="s">
        <v>24469</v>
      </c>
      <c r="D4531" s="11" t="s">
        <v>24469</v>
      </c>
      <c r="E4531" s="11" t="s">
        <v>24470</v>
      </c>
      <c r="F4531" s="11" t="s">
        <v>24449</v>
      </c>
      <c r="G4531" s="11" t="s">
        <v>24406</v>
      </c>
      <c r="H4531" s="11" t="s">
        <v>24407</v>
      </c>
      <c r="I4531" s="11" t="str">
        <f>HYPERLINK("http://www.magraf.it/","www.magraf.it")</f>
        <v>www.magraf.it</v>
      </c>
      <c r="J4531" s="12">
        <v>150.62100000000001</v>
      </c>
      <c r="K4531" s="12">
        <v>150.62100000000001</v>
      </c>
      <c r="L4531" s="13">
        <v>119.39</v>
      </c>
      <c r="M4531" s="12">
        <v>8.3770000000000007</v>
      </c>
      <c r="N4531" s="12">
        <v>8.3770000000000007</v>
      </c>
      <c r="O4531" s="12">
        <v>-2.492</v>
      </c>
      <c r="P4531" s="12">
        <v>1</v>
      </c>
      <c r="Q4531" s="12">
        <v>1</v>
      </c>
      <c r="R4531" s="12">
        <v>1</v>
      </c>
    </row>
    <row r="4532" spans="1:18" ht="29.5" customHeight="1" x14ac:dyDescent="0.15">
      <c r="A4532" s="8" t="s">
        <v>24471</v>
      </c>
      <c r="B4532" s="9" t="s">
        <v>24472</v>
      </c>
      <c r="C4532" s="8" t="s">
        <v>24473</v>
      </c>
      <c r="D4532" s="8" t="s">
        <v>24473</v>
      </c>
      <c r="E4532" s="8" t="s">
        <v>24474</v>
      </c>
      <c r="F4532" s="8" t="s">
        <v>24449</v>
      </c>
      <c r="G4532" s="8" t="s">
        <v>24475</v>
      </c>
      <c r="H4532" s="8" t="s">
        <v>24419</v>
      </c>
      <c r="I4532" s="8" t="str">
        <f>HYPERLINK("http://www.ghilfish.it/","www.ghilfish.it")</f>
        <v>www.ghilfish.it</v>
      </c>
      <c r="J4532" s="10">
        <v>143.45599999999999</v>
      </c>
      <c r="K4532" s="10">
        <v>143.45599999999999</v>
      </c>
      <c r="L4532" s="10">
        <v>118.73099999999999</v>
      </c>
      <c r="M4532" s="10">
        <v>5.3310000000000004</v>
      </c>
      <c r="N4532" s="10">
        <v>5.3310000000000004</v>
      </c>
      <c r="O4532" s="10">
        <v>6.8959999999999999</v>
      </c>
      <c r="P4532" s="10">
        <v>0</v>
      </c>
      <c r="Q4532" s="10">
        <v>0</v>
      </c>
      <c r="R4532" s="10">
        <v>0</v>
      </c>
    </row>
    <row r="4533" spans="1:18" ht="43" customHeight="1" x14ac:dyDescent="0.15">
      <c r="A4533" s="11" t="s">
        <v>24476</v>
      </c>
      <c r="B4533" s="1" t="s">
        <v>24477</v>
      </c>
      <c r="C4533" s="11" t="s">
        <v>24478</v>
      </c>
      <c r="D4533" s="11" t="s">
        <v>24478</v>
      </c>
      <c r="E4533" s="11" t="s">
        <v>24479</v>
      </c>
      <c r="F4533" s="11" t="s">
        <v>24364</v>
      </c>
      <c r="G4533" s="11" t="s">
        <v>24406</v>
      </c>
      <c r="H4533" s="11" t="s">
        <v>24407</v>
      </c>
      <c r="I4533" s="11" t="str">
        <f>HYPERLINK("http://sartoriavoglio.com/","sartoriavoglio.com")</f>
        <v>sartoriavoglio.com</v>
      </c>
      <c r="J4533" s="12">
        <v>176.88300000000001</v>
      </c>
      <c r="K4533" s="12">
        <v>176.88300000000001</v>
      </c>
      <c r="L4533" s="13">
        <v>117.901</v>
      </c>
      <c r="M4533" s="12">
        <v>15.661</v>
      </c>
      <c r="N4533" s="12">
        <v>15.661</v>
      </c>
      <c r="O4533" s="12">
        <v>46.494999999999997</v>
      </c>
      <c r="P4533" s="12">
        <v>0</v>
      </c>
      <c r="Q4533" s="12">
        <v>0</v>
      </c>
      <c r="R4533" s="12">
        <v>0</v>
      </c>
    </row>
    <row r="4534" spans="1:18" ht="17" customHeight="1" x14ac:dyDescent="0.15">
      <c r="A4534" s="8" t="s">
        <v>24480</v>
      </c>
      <c r="B4534" s="9" t="s">
        <v>24481</v>
      </c>
      <c r="C4534" s="8" t="s">
        <v>24482</v>
      </c>
      <c r="D4534" s="8" t="s">
        <v>24482</v>
      </c>
      <c r="E4534" s="8" t="s">
        <v>24483</v>
      </c>
      <c r="F4534" s="8" t="s">
        <v>24405</v>
      </c>
      <c r="G4534" s="8" t="s">
        <v>24484</v>
      </c>
      <c r="H4534" s="8" t="s">
        <v>24380</v>
      </c>
      <c r="I4534" s="8" t="str">
        <f>HYPERLINK("http://bbcouture.it/","bbcouture.it")</f>
        <v>bbcouture.it</v>
      </c>
      <c r="J4534" s="10">
        <v>135.83500000000001</v>
      </c>
      <c r="K4534" s="10">
        <v>135.83500000000001</v>
      </c>
      <c r="L4534" s="10">
        <v>117.768</v>
      </c>
      <c r="M4534" s="10">
        <v>2.9740000000000002</v>
      </c>
      <c r="N4534" s="10">
        <v>2.9740000000000002</v>
      </c>
      <c r="O4534" s="10">
        <v>-37.517000000000003</v>
      </c>
      <c r="P4534" s="10">
        <v>1</v>
      </c>
      <c r="Q4534" s="10">
        <v>1</v>
      </c>
      <c r="R4534" s="10">
        <v>1</v>
      </c>
    </row>
    <row r="4535" spans="1:18" ht="43" customHeight="1" x14ac:dyDescent="0.15">
      <c r="A4535" s="11" t="s">
        <v>24485</v>
      </c>
      <c r="B4535" s="1" t="s">
        <v>24486</v>
      </c>
      <c r="C4535" s="11" t="s">
        <v>24487</v>
      </c>
      <c r="D4535" s="11" t="s">
        <v>24487</v>
      </c>
      <c r="E4535" s="11" t="s">
        <v>24488</v>
      </c>
      <c r="F4535" s="11" t="s">
        <v>24405</v>
      </c>
      <c r="G4535" s="11" t="s">
        <v>24489</v>
      </c>
      <c r="H4535" s="11" t="s">
        <v>24490</v>
      </c>
      <c r="I4535" s="11" t="str">
        <f>HYPERLINK("http://www.camiconfezioni.it/","www.camiconfezioni.it")</f>
        <v>www.camiconfezioni.it</v>
      </c>
      <c r="J4535" s="12">
        <v>117.694</v>
      </c>
      <c r="K4535" s="14" t="s">
        <v>24373</v>
      </c>
      <c r="L4535" s="13">
        <v>117.694</v>
      </c>
      <c r="M4535" s="12">
        <v>2.3879999999999999</v>
      </c>
      <c r="N4535" s="14" t="s">
        <v>24373</v>
      </c>
      <c r="O4535" s="12">
        <v>2.3879999999999999</v>
      </c>
      <c r="P4535" s="12">
        <v>4</v>
      </c>
      <c r="Q4535" s="14" t="s">
        <v>24373</v>
      </c>
      <c r="R4535" s="12">
        <v>4</v>
      </c>
    </row>
    <row r="4536" spans="1:18" ht="43" customHeight="1" x14ac:dyDescent="0.15">
      <c r="A4536" s="8" t="s">
        <v>24491</v>
      </c>
      <c r="B4536" s="9" t="s">
        <v>24492</v>
      </c>
      <c r="C4536" s="8" t="s">
        <v>24493</v>
      </c>
      <c r="D4536" s="8" t="s">
        <v>24493</v>
      </c>
      <c r="E4536" s="8" t="s">
        <v>24494</v>
      </c>
      <c r="F4536" s="8" t="s">
        <v>24364</v>
      </c>
      <c r="G4536" s="8" t="s">
        <v>24495</v>
      </c>
      <c r="H4536" s="8" t="s">
        <v>24366</v>
      </c>
      <c r="I4536" s="8" t="str">
        <f>HYPERLINK("http://www.isabellacaposano.it/","www.isabellacaposano.it")</f>
        <v>www.isabellacaposano.it</v>
      </c>
      <c r="J4536" s="10">
        <v>94.908000000000001</v>
      </c>
      <c r="K4536" s="10">
        <v>94.908000000000001</v>
      </c>
      <c r="L4536" s="10">
        <v>117.663</v>
      </c>
      <c r="M4536" s="10">
        <v>-57.543999999999997</v>
      </c>
      <c r="N4536" s="10">
        <v>-57.543999999999997</v>
      </c>
      <c r="O4536" s="10">
        <v>-34.585000000000001</v>
      </c>
      <c r="P4536" s="10">
        <v>3</v>
      </c>
      <c r="Q4536" s="10">
        <v>3</v>
      </c>
      <c r="R4536" s="10">
        <v>3</v>
      </c>
    </row>
    <row r="4537" spans="1:18" ht="17" customHeight="1" x14ac:dyDescent="0.15">
      <c r="A4537" s="11" t="s">
        <v>24496</v>
      </c>
      <c r="B4537" s="1" t="s">
        <v>24497</v>
      </c>
      <c r="C4537" s="11" t="s">
        <v>24498</v>
      </c>
      <c r="D4537" s="11" t="s">
        <v>24498</v>
      </c>
      <c r="E4537" s="11" t="s">
        <v>24499</v>
      </c>
      <c r="F4537" s="11" t="s">
        <v>24364</v>
      </c>
      <c r="G4537" s="11" t="s">
        <v>24500</v>
      </c>
      <c r="H4537" s="11" t="s">
        <v>24490</v>
      </c>
      <c r="I4537" s="11" t="str">
        <f>HYPERLINK("http://www.marletatelier.it/","www.marletatelier.it")</f>
        <v>www.marletatelier.it</v>
      </c>
      <c r="J4537" s="12">
        <v>117.604</v>
      </c>
      <c r="K4537" s="14" t="s">
        <v>24373</v>
      </c>
      <c r="L4537" s="13">
        <v>117.604</v>
      </c>
      <c r="M4537" s="12">
        <v>6.15</v>
      </c>
      <c r="N4537" s="14" t="s">
        <v>24373</v>
      </c>
      <c r="O4537" s="12">
        <v>6.15</v>
      </c>
      <c r="P4537" s="12">
        <v>3</v>
      </c>
      <c r="Q4537" s="14" t="s">
        <v>24373</v>
      </c>
      <c r="R4537" s="12">
        <v>3</v>
      </c>
    </row>
    <row r="4538" spans="1:18" ht="43" customHeight="1" x14ac:dyDescent="0.15">
      <c r="A4538" s="8" t="s">
        <v>24501</v>
      </c>
      <c r="B4538" s="9" t="s">
        <v>24502</v>
      </c>
      <c r="C4538" s="8" t="s">
        <v>24503</v>
      </c>
      <c r="D4538" s="8" t="s">
        <v>24503</v>
      </c>
      <c r="E4538" s="8" t="s">
        <v>24504</v>
      </c>
      <c r="F4538" s="8" t="s">
        <v>24449</v>
      </c>
      <c r="G4538" s="8" t="s">
        <v>24412</v>
      </c>
      <c r="H4538" s="8" t="s">
        <v>24413</v>
      </c>
      <c r="I4538" s="8" t="str">
        <f>HYPERLINK("http://fr.steban.it/","fr.steban.it")</f>
        <v>fr.steban.it</v>
      </c>
      <c r="J4538" s="10">
        <v>116.544</v>
      </c>
      <c r="K4538" s="15" t="s">
        <v>24373</v>
      </c>
      <c r="L4538" s="10">
        <v>116.544</v>
      </c>
      <c r="M4538" s="10">
        <v>-3.9820000000000002</v>
      </c>
      <c r="N4538" s="15" t="s">
        <v>24373</v>
      </c>
      <c r="O4538" s="10">
        <v>-3.9820000000000002</v>
      </c>
      <c r="P4538" s="10">
        <v>0</v>
      </c>
      <c r="Q4538" s="15" t="s">
        <v>24373</v>
      </c>
      <c r="R4538" s="10">
        <v>0</v>
      </c>
    </row>
    <row r="4539" spans="1:18" ht="17" customHeight="1" x14ac:dyDescent="0.15">
      <c r="A4539" s="11" t="s">
        <v>24505</v>
      </c>
      <c r="B4539" s="1" t="s">
        <v>24506</v>
      </c>
      <c r="C4539" s="11" t="s">
        <v>24507</v>
      </c>
      <c r="D4539" s="11" t="s">
        <v>24507</v>
      </c>
      <c r="E4539" s="11" t="s">
        <v>24508</v>
      </c>
      <c r="F4539" s="11" t="s">
        <v>24405</v>
      </c>
      <c r="G4539" s="11" t="s">
        <v>24475</v>
      </c>
      <c r="H4539" s="11" t="s">
        <v>24419</v>
      </c>
      <c r="I4539" s="11" t="str">
        <f>HYPERLINK("http://www.roldskovclothing.com/","www.roldskovclothing.com")</f>
        <v>www.roldskovclothing.com</v>
      </c>
      <c r="J4539" s="12">
        <v>153.55199999999999</v>
      </c>
      <c r="K4539" s="12">
        <v>153.55199999999999</v>
      </c>
      <c r="L4539" s="13">
        <v>116.08499999999999</v>
      </c>
      <c r="M4539" s="12">
        <v>-1.367</v>
      </c>
      <c r="N4539" s="12">
        <v>-1.367</v>
      </c>
      <c r="O4539" s="12">
        <v>3.0449999999999999</v>
      </c>
      <c r="P4539" s="12">
        <v>1</v>
      </c>
      <c r="Q4539" s="12">
        <v>1</v>
      </c>
      <c r="R4539" s="12">
        <v>1</v>
      </c>
    </row>
    <row r="4540" spans="1:18" ht="17" customHeight="1" x14ac:dyDescent="0.15">
      <c r="A4540" s="8" t="s">
        <v>24509</v>
      </c>
      <c r="B4540" s="9" t="s">
        <v>24510</v>
      </c>
      <c r="C4540" s="8" t="s">
        <v>24511</v>
      </c>
      <c r="D4540" s="8" t="s">
        <v>24511</v>
      </c>
      <c r="E4540" s="8" t="s">
        <v>24512</v>
      </c>
      <c r="F4540" s="8" t="s">
        <v>24513</v>
      </c>
      <c r="G4540" s="8" t="s">
        <v>24514</v>
      </c>
      <c r="H4540" s="8" t="s">
        <v>24387</v>
      </c>
      <c r="I4540" s="8" t="str">
        <f>HYPERLINK("http://soseaty.com/","soseaty.com")</f>
        <v>soseaty.com</v>
      </c>
      <c r="J4540" s="10">
        <v>283.68</v>
      </c>
      <c r="K4540" s="10">
        <v>283.68</v>
      </c>
      <c r="L4540" s="10">
        <v>115.523</v>
      </c>
      <c r="M4540" s="10">
        <v>-170.64</v>
      </c>
      <c r="N4540" s="10">
        <v>-170.64</v>
      </c>
      <c r="O4540" s="10">
        <v>-173.56800000000001</v>
      </c>
      <c r="P4540" s="10">
        <v>2</v>
      </c>
      <c r="Q4540" s="10">
        <v>2</v>
      </c>
      <c r="R4540" s="10">
        <v>1</v>
      </c>
    </row>
    <row r="4541" spans="1:18" ht="17" customHeight="1" x14ac:dyDescent="0.15">
      <c r="A4541" s="11" t="s">
        <v>24515</v>
      </c>
      <c r="B4541" s="1" t="s">
        <v>24516</v>
      </c>
      <c r="C4541" s="11" t="s">
        <v>24517</v>
      </c>
      <c r="D4541" s="11" t="s">
        <v>24518</v>
      </c>
      <c r="E4541" s="11" t="s">
        <v>24519</v>
      </c>
      <c r="F4541" s="11" t="s">
        <v>24460</v>
      </c>
      <c r="G4541" s="11" t="s">
        <v>24520</v>
      </c>
      <c r="H4541" s="11" t="s">
        <v>24394</v>
      </c>
      <c r="I4541" s="11" t="str">
        <f>HYPERLINK("http://www.orial.it/","www.orial.it")</f>
        <v>www.orial.it</v>
      </c>
      <c r="J4541" s="12">
        <v>115.28700000000001</v>
      </c>
      <c r="K4541" s="12">
        <v>115.28700000000001</v>
      </c>
      <c r="L4541" s="13">
        <v>114.967</v>
      </c>
      <c r="M4541" s="12">
        <v>-8.5399999999999991</v>
      </c>
      <c r="N4541" s="12">
        <v>-8.5399999999999991</v>
      </c>
      <c r="O4541" s="12">
        <v>-15.13</v>
      </c>
      <c r="P4541" s="12">
        <v>2</v>
      </c>
      <c r="Q4541" s="12">
        <v>2</v>
      </c>
      <c r="R4541" s="12">
        <v>2</v>
      </c>
    </row>
    <row r="4542" spans="1:18" ht="43" customHeight="1" x14ac:dyDescent="0.15">
      <c r="A4542" s="8" t="s">
        <v>24521</v>
      </c>
      <c r="B4542" s="9" t="s">
        <v>24522</v>
      </c>
      <c r="C4542" s="8" t="s">
        <v>24523</v>
      </c>
      <c r="D4542" s="8" t="s">
        <v>24523</v>
      </c>
      <c r="E4542" s="8" t="s">
        <v>24524</v>
      </c>
      <c r="F4542" s="8" t="s">
        <v>24364</v>
      </c>
      <c r="G4542" s="8" t="s">
        <v>24424</v>
      </c>
      <c r="H4542" s="8" t="s">
        <v>24425</v>
      </c>
      <c r="I4542" s="8" t="str">
        <f>HYPERLINK("http://www.sposiamocilatina.com/","www.sposiamocilatina.com")</f>
        <v>www.sposiamocilatina.com</v>
      </c>
      <c r="J4542" s="10">
        <v>95.923000000000002</v>
      </c>
      <c r="K4542" s="10">
        <v>95.923000000000002</v>
      </c>
      <c r="L4542" s="10">
        <v>114.643</v>
      </c>
      <c r="M4542" s="10">
        <v>5.41</v>
      </c>
      <c r="N4542" s="10">
        <v>5.41</v>
      </c>
      <c r="O4542" s="10">
        <v>3.2090000000000001</v>
      </c>
      <c r="P4542" s="15" t="s">
        <v>24373</v>
      </c>
      <c r="Q4542" s="15" t="s">
        <v>24373</v>
      </c>
      <c r="R4542" s="10">
        <v>1</v>
      </c>
    </row>
    <row r="4543" spans="1:18" ht="17" customHeight="1" x14ac:dyDescent="0.15">
      <c r="A4543" s="11" t="s">
        <v>24525</v>
      </c>
      <c r="B4543" s="1" t="s">
        <v>24526</v>
      </c>
      <c r="C4543" s="11" t="s">
        <v>24527</v>
      </c>
      <c r="D4543" s="11" t="s">
        <v>24527</v>
      </c>
      <c r="E4543" s="11" t="s">
        <v>24528</v>
      </c>
      <c r="F4543" s="11" t="s">
        <v>24378</v>
      </c>
      <c r="G4543" s="11" t="s">
        <v>24529</v>
      </c>
      <c r="H4543" s="11" t="s">
        <v>24387</v>
      </c>
      <c r="I4543" s="11" t="str">
        <f>HYPERLINK("http://www.euroworld.it/","www.euroworld.it")</f>
        <v>www.euroworld.it</v>
      </c>
      <c r="J4543" s="12">
        <v>218.98</v>
      </c>
      <c r="K4543" s="12">
        <v>218.98</v>
      </c>
      <c r="L4543" s="13">
        <v>113.718</v>
      </c>
      <c r="M4543" s="12">
        <v>28.102</v>
      </c>
      <c r="N4543" s="12">
        <v>28.102</v>
      </c>
      <c r="O4543" s="12">
        <v>3.948</v>
      </c>
      <c r="P4543" s="12">
        <v>1</v>
      </c>
      <c r="Q4543" s="12">
        <v>1</v>
      </c>
      <c r="R4543" s="12">
        <v>2</v>
      </c>
    </row>
    <row r="4544" spans="1:18" ht="29.5" customHeight="1" x14ac:dyDescent="0.15">
      <c r="A4544" s="8" t="s">
        <v>24530</v>
      </c>
      <c r="B4544" s="9" t="s">
        <v>24531</v>
      </c>
      <c r="C4544" s="8" t="s">
        <v>24532</v>
      </c>
      <c r="D4544" s="8" t="s">
        <v>24532</v>
      </c>
      <c r="E4544" s="8" t="s">
        <v>24533</v>
      </c>
      <c r="F4544" s="8" t="s">
        <v>24405</v>
      </c>
      <c r="G4544" s="8" t="s">
        <v>24534</v>
      </c>
      <c r="H4544" s="8" t="s">
        <v>24413</v>
      </c>
      <c r="I4544" s="8" t="str">
        <f>HYPERLINK("http://www.angelonardelli.it/","www.angelonardelli.it")</f>
        <v>www.angelonardelli.it</v>
      </c>
      <c r="J4544" s="10">
        <v>87</v>
      </c>
      <c r="K4544" s="10">
        <v>87</v>
      </c>
      <c r="L4544" s="10">
        <v>113.58</v>
      </c>
      <c r="M4544" s="10">
        <v>-194.60400000000001</v>
      </c>
      <c r="N4544" s="10">
        <v>-194.60400000000001</v>
      </c>
      <c r="O4544" s="10">
        <v>147.125</v>
      </c>
      <c r="P4544" s="15" t="s">
        <v>24373</v>
      </c>
      <c r="Q4544" s="15" t="s">
        <v>24373</v>
      </c>
      <c r="R4544" s="10">
        <v>2</v>
      </c>
    </row>
    <row r="4545" spans="1:18" ht="55.75" customHeight="1" x14ac:dyDescent="0.15">
      <c r="A4545" s="11" t="s">
        <v>24535</v>
      </c>
      <c r="B4545" s="1" t="s">
        <v>24536</v>
      </c>
      <c r="C4545" s="11" t="s">
        <v>24537</v>
      </c>
      <c r="D4545" s="11" t="s">
        <v>24537</v>
      </c>
      <c r="E4545" s="11" t="s">
        <v>24538</v>
      </c>
      <c r="F4545" s="11" t="s">
        <v>24539</v>
      </c>
      <c r="G4545" s="11" t="s">
        <v>24540</v>
      </c>
      <c r="H4545" s="11" t="s">
        <v>24541</v>
      </c>
      <c r="I4545" s="11" t="str">
        <f>HYPERLINK("http://www.litricomoda.com/","www.litricomoda.com")</f>
        <v>www.litricomoda.com</v>
      </c>
      <c r="J4545" s="12">
        <v>167.255</v>
      </c>
      <c r="K4545" s="12">
        <v>339.20299999999997</v>
      </c>
      <c r="L4545" s="13">
        <v>113.008</v>
      </c>
      <c r="M4545" s="12">
        <v>-55.106999999999999</v>
      </c>
      <c r="N4545" s="12">
        <v>25.613</v>
      </c>
      <c r="O4545" s="12">
        <v>-10.499000000000001</v>
      </c>
      <c r="P4545" s="12">
        <v>1</v>
      </c>
      <c r="Q4545" s="12">
        <v>1</v>
      </c>
      <c r="R4545" s="12">
        <v>1</v>
      </c>
    </row>
    <row r="4546" spans="1:18" ht="17" customHeight="1" x14ac:dyDescent="0.15">
      <c r="A4546" s="8" t="s">
        <v>24542</v>
      </c>
      <c r="B4546" s="9" t="s">
        <v>24543</v>
      </c>
      <c r="C4546" s="8" t="s">
        <v>24544</v>
      </c>
      <c r="D4546" s="8" t="s">
        <v>24544</v>
      </c>
      <c r="E4546" s="8" t="s">
        <v>24545</v>
      </c>
      <c r="F4546" s="8" t="s">
        <v>24546</v>
      </c>
      <c r="G4546" s="8" t="s">
        <v>24547</v>
      </c>
      <c r="H4546" s="8" t="s">
        <v>24548</v>
      </c>
      <c r="I4546" s="8" t="str">
        <f>HYPERLINK("http://www.sheractive.it/","www.sheractive.it")</f>
        <v>www.sheractive.it</v>
      </c>
      <c r="J4546" s="10">
        <v>135.28800000000001</v>
      </c>
      <c r="K4546" s="10">
        <v>135.28800000000001</v>
      </c>
      <c r="L4546" s="10">
        <v>113.01300000000001</v>
      </c>
      <c r="M4546" s="10">
        <v>5.6879999999999997</v>
      </c>
      <c r="N4546" s="10">
        <v>5.6879999999999997</v>
      </c>
      <c r="O4546" s="10">
        <v>23.89</v>
      </c>
      <c r="P4546" s="15" t="s">
        <v>24549</v>
      </c>
      <c r="Q4546" s="15" t="s">
        <v>24549</v>
      </c>
      <c r="R4546" s="10">
        <v>0</v>
      </c>
    </row>
    <row r="4547" spans="1:18" ht="17" customHeight="1" x14ac:dyDescent="0.15">
      <c r="A4547" s="11" t="s">
        <v>24550</v>
      </c>
      <c r="B4547" s="1" t="s">
        <v>24551</v>
      </c>
      <c r="C4547" s="11" t="s">
        <v>24552</v>
      </c>
      <c r="D4547" s="11" t="s">
        <v>24553</v>
      </c>
      <c r="E4547" s="11" t="s">
        <v>24554</v>
      </c>
      <c r="F4547" s="11" t="s">
        <v>24555</v>
      </c>
      <c r="G4547" s="11" t="s">
        <v>24556</v>
      </c>
      <c r="H4547" s="11" t="s">
        <v>24557</v>
      </c>
      <c r="I4547" s="11" t="str">
        <f>HYPERLINK("http://www.simons.it/","www.simons.it")</f>
        <v>www.simons.it</v>
      </c>
      <c r="J4547" s="12">
        <v>151.24199999999999</v>
      </c>
      <c r="K4547" s="12">
        <v>151.24199999999999</v>
      </c>
      <c r="L4547" s="13">
        <v>111.922</v>
      </c>
      <c r="M4547" s="12">
        <v>18.414999999999999</v>
      </c>
      <c r="N4547" s="12">
        <v>18.414999999999999</v>
      </c>
      <c r="O4547" s="12">
        <v>4.9800000000000004</v>
      </c>
      <c r="P4547" s="12">
        <v>2</v>
      </c>
      <c r="Q4547" s="12">
        <v>2</v>
      </c>
      <c r="R4547" s="12">
        <v>2</v>
      </c>
    </row>
    <row r="4548" spans="1:18" ht="17" customHeight="1" x14ac:dyDescent="0.15">
      <c r="A4548" s="8" t="s">
        <v>24558</v>
      </c>
      <c r="B4548" s="9" t="s">
        <v>24559</v>
      </c>
      <c r="C4548" s="8" t="s">
        <v>24560</v>
      </c>
      <c r="D4548" s="8" t="s">
        <v>24560</v>
      </c>
      <c r="E4548" s="8" t="s">
        <v>24561</v>
      </c>
      <c r="F4548" s="8" t="s">
        <v>24562</v>
      </c>
      <c r="G4548" s="8" t="s">
        <v>24563</v>
      </c>
      <c r="H4548" s="8" t="s">
        <v>24564</v>
      </c>
      <c r="I4548" s="8" t="str">
        <f>HYPERLINK("http://www.horizonsrl.it/","www.horizonsrl.it")</f>
        <v>www.horizonsrl.it</v>
      </c>
      <c r="J4548" s="10">
        <v>159.50299999999999</v>
      </c>
      <c r="K4548" s="10">
        <v>159.50299999999999</v>
      </c>
      <c r="L4548" s="10">
        <v>111.818</v>
      </c>
      <c r="M4548" s="10">
        <v>-75.691000000000003</v>
      </c>
      <c r="N4548" s="10">
        <v>-75.691000000000003</v>
      </c>
      <c r="O4548" s="10">
        <v>-77.106999999999999</v>
      </c>
      <c r="P4548" s="10">
        <v>2</v>
      </c>
      <c r="Q4548" s="10">
        <v>2</v>
      </c>
      <c r="R4548" s="10">
        <v>2</v>
      </c>
    </row>
    <row r="4549" spans="1:18" ht="17" customHeight="1" x14ac:dyDescent="0.15">
      <c r="A4549" s="11" t="s">
        <v>24565</v>
      </c>
      <c r="B4549" s="1" t="s">
        <v>24566</v>
      </c>
      <c r="C4549" s="11" t="s">
        <v>24567</v>
      </c>
      <c r="D4549" s="11" t="s">
        <v>24567</v>
      </c>
      <c r="E4549" s="11" t="s">
        <v>24568</v>
      </c>
      <c r="F4549" s="11" t="s">
        <v>24569</v>
      </c>
      <c r="G4549" s="11" t="s">
        <v>24570</v>
      </c>
      <c r="H4549" s="11" t="s">
        <v>24571</v>
      </c>
      <c r="I4549" s="11" t="str">
        <f>HYPERLINK("http://orequo.com/","orequo.com")</f>
        <v>orequo.com</v>
      </c>
      <c r="J4549" s="12">
        <v>60.814999999999998</v>
      </c>
      <c r="K4549" s="12">
        <v>60.814999999999998</v>
      </c>
      <c r="L4549" s="13">
        <v>111.571</v>
      </c>
      <c r="M4549" s="12">
        <v>2.0939999999999999</v>
      </c>
      <c r="N4549" s="12">
        <v>2.0939999999999999</v>
      </c>
      <c r="O4549" s="12">
        <v>1.232</v>
      </c>
      <c r="P4549" s="14" t="s">
        <v>24549</v>
      </c>
      <c r="Q4549" s="14" t="s">
        <v>24549</v>
      </c>
      <c r="R4549" s="14" t="s">
        <v>24549</v>
      </c>
    </row>
    <row r="4550" spans="1:18" ht="43" customHeight="1" x14ac:dyDescent="0.15">
      <c r="A4550" s="8" t="s">
        <v>24572</v>
      </c>
      <c r="B4550" s="9" t="s">
        <v>24573</v>
      </c>
      <c r="C4550" s="8" t="s">
        <v>24574</v>
      </c>
      <c r="D4550" s="8" t="s">
        <v>24574</v>
      </c>
      <c r="E4550" s="8" t="s">
        <v>24575</v>
      </c>
      <c r="F4550" s="8" t="s">
        <v>24576</v>
      </c>
      <c r="G4550" s="8" t="s">
        <v>24577</v>
      </c>
      <c r="H4550" s="8" t="s">
        <v>24578</v>
      </c>
      <c r="I4550" s="8" t="str">
        <f>HYPERLINK("http://www.maqicases.com/","www.maqicases.com")</f>
        <v>www.maqicases.com</v>
      </c>
      <c r="J4550" s="10">
        <v>209.81899999999999</v>
      </c>
      <c r="K4550" s="10">
        <v>209.81899999999999</v>
      </c>
      <c r="L4550" s="10">
        <v>111.49299999999999</v>
      </c>
      <c r="M4550" s="10">
        <v>15.81</v>
      </c>
      <c r="N4550" s="10">
        <v>15.81</v>
      </c>
      <c r="O4550" s="10">
        <v>0.48</v>
      </c>
      <c r="P4550" s="10">
        <v>0</v>
      </c>
      <c r="Q4550" s="10">
        <v>0</v>
      </c>
      <c r="R4550" s="10">
        <v>0</v>
      </c>
    </row>
    <row r="4551" spans="1:18" ht="17" customHeight="1" x14ac:dyDescent="0.15">
      <c r="A4551" s="11" t="s">
        <v>24579</v>
      </c>
      <c r="B4551" s="1" t="s">
        <v>24580</v>
      </c>
      <c r="C4551" s="11" t="s">
        <v>24581</v>
      </c>
      <c r="D4551" s="11" t="s">
        <v>24581</v>
      </c>
      <c r="E4551" s="11" t="s">
        <v>24582</v>
      </c>
      <c r="F4551" s="11" t="s">
        <v>24583</v>
      </c>
      <c r="G4551" s="11" t="s">
        <v>24584</v>
      </c>
      <c r="H4551" s="11" t="s">
        <v>24585</v>
      </c>
      <c r="I4551" s="11" t="str">
        <f>HYPERLINK("http://www.gheisa.it/","www.gheisa.it")</f>
        <v>www.gheisa.it</v>
      </c>
      <c r="J4551" s="12">
        <v>123.883</v>
      </c>
      <c r="K4551" s="12">
        <v>123.883</v>
      </c>
      <c r="L4551" s="13">
        <v>111.33199999999999</v>
      </c>
      <c r="M4551" s="12">
        <v>-10.833</v>
      </c>
      <c r="N4551" s="12">
        <v>-10.833</v>
      </c>
      <c r="O4551" s="12">
        <v>-24.141999999999999</v>
      </c>
      <c r="P4551" s="12">
        <v>2</v>
      </c>
      <c r="Q4551" s="12">
        <v>2</v>
      </c>
      <c r="R4551" s="12">
        <v>2</v>
      </c>
    </row>
    <row r="4552" spans="1:18" ht="43" customHeight="1" x14ac:dyDescent="0.15">
      <c r="A4552" s="8" t="s">
        <v>24586</v>
      </c>
      <c r="B4552" s="9" t="s">
        <v>24587</v>
      </c>
      <c r="C4552" s="8" t="s">
        <v>24588</v>
      </c>
      <c r="D4552" s="8" t="s">
        <v>24588</v>
      </c>
      <c r="E4552" s="8" t="s">
        <v>24589</v>
      </c>
      <c r="F4552" s="8" t="s">
        <v>24590</v>
      </c>
      <c r="G4552" s="8" t="s">
        <v>24591</v>
      </c>
      <c r="H4552" s="8" t="s">
        <v>24541</v>
      </c>
      <c r="I4552" s="8" t="str">
        <f>HYPERLINK("http://www.aboutalisa.com/","www.aboutalisa.com")</f>
        <v>www.aboutalisa.com</v>
      </c>
      <c r="J4552" s="10">
        <v>111.096</v>
      </c>
      <c r="K4552" s="15" t="s">
        <v>24549</v>
      </c>
      <c r="L4552" s="10">
        <v>111.096</v>
      </c>
      <c r="M4552" s="10">
        <v>-2.1720000000000002</v>
      </c>
      <c r="N4552" s="15" t="s">
        <v>24549</v>
      </c>
      <c r="O4552" s="10">
        <v>-2.1720000000000002</v>
      </c>
      <c r="P4552" s="15" t="s">
        <v>24549</v>
      </c>
      <c r="Q4552" s="15" t="s">
        <v>24549</v>
      </c>
      <c r="R4552" s="15" t="s">
        <v>24549</v>
      </c>
    </row>
    <row r="4553" spans="1:18" ht="17" customHeight="1" x14ac:dyDescent="0.15">
      <c r="A4553" s="11" t="s">
        <v>24592</v>
      </c>
      <c r="B4553" s="1" t="s">
        <v>24593</v>
      </c>
      <c r="C4553" s="11" t="s">
        <v>24594</v>
      </c>
      <c r="D4553" s="11" t="s">
        <v>24594</v>
      </c>
      <c r="E4553" s="11" t="s">
        <v>24595</v>
      </c>
      <c r="F4553" s="11" t="s">
        <v>24590</v>
      </c>
      <c r="G4553" s="11" t="s">
        <v>24596</v>
      </c>
      <c r="H4553" s="11" t="s">
        <v>24564</v>
      </c>
      <c r="I4553" s="11" t="str">
        <f>HYPERLINK("http://www.atelierdellarobbia.it/","www.atelierdellarobbia.it")</f>
        <v>www.atelierdellarobbia.it</v>
      </c>
      <c r="J4553" s="12">
        <v>103.72199999999999</v>
      </c>
      <c r="K4553" s="12">
        <v>103.72199999999999</v>
      </c>
      <c r="L4553" s="13">
        <v>110.262</v>
      </c>
      <c r="M4553" s="12">
        <v>1.0549999999999999</v>
      </c>
      <c r="N4553" s="12">
        <v>1.0549999999999999</v>
      </c>
      <c r="O4553" s="12">
        <v>-7</v>
      </c>
      <c r="P4553" s="12">
        <v>0</v>
      </c>
      <c r="Q4553" s="12">
        <v>0</v>
      </c>
      <c r="R4553" s="12">
        <v>0</v>
      </c>
    </row>
    <row r="4554" spans="1:18" ht="43" customHeight="1" x14ac:dyDescent="0.15">
      <c r="A4554" s="8" t="s">
        <v>24597</v>
      </c>
      <c r="B4554" s="9" t="s">
        <v>24598</v>
      </c>
      <c r="C4554" s="8" t="s">
        <v>24599</v>
      </c>
      <c r="D4554" s="8" t="s">
        <v>24599</v>
      </c>
      <c r="E4554" s="8" t="s">
        <v>24600</v>
      </c>
      <c r="F4554" s="8" t="s">
        <v>24601</v>
      </c>
      <c r="G4554" s="8" t="s">
        <v>24602</v>
      </c>
      <c r="H4554" s="8" t="s">
        <v>24603</v>
      </c>
      <c r="I4554" s="8" t="str">
        <f>HYPERLINK("http://www.mywayinnovation.it/","www.mywayinnovation.it")</f>
        <v>www.mywayinnovation.it</v>
      </c>
      <c r="J4554" s="10">
        <v>630.12</v>
      </c>
      <c r="K4554" s="10">
        <v>350.64800000000002</v>
      </c>
      <c r="L4554" s="10">
        <v>109.982</v>
      </c>
      <c r="M4554" s="10">
        <v>11.939</v>
      </c>
      <c r="N4554" s="10">
        <v>12.103999999999999</v>
      </c>
      <c r="O4554" s="10">
        <v>3.2450000000000001</v>
      </c>
      <c r="P4554" s="10">
        <v>3</v>
      </c>
      <c r="Q4554" s="15" t="s">
        <v>24549</v>
      </c>
      <c r="R4554" s="10">
        <v>0</v>
      </c>
    </row>
    <row r="4555" spans="1:18" ht="29.5" customHeight="1" x14ac:dyDescent="0.15">
      <c r="A4555" s="11" t="s">
        <v>24604</v>
      </c>
      <c r="B4555" s="1" t="s">
        <v>24605</v>
      </c>
      <c r="C4555" s="11" t="s">
        <v>24606</v>
      </c>
      <c r="D4555" s="11" t="s">
        <v>24606</v>
      </c>
      <c r="E4555" s="11" t="s">
        <v>24607</v>
      </c>
      <c r="F4555" s="11" t="s">
        <v>24539</v>
      </c>
      <c r="G4555" s="11" t="s">
        <v>24608</v>
      </c>
      <c r="H4555" s="11" t="s">
        <v>24609</v>
      </c>
      <c r="I4555" s="11" t="str">
        <f>HYPERLINK("http://www.gentilecatone.com/","www.gentilecatone.com")</f>
        <v>www.gentilecatone.com</v>
      </c>
      <c r="J4555" s="12">
        <v>76.762</v>
      </c>
      <c r="K4555" s="12">
        <v>76.762</v>
      </c>
      <c r="L4555" s="13">
        <v>108.88</v>
      </c>
      <c r="M4555" s="12">
        <v>0.374</v>
      </c>
      <c r="N4555" s="12">
        <v>0.374</v>
      </c>
      <c r="O4555" s="12">
        <v>1.147</v>
      </c>
      <c r="P4555" s="12">
        <v>0</v>
      </c>
      <c r="Q4555" s="12">
        <v>0</v>
      </c>
      <c r="R4555" s="12">
        <v>0</v>
      </c>
    </row>
    <row r="4556" spans="1:18" ht="43" customHeight="1" x14ac:dyDescent="0.15">
      <c r="A4556" s="8" t="s">
        <v>24610</v>
      </c>
      <c r="B4556" s="9" t="s">
        <v>24611</v>
      </c>
      <c r="C4556" s="8" t="s">
        <v>24612</v>
      </c>
      <c r="D4556" s="8" t="s">
        <v>24612</v>
      </c>
      <c r="E4556" s="8" t="s">
        <v>24613</v>
      </c>
      <c r="F4556" s="8" t="s">
        <v>24562</v>
      </c>
      <c r="G4556" s="8" t="s">
        <v>24614</v>
      </c>
      <c r="H4556" s="8" t="s">
        <v>24603</v>
      </c>
      <c r="I4556" s="8" t="str">
        <f>HYPERLINK("http://www.luxbrand.it/","www.luxbrand.it")</f>
        <v>www.luxbrand.it</v>
      </c>
      <c r="J4556" s="10">
        <v>226.95</v>
      </c>
      <c r="K4556" s="10">
        <v>226.95</v>
      </c>
      <c r="L4556" s="10">
        <v>108.68600000000001</v>
      </c>
      <c r="M4556" s="10">
        <v>16.614999999999998</v>
      </c>
      <c r="N4556" s="10">
        <v>16.614999999999998</v>
      </c>
      <c r="O4556" s="10">
        <v>17.303999999999998</v>
      </c>
      <c r="P4556" s="10">
        <v>0</v>
      </c>
      <c r="Q4556" s="10">
        <v>0</v>
      </c>
      <c r="R4556" s="10">
        <v>0</v>
      </c>
    </row>
    <row r="4557" spans="1:18" ht="17" customHeight="1" x14ac:dyDescent="0.15">
      <c r="A4557" s="11" t="s">
        <v>24615</v>
      </c>
      <c r="B4557" s="1" t="s">
        <v>24616</v>
      </c>
      <c r="C4557" s="11" t="s">
        <v>24617</v>
      </c>
      <c r="D4557" s="11" t="s">
        <v>24617</v>
      </c>
      <c r="E4557" s="11" t="s">
        <v>24618</v>
      </c>
      <c r="F4557" s="11" t="s">
        <v>24555</v>
      </c>
      <c r="G4557" s="11" t="s">
        <v>24619</v>
      </c>
      <c r="H4557" s="11" t="s">
        <v>24571</v>
      </c>
      <c r="I4557" s="11" t="str">
        <f>HYPERLINK("http://www.xsmilano.it/","www.xsmilano.it")</f>
        <v>www.xsmilano.it</v>
      </c>
      <c r="J4557" s="12">
        <v>94.35</v>
      </c>
      <c r="K4557" s="12">
        <v>94.35</v>
      </c>
      <c r="L4557" s="13">
        <v>108.273</v>
      </c>
      <c r="M4557" s="12">
        <v>1.363</v>
      </c>
      <c r="N4557" s="12">
        <v>1.363</v>
      </c>
      <c r="O4557" s="12">
        <v>0.755</v>
      </c>
      <c r="P4557" s="12">
        <v>1</v>
      </c>
      <c r="Q4557" s="12">
        <v>1</v>
      </c>
      <c r="R4557" s="12">
        <v>1</v>
      </c>
    </row>
    <row r="4558" spans="1:18" ht="43" customHeight="1" x14ac:dyDescent="0.15">
      <c r="A4558" s="8" t="s">
        <v>24620</v>
      </c>
      <c r="B4558" s="9" t="s">
        <v>24621</v>
      </c>
      <c r="C4558" s="8" t="s">
        <v>24622</v>
      </c>
      <c r="D4558" s="8" t="s">
        <v>24622</v>
      </c>
      <c r="E4558" s="8" t="s">
        <v>24623</v>
      </c>
      <c r="F4558" s="8" t="s">
        <v>24569</v>
      </c>
      <c r="G4558" s="8" t="s">
        <v>24624</v>
      </c>
      <c r="H4558" s="8" t="s">
        <v>24603</v>
      </c>
      <c r="I4558" s="8" t="str">
        <f>HYPERLINK("http://www.gloves.it/","www.gloves.it")</f>
        <v>www.gloves.it</v>
      </c>
      <c r="J4558" s="10">
        <v>89.239000000000004</v>
      </c>
      <c r="K4558" s="10">
        <v>89.239000000000004</v>
      </c>
      <c r="L4558" s="10">
        <v>108.346</v>
      </c>
      <c r="M4558" s="10">
        <v>1.6819999999999999</v>
      </c>
      <c r="N4558" s="10">
        <v>1.6819999999999999</v>
      </c>
      <c r="O4558" s="10">
        <v>-28.087</v>
      </c>
      <c r="P4558" s="10">
        <v>0</v>
      </c>
      <c r="Q4558" s="10">
        <v>0</v>
      </c>
      <c r="R4558" s="10">
        <v>0</v>
      </c>
    </row>
    <row r="4559" spans="1:18" ht="17" customHeight="1" x14ac:dyDescent="0.15">
      <c r="A4559" s="11" t="s">
        <v>24625</v>
      </c>
      <c r="B4559" s="1" t="s">
        <v>24626</v>
      </c>
      <c r="C4559" s="11" t="s">
        <v>24627</v>
      </c>
      <c r="D4559" s="11" t="s">
        <v>24627</v>
      </c>
      <c r="E4559" s="11" t="s">
        <v>24628</v>
      </c>
      <c r="F4559" s="11" t="s">
        <v>24601</v>
      </c>
      <c r="G4559" s="11" t="s">
        <v>24629</v>
      </c>
      <c r="H4559" s="11" t="s">
        <v>24557</v>
      </c>
      <c r="I4559" s="11" t="str">
        <f>HYPERLINK("http://www.emmegiitalia.it/","www.emmegiitalia.it")</f>
        <v>www.emmegiitalia.it</v>
      </c>
      <c r="J4559" s="12">
        <v>234.45500000000001</v>
      </c>
      <c r="K4559" s="12">
        <v>234.45500000000001</v>
      </c>
      <c r="L4559" s="13">
        <v>107.887</v>
      </c>
      <c r="M4559" s="12">
        <v>0.47799999999999998</v>
      </c>
      <c r="N4559" s="12">
        <v>0.47799999999999998</v>
      </c>
      <c r="O4559" s="12">
        <v>1.306</v>
      </c>
      <c r="P4559" s="12">
        <v>0</v>
      </c>
      <c r="Q4559" s="12">
        <v>0</v>
      </c>
      <c r="R4559" s="12">
        <v>0</v>
      </c>
    </row>
    <row r="4560" spans="1:18" ht="43" customHeight="1" x14ac:dyDescent="0.15">
      <c r="A4560" s="8" t="s">
        <v>24630</v>
      </c>
      <c r="B4560" s="9" t="s">
        <v>24631</v>
      </c>
      <c r="C4560" s="8" t="s">
        <v>24632</v>
      </c>
      <c r="D4560" s="8" t="s">
        <v>24632</v>
      </c>
      <c r="E4560" s="8" t="s">
        <v>24633</v>
      </c>
      <c r="F4560" s="8" t="s">
        <v>24569</v>
      </c>
      <c r="G4560" s="8" t="s">
        <v>24634</v>
      </c>
      <c r="H4560" s="8" t="s">
        <v>24603</v>
      </c>
      <c r="I4560" s="8" t="str">
        <f>HYPERLINK("http://www.dmcompany.it/","www.dmcompany.it")</f>
        <v>www.dmcompany.it</v>
      </c>
      <c r="J4560" s="10">
        <v>130.01499999999999</v>
      </c>
      <c r="K4560" s="10">
        <v>130.01499999999999</v>
      </c>
      <c r="L4560" s="10">
        <v>107.67700000000001</v>
      </c>
      <c r="M4560" s="10">
        <v>9.2560000000000002</v>
      </c>
      <c r="N4560" s="10">
        <v>9.2560000000000002</v>
      </c>
      <c r="O4560" s="10">
        <v>6.242</v>
      </c>
      <c r="P4560" s="10">
        <v>2</v>
      </c>
      <c r="Q4560" s="10">
        <v>2</v>
      </c>
      <c r="R4560" s="10">
        <v>1</v>
      </c>
    </row>
    <row r="4561" spans="1:18" ht="17" customHeight="1" x14ac:dyDescent="0.15">
      <c r="A4561" s="11" t="s">
        <v>24635</v>
      </c>
      <c r="B4561" s="1" t="s">
        <v>24636</v>
      </c>
      <c r="C4561" s="11" t="s">
        <v>24637</v>
      </c>
      <c r="D4561" s="11" t="s">
        <v>24637</v>
      </c>
      <c r="E4561" s="11" t="s">
        <v>24638</v>
      </c>
      <c r="F4561" s="11" t="s">
        <v>24639</v>
      </c>
      <c r="G4561" s="11" t="s">
        <v>24640</v>
      </c>
      <c r="H4561" s="11" t="s">
        <v>24571</v>
      </c>
      <c r="I4561" s="11" t="str">
        <f>HYPERLINK("http://www.lab78.it/","www.lab78.it")</f>
        <v>www.lab78.it</v>
      </c>
      <c r="J4561" s="12">
        <v>112.426</v>
      </c>
      <c r="K4561" s="12">
        <v>112.426</v>
      </c>
      <c r="L4561" s="13">
        <v>107.51300000000001</v>
      </c>
      <c r="M4561" s="12">
        <v>4.7629999999999999</v>
      </c>
      <c r="N4561" s="12">
        <v>4.7629999999999999</v>
      </c>
      <c r="O4561" s="12">
        <v>1.9390000000000001</v>
      </c>
      <c r="P4561" s="12">
        <v>0</v>
      </c>
      <c r="Q4561" s="12">
        <v>0</v>
      </c>
      <c r="R4561" s="12">
        <v>0</v>
      </c>
    </row>
    <row r="4562" spans="1:18" ht="29.5" customHeight="1" x14ac:dyDescent="0.15">
      <c r="A4562" s="8" t="s">
        <v>24641</v>
      </c>
      <c r="B4562" s="9" t="s">
        <v>24642</v>
      </c>
      <c r="C4562" s="8" t="s">
        <v>24643</v>
      </c>
      <c r="D4562" s="8" t="s">
        <v>24643</v>
      </c>
      <c r="E4562" s="8" t="s">
        <v>24644</v>
      </c>
      <c r="F4562" s="8" t="s">
        <v>24583</v>
      </c>
      <c r="G4562" s="8" t="s">
        <v>24540</v>
      </c>
      <c r="H4562" s="8" t="s">
        <v>24541</v>
      </c>
      <c r="I4562" s="8" t="str">
        <f>HYPERLINK("http://www.sumisuraroma.com/","www.sumisuraroma.com")</f>
        <v>www.sumisuraroma.com</v>
      </c>
      <c r="J4562" s="10">
        <v>100.3</v>
      </c>
      <c r="K4562" s="10">
        <v>100.3</v>
      </c>
      <c r="L4562" s="10">
        <v>107.5</v>
      </c>
      <c r="M4562" s="10">
        <v>1.264</v>
      </c>
      <c r="N4562" s="10">
        <v>1.264</v>
      </c>
      <c r="O4562" s="10">
        <v>3.306</v>
      </c>
      <c r="P4562" s="10">
        <v>1</v>
      </c>
      <c r="Q4562" s="10">
        <v>1</v>
      </c>
      <c r="R4562" s="10">
        <v>1</v>
      </c>
    </row>
    <row r="4563" spans="1:18" ht="17" customHeight="1" x14ac:dyDescent="0.15">
      <c r="A4563" s="11" t="s">
        <v>24645</v>
      </c>
      <c r="B4563" s="1" t="s">
        <v>24646</v>
      </c>
      <c r="C4563" s="11" t="s">
        <v>24647</v>
      </c>
      <c r="D4563" s="11" t="s">
        <v>24647</v>
      </c>
      <c r="E4563" s="11" t="s">
        <v>24648</v>
      </c>
      <c r="F4563" s="11" t="s">
        <v>24555</v>
      </c>
      <c r="G4563" s="11" t="s">
        <v>24649</v>
      </c>
      <c r="H4563" s="11" t="s">
        <v>24564</v>
      </c>
      <c r="I4563" s="11" t="str">
        <f>HYPERLINK("http://www.lofoio.com/","www.lofoio.com")</f>
        <v>www.lofoio.com</v>
      </c>
      <c r="J4563" s="12">
        <v>142.59899999999999</v>
      </c>
      <c r="K4563" s="12">
        <v>142.59899999999999</v>
      </c>
      <c r="L4563" s="13">
        <v>107.346</v>
      </c>
      <c r="M4563" s="12">
        <v>14.025</v>
      </c>
      <c r="N4563" s="12">
        <v>14.025</v>
      </c>
      <c r="O4563" s="12">
        <v>8.2889999999999997</v>
      </c>
      <c r="P4563" s="12">
        <v>2</v>
      </c>
      <c r="Q4563" s="12">
        <v>2</v>
      </c>
      <c r="R4563" s="12">
        <v>2</v>
      </c>
    </row>
    <row r="4564" spans="1:18" ht="43" customHeight="1" x14ac:dyDescent="0.15">
      <c r="A4564" s="8" t="s">
        <v>24650</v>
      </c>
      <c r="B4564" s="9" t="s">
        <v>24651</v>
      </c>
      <c r="C4564" s="8" t="s">
        <v>24652</v>
      </c>
      <c r="D4564" s="8" t="s">
        <v>24652</v>
      </c>
      <c r="E4564" s="8" t="s">
        <v>24653</v>
      </c>
      <c r="F4564" s="8" t="s">
        <v>24576</v>
      </c>
      <c r="G4564" s="8" t="s">
        <v>24654</v>
      </c>
      <c r="H4564" s="8" t="s">
        <v>24564</v>
      </c>
      <c r="I4564" s="8" t="str">
        <f>HYPERLINK("http://www.aloscafe.com/","www.aloscafe.com")</f>
        <v>www.aloscafe.com</v>
      </c>
      <c r="J4564" s="10">
        <v>88.358999999999995</v>
      </c>
      <c r="K4564" s="10">
        <v>88.358999999999995</v>
      </c>
      <c r="L4564" s="10">
        <v>106.819</v>
      </c>
      <c r="M4564" s="10">
        <v>0.4</v>
      </c>
      <c r="N4564" s="10">
        <v>0.4</v>
      </c>
      <c r="O4564" s="10">
        <v>2.641</v>
      </c>
      <c r="P4564" s="10">
        <v>2</v>
      </c>
      <c r="Q4564" s="10">
        <v>2</v>
      </c>
      <c r="R4564" s="10">
        <v>2</v>
      </c>
    </row>
    <row r="4565" spans="1:18" ht="17" customHeight="1" x14ac:dyDescent="0.15">
      <c r="A4565" s="11" t="s">
        <v>24655</v>
      </c>
      <c r="B4565" s="1" t="s">
        <v>24656</v>
      </c>
      <c r="C4565" s="11" t="s">
        <v>24657</v>
      </c>
      <c r="D4565" s="11" t="s">
        <v>24657</v>
      </c>
      <c r="E4565" s="11" t="s">
        <v>24658</v>
      </c>
      <c r="F4565" s="11" t="s">
        <v>24539</v>
      </c>
      <c r="G4565" s="11" t="s">
        <v>24659</v>
      </c>
      <c r="H4565" s="11" t="s">
        <v>24585</v>
      </c>
      <c r="I4565" s="11" t="str">
        <f>HYPERLINK("http://www.pastore.it/","www.pastore.it")</f>
        <v>www.pastore.it</v>
      </c>
      <c r="J4565" s="12">
        <v>111.258</v>
      </c>
      <c r="K4565" s="12">
        <v>111.258</v>
      </c>
      <c r="L4565" s="13">
        <v>105.452</v>
      </c>
      <c r="M4565" s="12">
        <v>-1.4339999999999999</v>
      </c>
      <c r="N4565" s="12">
        <v>-1.4339999999999999</v>
      </c>
      <c r="O4565" s="12">
        <v>-6.6219999999999999</v>
      </c>
      <c r="P4565" s="12">
        <v>0</v>
      </c>
      <c r="Q4565" s="12">
        <v>0</v>
      </c>
      <c r="R4565" s="12">
        <v>0</v>
      </c>
    </row>
    <row r="4566" spans="1:18" ht="17" customHeight="1" x14ac:dyDescent="0.15">
      <c r="A4566" s="8" t="s">
        <v>24660</v>
      </c>
      <c r="B4566" s="9" t="s">
        <v>24661</v>
      </c>
      <c r="C4566" s="8" t="s">
        <v>24662</v>
      </c>
      <c r="D4566" s="8" t="s">
        <v>24662</v>
      </c>
      <c r="E4566" s="8" t="s">
        <v>24663</v>
      </c>
      <c r="F4566" s="8" t="s">
        <v>24539</v>
      </c>
      <c r="G4566" s="8" t="s">
        <v>24664</v>
      </c>
      <c r="H4566" s="8" t="s">
        <v>24564</v>
      </c>
      <c r="I4566" s="8" t="str">
        <f>HYPERLINK("http://centogrammi.com/","centogrammi.com")</f>
        <v>centogrammi.com</v>
      </c>
      <c r="J4566" s="10">
        <v>38.515000000000001</v>
      </c>
      <c r="K4566" s="10">
        <v>38.515000000000001</v>
      </c>
      <c r="L4566" s="10">
        <v>105.223</v>
      </c>
      <c r="M4566" s="10">
        <v>-46.631999999999998</v>
      </c>
      <c r="N4566" s="10">
        <v>-46.631999999999998</v>
      </c>
      <c r="O4566" s="10">
        <v>-84.634</v>
      </c>
      <c r="P4566" s="10">
        <v>0</v>
      </c>
      <c r="Q4566" s="10">
        <v>0</v>
      </c>
      <c r="R4566" s="10">
        <v>0</v>
      </c>
    </row>
    <row r="4567" spans="1:18" ht="29.5" customHeight="1" x14ac:dyDescent="0.15">
      <c r="A4567" s="11" t="s">
        <v>24665</v>
      </c>
      <c r="B4567" s="1" t="s">
        <v>24666</v>
      </c>
      <c r="C4567" s="11" t="s">
        <v>24667</v>
      </c>
      <c r="D4567" s="11" t="s">
        <v>24667</v>
      </c>
      <c r="E4567" s="11" t="s">
        <v>24668</v>
      </c>
      <c r="F4567" s="11" t="s">
        <v>24639</v>
      </c>
      <c r="G4567" s="11" t="s">
        <v>24669</v>
      </c>
      <c r="H4567" s="11" t="s">
        <v>24557</v>
      </c>
      <c r="I4567" s="11" t="str">
        <f>HYPERLINK("http://www.cftcashmere.it/","www.cftcashmere.it")</f>
        <v>www.cftcashmere.it</v>
      </c>
      <c r="J4567" s="12">
        <v>0</v>
      </c>
      <c r="K4567" s="12">
        <v>0</v>
      </c>
      <c r="L4567" s="13">
        <v>104.9</v>
      </c>
      <c r="M4567" s="12">
        <v>-1.3939999999999999</v>
      </c>
      <c r="N4567" s="12">
        <v>-1.3939999999999999</v>
      </c>
      <c r="O4567" s="12">
        <v>-89.465000000000003</v>
      </c>
      <c r="P4567" s="12">
        <v>0</v>
      </c>
      <c r="Q4567" s="12">
        <v>0</v>
      </c>
      <c r="R4567" s="12">
        <v>0</v>
      </c>
    </row>
    <row r="4568" spans="1:18" ht="17" customHeight="1" x14ac:dyDescent="0.15">
      <c r="A4568" s="8" t="s">
        <v>24670</v>
      </c>
      <c r="B4568" s="9" t="s">
        <v>24671</v>
      </c>
      <c r="C4568" s="8" t="s">
        <v>24672</v>
      </c>
      <c r="D4568" s="8" t="s">
        <v>24672</v>
      </c>
      <c r="E4568" s="8" t="s">
        <v>24673</v>
      </c>
      <c r="F4568" s="8" t="s">
        <v>24539</v>
      </c>
      <c r="G4568" s="8" t="s">
        <v>24624</v>
      </c>
      <c r="H4568" s="8" t="s">
        <v>24603</v>
      </c>
      <c r="I4568" s="8" t="str">
        <f>HYPERLINK("http://kellecapri.com/","kellecapri.com")</f>
        <v>kellecapri.com</v>
      </c>
      <c r="J4568" s="10">
        <v>105.96299999999999</v>
      </c>
      <c r="K4568" s="10">
        <v>105.96299999999999</v>
      </c>
      <c r="L4568" s="10">
        <v>104.568</v>
      </c>
      <c r="M4568" s="10">
        <v>4.7889999999999997</v>
      </c>
      <c r="N4568" s="10">
        <v>4.7889999999999997</v>
      </c>
      <c r="O4568" s="10">
        <v>29.420999999999999</v>
      </c>
      <c r="P4568" s="10">
        <v>1</v>
      </c>
      <c r="Q4568" s="10">
        <v>1</v>
      </c>
      <c r="R4568" s="10">
        <v>1</v>
      </c>
    </row>
    <row r="4569" spans="1:18" ht="17" customHeight="1" x14ac:dyDescent="0.15">
      <c r="A4569" s="11" t="s">
        <v>24674</v>
      </c>
      <c r="B4569" s="1" t="s">
        <v>24675</v>
      </c>
      <c r="C4569" s="11" t="s">
        <v>24676</v>
      </c>
      <c r="D4569" s="11" t="s">
        <v>24676</v>
      </c>
      <c r="E4569" s="11" t="s">
        <v>24677</v>
      </c>
      <c r="F4569" s="11" t="s">
        <v>24569</v>
      </c>
      <c r="G4569" s="11" t="s">
        <v>24678</v>
      </c>
      <c r="H4569" s="11" t="s">
        <v>24679</v>
      </c>
      <c r="I4569" s="11" t="str">
        <f>HYPERLINK("http://paulmeccanico.com/","paulmeccanico.com")</f>
        <v>paulmeccanico.com</v>
      </c>
      <c r="J4569" s="12">
        <v>104.47199999999999</v>
      </c>
      <c r="K4569" s="14" t="s">
        <v>24549</v>
      </c>
      <c r="L4569" s="13">
        <v>104.47199999999999</v>
      </c>
      <c r="M4569" s="12">
        <v>-10.541</v>
      </c>
      <c r="N4569" s="14" t="s">
        <v>24549</v>
      </c>
      <c r="O4569" s="12">
        <v>-10.541</v>
      </c>
      <c r="P4569" s="12">
        <v>2</v>
      </c>
      <c r="Q4569" s="14" t="s">
        <v>24549</v>
      </c>
      <c r="R4569" s="12">
        <v>2</v>
      </c>
    </row>
    <row r="4570" spans="1:18" ht="17" customHeight="1" x14ac:dyDescent="0.15">
      <c r="A4570" s="8" t="s">
        <v>24680</v>
      </c>
      <c r="B4570" s="9" t="s">
        <v>24681</v>
      </c>
      <c r="C4570" s="8" t="s">
        <v>24682</v>
      </c>
      <c r="D4570" s="8" t="s">
        <v>24682</v>
      </c>
      <c r="E4570" s="8" t="s">
        <v>24683</v>
      </c>
      <c r="F4570" s="8" t="s">
        <v>24601</v>
      </c>
      <c r="G4570" s="8" t="s">
        <v>24684</v>
      </c>
      <c r="H4570" s="8" t="s">
        <v>24685</v>
      </c>
      <c r="I4570" s="8" t="str">
        <f>HYPERLINK("http://paolazuin.com/","paolazuin.com")</f>
        <v>paolazuin.com</v>
      </c>
      <c r="J4570" s="10">
        <v>182.262</v>
      </c>
      <c r="K4570" s="10">
        <v>182.262</v>
      </c>
      <c r="L4570" s="10">
        <v>104.175</v>
      </c>
      <c r="M4570" s="10">
        <v>1.518</v>
      </c>
      <c r="N4570" s="10">
        <v>1.518</v>
      </c>
      <c r="O4570" s="10">
        <v>2.9000000000000001E-2</v>
      </c>
      <c r="P4570" s="10">
        <v>1</v>
      </c>
      <c r="Q4570" s="10">
        <v>1</v>
      </c>
      <c r="R4570" s="10">
        <v>1</v>
      </c>
    </row>
    <row r="4571" spans="1:18" ht="17" customHeight="1" x14ac:dyDescent="0.15">
      <c r="A4571" s="11" t="s">
        <v>24686</v>
      </c>
      <c r="B4571" s="1" t="s">
        <v>24687</v>
      </c>
      <c r="C4571" s="11" t="s">
        <v>24688</v>
      </c>
      <c r="D4571" s="11" t="s">
        <v>24688</v>
      </c>
      <c r="E4571" s="11" t="s">
        <v>24689</v>
      </c>
      <c r="F4571" s="11" t="s">
        <v>24601</v>
      </c>
      <c r="G4571" s="11" t="s">
        <v>24690</v>
      </c>
      <c r="H4571" s="11" t="s">
        <v>24564</v>
      </c>
      <c r="I4571" s="11" t="str">
        <f>HYPERLINK("http://www.antonellasrl.it/","www.antonellasrl.it")</f>
        <v>www.antonellasrl.it</v>
      </c>
      <c r="J4571" s="12">
        <v>174.185</v>
      </c>
      <c r="K4571" s="12">
        <v>174.185</v>
      </c>
      <c r="L4571" s="13">
        <v>103.901</v>
      </c>
      <c r="M4571" s="12">
        <v>1.2170000000000001</v>
      </c>
      <c r="N4571" s="12">
        <v>1.2170000000000001</v>
      </c>
      <c r="O4571" s="12">
        <v>-28.402000000000001</v>
      </c>
      <c r="P4571" s="14" t="s">
        <v>24549</v>
      </c>
      <c r="Q4571" s="14" t="s">
        <v>24549</v>
      </c>
      <c r="R4571" s="12">
        <v>1</v>
      </c>
    </row>
    <row r="4572" spans="1:18" ht="17" customHeight="1" x14ac:dyDescent="0.15">
      <c r="A4572" s="8" t="s">
        <v>24691</v>
      </c>
      <c r="B4572" s="9" t="s">
        <v>24692</v>
      </c>
      <c r="C4572" s="8" t="s">
        <v>24693</v>
      </c>
      <c r="D4572" s="8" t="s">
        <v>24693</v>
      </c>
      <c r="E4572" s="8" t="s">
        <v>24694</v>
      </c>
      <c r="F4572" s="8" t="s">
        <v>24590</v>
      </c>
      <c r="G4572" s="8" t="s">
        <v>24669</v>
      </c>
      <c r="H4572" s="8" t="s">
        <v>24557</v>
      </c>
      <c r="I4572" s="8" t="str">
        <f>HYPERLINK("http://www.lobosco.com/","www.lobosco.com")</f>
        <v>www.lobosco.com</v>
      </c>
      <c r="J4572" s="10">
        <v>152.07400000000001</v>
      </c>
      <c r="K4572" s="10">
        <v>152.07400000000001</v>
      </c>
      <c r="L4572" s="10">
        <v>103.248</v>
      </c>
      <c r="M4572" s="10">
        <v>-23.867999999999999</v>
      </c>
      <c r="N4572" s="10">
        <v>-23.867999999999999</v>
      </c>
      <c r="O4572" s="10">
        <v>-123.946</v>
      </c>
      <c r="P4572" s="10">
        <v>1</v>
      </c>
      <c r="Q4572" s="10">
        <v>1</v>
      </c>
      <c r="R4572" s="10">
        <v>1</v>
      </c>
    </row>
    <row r="4573" spans="1:18" ht="17" customHeight="1" x14ac:dyDescent="0.15">
      <c r="A4573" s="11" t="s">
        <v>24695</v>
      </c>
      <c r="B4573" s="1" t="s">
        <v>24696</v>
      </c>
      <c r="C4573" s="11" t="s">
        <v>24697</v>
      </c>
      <c r="D4573" s="11" t="s">
        <v>24697</v>
      </c>
      <c r="E4573" s="11" t="s">
        <v>24698</v>
      </c>
      <c r="F4573" s="11" t="s">
        <v>24539</v>
      </c>
      <c r="G4573" s="11" t="s">
        <v>24699</v>
      </c>
      <c r="H4573" s="11" t="s">
        <v>24557</v>
      </c>
      <c r="I4573" s="11" t="str">
        <f>HYPERLINK("http://www.poloovest.it/","www.poloovest.it")</f>
        <v>www.poloovest.it</v>
      </c>
      <c r="J4573" s="12">
        <v>55.838000000000001</v>
      </c>
      <c r="K4573" s="12">
        <v>55.838000000000001</v>
      </c>
      <c r="L4573" s="13">
        <v>102.98399999999999</v>
      </c>
      <c r="M4573" s="12">
        <v>-2.2589999999999999</v>
      </c>
      <c r="N4573" s="12">
        <v>-2.2589999999999999</v>
      </c>
      <c r="O4573" s="12">
        <v>3.7320000000000002</v>
      </c>
      <c r="P4573" s="14" t="s">
        <v>24549</v>
      </c>
      <c r="Q4573" s="14" t="s">
        <v>24549</v>
      </c>
      <c r="R4573" s="12">
        <v>2</v>
      </c>
    </row>
    <row r="4574" spans="1:18" ht="29.5" customHeight="1" x14ac:dyDescent="0.15">
      <c r="A4574" s="8" t="s">
        <v>24700</v>
      </c>
      <c r="B4574" s="9" t="s">
        <v>24701</v>
      </c>
      <c r="C4574" s="8" t="s">
        <v>24702</v>
      </c>
      <c r="D4574" s="8" t="s">
        <v>24702</v>
      </c>
      <c r="E4574" s="8" t="s">
        <v>24703</v>
      </c>
      <c r="F4574" s="8" t="s">
        <v>24569</v>
      </c>
      <c r="G4574" s="8" t="s">
        <v>24704</v>
      </c>
      <c r="H4574" s="8" t="s">
        <v>24705</v>
      </c>
      <c r="I4574" s="8" t="str">
        <f>HYPERLINK("http://www.stvalentinebomboniere.com/","www.stvalentinebomboniere.com")</f>
        <v>www.stvalentinebomboniere.com</v>
      </c>
      <c r="J4574" s="10">
        <v>80.748999999999995</v>
      </c>
      <c r="K4574" s="10">
        <v>80.748999999999995</v>
      </c>
      <c r="L4574" s="10">
        <v>102.88</v>
      </c>
      <c r="M4574" s="10">
        <v>-9.0169999999999995</v>
      </c>
      <c r="N4574" s="10">
        <v>-9.0169999999999995</v>
      </c>
      <c r="O4574" s="10">
        <v>-4.9530000000000003</v>
      </c>
      <c r="P4574" s="10">
        <v>2</v>
      </c>
      <c r="Q4574" s="10">
        <v>2</v>
      </c>
      <c r="R4574" s="10">
        <v>2</v>
      </c>
    </row>
    <row r="4575" spans="1:18" ht="17" customHeight="1" x14ac:dyDescent="0.15">
      <c r="A4575" s="11" t="s">
        <v>24706</v>
      </c>
      <c r="B4575" s="1" t="s">
        <v>24707</v>
      </c>
      <c r="C4575" s="11" t="s">
        <v>24708</v>
      </c>
      <c r="D4575" s="11" t="s">
        <v>24709</v>
      </c>
      <c r="E4575" s="11" t="s">
        <v>24710</v>
      </c>
      <c r="F4575" s="11" t="s">
        <v>24583</v>
      </c>
      <c r="G4575" s="11" t="s">
        <v>24570</v>
      </c>
      <c r="H4575" s="11" t="s">
        <v>24571</v>
      </c>
      <c r="I4575" s="11" t="str">
        <f>HYPERLINK("http://en.exilia.it/","en.exilia.it")</f>
        <v>en.exilia.it</v>
      </c>
      <c r="J4575" s="12">
        <v>377.49799999999999</v>
      </c>
      <c r="K4575" s="12">
        <v>377.49799999999999</v>
      </c>
      <c r="L4575" s="13">
        <v>102.795</v>
      </c>
      <c r="M4575" s="12">
        <v>-513.37599999999998</v>
      </c>
      <c r="N4575" s="12">
        <v>-513.37599999999998</v>
      </c>
      <c r="O4575" s="12">
        <v>-391.31400000000002</v>
      </c>
      <c r="P4575" s="12">
        <v>7</v>
      </c>
      <c r="Q4575" s="12">
        <v>7</v>
      </c>
      <c r="R4575" s="12">
        <v>4</v>
      </c>
    </row>
    <row r="4576" spans="1:18" ht="17" customHeight="1" x14ac:dyDescent="0.15">
      <c r="A4576" s="8" t="s">
        <v>24711</v>
      </c>
      <c r="B4576" s="9" t="s">
        <v>24712</v>
      </c>
      <c r="C4576" s="8" t="s">
        <v>24713</v>
      </c>
      <c r="D4576" s="8" t="s">
        <v>24713</v>
      </c>
      <c r="E4576" s="8" t="s">
        <v>24714</v>
      </c>
      <c r="F4576" s="8" t="s">
        <v>24590</v>
      </c>
      <c r="G4576" s="8" t="s">
        <v>24624</v>
      </c>
      <c r="H4576" s="8" t="s">
        <v>24603</v>
      </c>
      <c r="I4576" s="8" t="str">
        <f>HYPERLINK("http://www.sartoriaantonelli.com/","www.sartoriaantonelli.com")</f>
        <v>www.sartoriaantonelli.com</v>
      </c>
      <c r="J4576" s="10">
        <v>74.510999999999996</v>
      </c>
      <c r="K4576" s="10">
        <v>74.510999999999996</v>
      </c>
      <c r="L4576" s="10">
        <v>102.26</v>
      </c>
      <c r="M4576" s="10">
        <v>14.458</v>
      </c>
      <c r="N4576" s="10">
        <v>14.458</v>
      </c>
      <c r="O4576" s="10">
        <v>15.916</v>
      </c>
      <c r="P4576" s="10">
        <v>1</v>
      </c>
      <c r="Q4576" s="10">
        <v>1</v>
      </c>
      <c r="R4576" s="10">
        <v>0</v>
      </c>
    </row>
    <row r="4577" spans="1:18" ht="29.5" customHeight="1" x14ac:dyDescent="0.15">
      <c r="A4577" s="11" t="s">
        <v>24715</v>
      </c>
      <c r="B4577" s="1" t="s">
        <v>24716</v>
      </c>
      <c r="C4577" s="11" t="s">
        <v>24717</v>
      </c>
      <c r="D4577" s="11" t="s">
        <v>24717</v>
      </c>
      <c r="E4577" s="11" t="s">
        <v>24718</v>
      </c>
      <c r="F4577" s="11" t="s">
        <v>24719</v>
      </c>
      <c r="G4577" s="11" t="s">
        <v>24720</v>
      </c>
      <c r="H4577" s="11" t="s">
        <v>24721</v>
      </c>
      <c r="I4577" s="11" t="str">
        <f>HYPERLINK("http://operacampi.com/","operacampi.com")</f>
        <v>operacampi.com</v>
      </c>
      <c r="J4577" s="12">
        <v>104.461</v>
      </c>
      <c r="K4577" s="12">
        <v>104.461</v>
      </c>
      <c r="L4577" s="13">
        <v>101.877</v>
      </c>
      <c r="M4577" s="12">
        <v>3.2629999999999999</v>
      </c>
      <c r="N4577" s="12">
        <v>3.2629999999999999</v>
      </c>
      <c r="O4577" s="12">
        <v>3.0920000000000001</v>
      </c>
      <c r="P4577" s="12">
        <v>0</v>
      </c>
      <c r="Q4577" s="12">
        <v>0</v>
      </c>
      <c r="R4577" s="12">
        <v>0</v>
      </c>
    </row>
    <row r="4578" spans="1:18" ht="17" customHeight="1" x14ac:dyDescent="0.15">
      <c r="A4578" s="8" t="s">
        <v>24722</v>
      </c>
      <c r="B4578" s="9" t="s">
        <v>24723</v>
      </c>
      <c r="C4578" s="8" t="s">
        <v>24724</v>
      </c>
      <c r="D4578" s="8" t="s">
        <v>24724</v>
      </c>
      <c r="E4578" s="8" t="s">
        <v>24725</v>
      </c>
      <c r="F4578" s="8" t="s">
        <v>24726</v>
      </c>
      <c r="G4578" s="8" t="s">
        <v>24727</v>
      </c>
      <c r="H4578" s="8" t="s">
        <v>24728</v>
      </c>
      <c r="I4578" s="8" t="str">
        <f>HYPERLINK("http://www.marcuccigroup.com/","www.marcuccigroup.com")</f>
        <v>www.marcuccigroup.com</v>
      </c>
      <c r="J4578" s="10">
        <v>58.256</v>
      </c>
      <c r="K4578" s="10">
        <v>58.256</v>
      </c>
      <c r="L4578" s="10">
        <v>100.807</v>
      </c>
      <c r="M4578" s="10">
        <v>-15.362</v>
      </c>
      <c r="N4578" s="10">
        <v>-15.362</v>
      </c>
      <c r="O4578" s="10">
        <v>21.933</v>
      </c>
      <c r="P4578" s="15" t="s">
        <v>24729</v>
      </c>
      <c r="Q4578" s="15" t="s">
        <v>24729</v>
      </c>
      <c r="R4578" s="10">
        <v>0</v>
      </c>
    </row>
    <row r="4579" spans="1:18" ht="29.5" customHeight="1" x14ac:dyDescent="0.15">
      <c r="A4579" s="11" t="s">
        <v>24730</v>
      </c>
      <c r="B4579" s="1" t="s">
        <v>24731</v>
      </c>
      <c r="C4579" s="11" t="s">
        <v>24732</v>
      </c>
      <c r="D4579" s="11" t="s">
        <v>24732</v>
      </c>
      <c r="E4579" s="11" t="s">
        <v>24733</v>
      </c>
      <c r="F4579" s="11" t="s">
        <v>24734</v>
      </c>
      <c r="G4579" s="11" t="s">
        <v>24735</v>
      </c>
      <c r="H4579" s="11" t="s">
        <v>24736</v>
      </c>
      <c r="I4579" s="11" t="str">
        <f>HYPERLINK("http://giuliogigli.it/","giuliogigli.it")</f>
        <v>giuliogigli.it</v>
      </c>
      <c r="J4579" s="12">
        <v>131.86699999999999</v>
      </c>
      <c r="K4579" s="12">
        <v>131.86699999999999</v>
      </c>
      <c r="L4579" s="13">
        <v>100.548</v>
      </c>
      <c r="M4579" s="12">
        <v>2.4529999999999998</v>
      </c>
      <c r="N4579" s="12">
        <v>2.4529999999999998</v>
      </c>
      <c r="O4579" s="12">
        <v>3.6880000000000002</v>
      </c>
      <c r="P4579" s="12">
        <v>3</v>
      </c>
      <c r="Q4579" s="12">
        <v>3</v>
      </c>
      <c r="R4579" s="12">
        <v>3</v>
      </c>
    </row>
    <row r="4580" spans="1:18" ht="43" customHeight="1" x14ac:dyDescent="0.15">
      <c r="A4580" s="8" t="s">
        <v>24737</v>
      </c>
      <c r="B4580" s="9" t="s">
        <v>24738</v>
      </c>
      <c r="C4580" s="8" t="s">
        <v>24739</v>
      </c>
      <c r="D4580" s="8" t="s">
        <v>24739</v>
      </c>
      <c r="E4580" s="8" t="s">
        <v>24740</v>
      </c>
      <c r="F4580" s="8" t="s">
        <v>24741</v>
      </c>
      <c r="G4580" s="8" t="s">
        <v>24742</v>
      </c>
      <c r="H4580" s="8" t="s">
        <v>24736</v>
      </c>
      <c r="I4580" s="8" t="str">
        <f>HYPERLINK("http://www.iltagliosartoriale.it/","www.iltagliosartoriale.it")</f>
        <v>www.iltagliosartoriale.it</v>
      </c>
      <c r="J4580" s="10">
        <v>121.581</v>
      </c>
      <c r="K4580" s="10">
        <v>121.581</v>
      </c>
      <c r="L4580" s="10">
        <v>100.35299999999999</v>
      </c>
      <c r="M4580" s="10">
        <v>4.8680000000000003</v>
      </c>
      <c r="N4580" s="10">
        <v>4.8680000000000003</v>
      </c>
      <c r="O4580" s="10">
        <v>2.165</v>
      </c>
      <c r="P4580" s="10">
        <v>3</v>
      </c>
      <c r="Q4580" s="10">
        <v>3</v>
      </c>
      <c r="R4580" s="10">
        <v>3</v>
      </c>
    </row>
    <row r="4581" spans="1:18" ht="17" customHeight="1" x14ac:dyDescent="0.15">
      <c r="A4581" s="11" t="s">
        <v>24743</v>
      </c>
      <c r="B4581" s="1" t="s">
        <v>24744</v>
      </c>
      <c r="C4581" s="11" t="s">
        <v>24745</v>
      </c>
      <c r="D4581" s="11" t="s">
        <v>24745</v>
      </c>
      <c r="E4581" s="11" t="s">
        <v>24746</v>
      </c>
      <c r="F4581" s="11" t="s">
        <v>24747</v>
      </c>
      <c r="G4581" s="11" t="s">
        <v>24748</v>
      </c>
      <c r="H4581" s="11" t="s">
        <v>24749</v>
      </c>
      <c r="I4581" s="11" t="str">
        <f>HYPERLINK("http://www.pliniusshoes.it/","www.pliniusshoes.it")</f>
        <v>www.pliniusshoes.it</v>
      </c>
      <c r="J4581" s="12">
        <v>129.79599999999999</v>
      </c>
      <c r="K4581" s="12">
        <v>129.79599999999999</v>
      </c>
      <c r="L4581" s="13">
        <v>99.989000000000004</v>
      </c>
      <c r="M4581" s="12">
        <v>-35.279000000000003</v>
      </c>
      <c r="N4581" s="12">
        <v>-35.279000000000003</v>
      </c>
      <c r="O4581" s="12">
        <v>-56.48</v>
      </c>
      <c r="P4581" s="12">
        <v>1</v>
      </c>
      <c r="Q4581" s="12">
        <v>1</v>
      </c>
      <c r="R4581" s="12">
        <v>1</v>
      </c>
    </row>
    <row r="4582" spans="1:18" ht="17" customHeight="1" x14ac:dyDescent="0.15">
      <c r="A4582" s="8" t="s">
        <v>24750</v>
      </c>
      <c r="B4582" s="9" t="s">
        <v>24751</v>
      </c>
      <c r="C4582" s="8" t="s">
        <v>24752</v>
      </c>
      <c r="D4582" s="8" t="s">
        <v>24752</v>
      </c>
      <c r="E4582" s="8" t="s">
        <v>24753</v>
      </c>
      <c r="F4582" s="8" t="s">
        <v>24741</v>
      </c>
      <c r="G4582" s="8" t="s">
        <v>24754</v>
      </c>
      <c r="H4582" s="8" t="s">
        <v>24755</v>
      </c>
      <c r="I4582" s="8" t="str">
        <f>HYPERLINK("http://www.antaresvenezia.it/","www.antaresvenezia.it")</f>
        <v>www.antaresvenezia.it</v>
      </c>
      <c r="J4582" s="10">
        <v>64.613</v>
      </c>
      <c r="K4582" s="10">
        <v>64.613</v>
      </c>
      <c r="L4582" s="10">
        <v>99.986000000000004</v>
      </c>
      <c r="M4582" s="10">
        <v>0.3</v>
      </c>
      <c r="N4582" s="10">
        <v>0.3</v>
      </c>
      <c r="O4582" s="10">
        <v>0.27100000000000002</v>
      </c>
      <c r="P4582" s="10">
        <v>1</v>
      </c>
      <c r="Q4582" s="10">
        <v>1</v>
      </c>
      <c r="R4582" s="10">
        <v>1</v>
      </c>
    </row>
    <row r="4583" spans="1:18" ht="17" customHeight="1" x14ac:dyDescent="0.15">
      <c r="A4583" s="11" t="s">
        <v>24756</v>
      </c>
      <c r="B4583" s="1" t="s">
        <v>24757</v>
      </c>
      <c r="C4583" s="11" t="s">
        <v>24758</v>
      </c>
      <c r="D4583" s="11" t="s">
        <v>24758</v>
      </c>
      <c r="E4583" s="11" t="s">
        <v>24759</v>
      </c>
      <c r="F4583" s="11" t="s">
        <v>24719</v>
      </c>
      <c r="G4583" s="11" t="s">
        <v>24760</v>
      </c>
      <c r="H4583" s="11" t="s">
        <v>24761</v>
      </c>
      <c r="I4583" s="11" t="str">
        <f>HYPERLINK("http://viacaracciolo.it/","viacaracciolo.it")</f>
        <v>viacaracciolo.it</v>
      </c>
      <c r="J4583" s="12">
        <v>275.43400000000003</v>
      </c>
      <c r="K4583" s="12">
        <v>275.43400000000003</v>
      </c>
      <c r="L4583" s="13">
        <v>99.938999999999993</v>
      </c>
      <c r="M4583" s="12">
        <v>11.762</v>
      </c>
      <c r="N4583" s="12">
        <v>11.762</v>
      </c>
      <c r="O4583" s="12">
        <v>2.931</v>
      </c>
      <c r="P4583" s="12">
        <v>2</v>
      </c>
      <c r="Q4583" s="12">
        <v>2</v>
      </c>
      <c r="R4583" s="12">
        <v>1</v>
      </c>
    </row>
    <row r="4584" spans="1:18" ht="17" customHeight="1" x14ac:dyDescent="0.15">
      <c r="A4584" s="8" t="s">
        <v>24762</v>
      </c>
      <c r="B4584" s="9" t="s">
        <v>24763</v>
      </c>
      <c r="C4584" s="8" t="s">
        <v>24764</v>
      </c>
      <c r="D4584" s="8" t="s">
        <v>24764</v>
      </c>
      <c r="E4584" s="8" t="s">
        <v>24765</v>
      </c>
      <c r="F4584" s="8" t="s">
        <v>24741</v>
      </c>
      <c r="G4584" s="8" t="s">
        <v>24766</v>
      </c>
      <c r="H4584" s="8" t="s">
        <v>24755</v>
      </c>
      <c r="I4584" s="8" t="str">
        <f>HYPERLINK("http://www.myar.it/","www.myar.it")</f>
        <v>www.myar.it</v>
      </c>
      <c r="J4584" s="10">
        <v>46.628999999999998</v>
      </c>
      <c r="K4584" s="10">
        <v>46.628999999999998</v>
      </c>
      <c r="L4584" s="10">
        <v>99.718000000000004</v>
      </c>
      <c r="M4584" s="10">
        <v>-189.28200000000001</v>
      </c>
      <c r="N4584" s="10">
        <v>-189.28200000000001</v>
      </c>
      <c r="O4584" s="10">
        <v>-100.164</v>
      </c>
      <c r="P4584" s="10">
        <v>1</v>
      </c>
      <c r="Q4584" s="10">
        <v>1</v>
      </c>
      <c r="R4584" s="10">
        <v>2</v>
      </c>
    </row>
    <row r="4585" spans="1:18" ht="29.5" customHeight="1" x14ac:dyDescent="0.15">
      <c r="A4585" s="11" t="s">
        <v>24767</v>
      </c>
      <c r="B4585" s="1" t="s">
        <v>24768</v>
      </c>
      <c r="C4585" s="11" t="s">
        <v>24769</v>
      </c>
      <c r="D4585" s="11" t="s">
        <v>24769</v>
      </c>
      <c r="E4585" s="11" t="s">
        <v>24770</v>
      </c>
      <c r="F4585" s="11" t="s">
        <v>24741</v>
      </c>
      <c r="G4585" s="11" t="s">
        <v>24748</v>
      </c>
      <c r="H4585" s="11" t="s">
        <v>24749</v>
      </c>
      <c r="I4585" s="11" t="str">
        <f>HYPERLINK("http://www.cravattificiogranata.com/","www.cravattificiogranata.com")</f>
        <v>www.cravattificiogranata.com</v>
      </c>
      <c r="J4585" s="12">
        <v>131.61799999999999</v>
      </c>
      <c r="K4585" s="12">
        <v>131.61799999999999</v>
      </c>
      <c r="L4585" s="13">
        <v>99.171999999999997</v>
      </c>
      <c r="M4585" s="12">
        <v>21.303000000000001</v>
      </c>
      <c r="N4585" s="12">
        <v>21.303000000000001</v>
      </c>
      <c r="O4585" s="12">
        <v>9.4049999999999994</v>
      </c>
      <c r="P4585" s="12">
        <v>0</v>
      </c>
      <c r="Q4585" s="12">
        <v>0</v>
      </c>
      <c r="R4585" s="12">
        <v>0</v>
      </c>
    </row>
    <row r="4586" spans="1:18" ht="43" customHeight="1" x14ac:dyDescent="0.15">
      <c r="A4586" s="8" t="s">
        <v>24771</v>
      </c>
      <c r="B4586" s="9" t="s">
        <v>24772</v>
      </c>
      <c r="C4586" s="8" t="s">
        <v>24773</v>
      </c>
      <c r="D4586" s="8" t="s">
        <v>24773</v>
      </c>
      <c r="E4586" s="8" t="s">
        <v>24774</v>
      </c>
      <c r="F4586" s="8" t="s">
        <v>24775</v>
      </c>
      <c r="G4586" s="8" t="s">
        <v>24776</v>
      </c>
      <c r="H4586" s="8" t="s">
        <v>24749</v>
      </c>
      <c r="I4586" s="8" t="str">
        <f>HYPERLINK("http://www.fibrenaturali.it/","www.fibrenaturali.it")</f>
        <v>www.fibrenaturali.it</v>
      </c>
      <c r="J4586" s="10">
        <v>81.447000000000003</v>
      </c>
      <c r="K4586" s="10">
        <v>81.447000000000003</v>
      </c>
      <c r="L4586" s="10">
        <v>99.191999999999993</v>
      </c>
      <c r="M4586" s="10">
        <v>-2.4820000000000002</v>
      </c>
      <c r="N4586" s="10">
        <v>-2.4820000000000002</v>
      </c>
      <c r="O4586" s="10">
        <v>5.1790000000000003</v>
      </c>
      <c r="P4586" s="10">
        <v>2</v>
      </c>
      <c r="Q4586" s="10">
        <v>2</v>
      </c>
      <c r="R4586" s="10">
        <v>2</v>
      </c>
    </row>
    <row r="4587" spans="1:18" ht="43" customHeight="1" x14ac:dyDescent="0.15">
      <c r="A4587" s="11" t="s">
        <v>24777</v>
      </c>
      <c r="B4587" s="1" t="s">
        <v>24778</v>
      </c>
      <c r="C4587" s="11" t="s">
        <v>24779</v>
      </c>
      <c r="D4587" s="11" t="s">
        <v>24779</v>
      </c>
      <c r="E4587" s="11" t="s">
        <v>24780</v>
      </c>
      <c r="F4587" s="11" t="s">
        <v>24719</v>
      </c>
      <c r="G4587" s="11" t="s">
        <v>24781</v>
      </c>
      <c r="H4587" s="11" t="s">
        <v>24782</v>
      </c>
      <c r="I4587" s="11" t="str">
        <f>HYPERLINK("http://tomeves.com/","tomeves.com")</f>
        <v>tomeves.com</v>
      </c>
      <c r="J4587" s="12">
        <v>143.41900000000001</v>
      </c>
      <c r="K4587" s="12">
        <v>143.41900000000001</v>
      </c>
      <c r="L4587" s="13">
        <v>98.769000000000005</v>
      </c>
      <c r="M4587" s="12">
        <v>13.180999999999999</v>
      </c>
      <c r="N4587" s="12">
        <v>13.180999999999999</v>
      </c>
      <c r="O4587" s="12">
        <v>13.343</v>
      </c>
      <c r="P4587" s="12">
        <v>2</v>
      </c>
      <c r="Q4587" s="12">
        <v>2</v>
      </c>
      <c r="R4587" s="12">
        <v>2</v>
      </c>
    </row>
    <row r="4588" spans="1:18" ht="17" customHeight="1" x14ac:dyDescent="0.15">
      <c r="A4588" s="8" t="s">
        <v>24783</v>
      </c>
      <c r="B4588" s="9" t="s">
        <v>24784</v>
      </c>
      <c r="C4588" s="8" t="s">
        <v>24785</v>
      </c>
      <c r="D4588" s="8" t="s">
        <v>24785</v>
      </c>
      <c r="E4588" s="8" t="s">
        <v>24786</v>
      </c>
      <c r="F4588" s="8" t="s">
        <v>24787</v>
      </c>
      <c r="G4588" s="8" t="s">
        <v>24760</v>
      </c>
      <c r="H4588" s="8" t="s">
        <v>24761</v>
      </c>
      <c r="I4588" s="8" t="str">
        <f>HYPERLINK("http://www.modelleriafusco.it/","www.modelleriafusco.it")</f>
        <v>www.modelleriafusco.it</v>
      </c>
      <c r="J4588" s="10">
        <v>288.572</v>
      </c>
      <c r="K4588" s="10">
        <v>288.572</v>
      </c>
      <c r="L4588" s="10">
        <v>98.361000000000004</v>
      </c>
      <c r="M4588" s="10">
        <v>2.2410000000000001</v>
      </c>
      <c r="N4588" s="10">
        <v>2.2410000000000001</v>
      </c>
      <c r="O4588" s="10">
        <v>5.2409999999999997</v>
      </c>
      <c r="P4588" s="15" t="s">
        <v>24729</v>
      </c>
      <c r="Q4588" s="15" t="s">
        <v>24729</v>
      </c>
      <c r="R4588" s="10">
        <v>2</v>
      </c>
    </row>
    <row r="4589" spans="1:18" ht="17" customHeight="1" x14ac:dyDescent="0.15">
      <c r="A4589" s="11" t="s">
        <v>24788</v>
      </c>
      <c r="B4589" s="1" t="s">
        <v>24789</v>
      </c>
      <c r="C4589" s="11" t="s">
        <v>24790</v>
      </c>
      <c r="D4589" s="11" t="s">
        <v>24790</v>
      </c>
      <c r="E4589" s="11" t="s">
        <v>24791</v>
      </c>
      <c r="F4589" s="11" t="s">
        <v>24792</v>
      </c>
      <c r="G4589" s="11" t="s">
        <v>24793</v>
      </c>
      <c r="H4589" s="11" t="s">
        <v>24761</v>
      </c>
      <c r="I4589" s="11" t="str">
        <f>HYPERLINK("http://www.maglieriaitalia.net/","www.maglieriaitalia.net")</f>
        <v>www.maglieriaitalia.net</v>
      </c>
      <c r="J4589" s="12">
        <v>105.6</v>
      </c>
      <c r="K4589" s="12">
        <v>105.6</v>
      </c>
      <c r="L4589" s="13">
        <v>98.4</v>
      </c>
      <c r="M4589" s="12">
        <v>-19.878</v>
      </c>
      <c r="N4589" s="12">
        <v>-19.878</v>
      </c>
      <c r="O4589" s="12">
        <v>12.782</v>
      </c>
      <c r="P4589" s="12">
        <v>0</v>
      </c>
      <c r="Q4589" s="12">
        <v>0</v>
      </c>
      <c r="R4589" s="12">
        <v>0</v>
      </c>
    </row>
    <row r="4590" spans="1:18" ht="17" customHeight="1" x14ac:dyDescent="0.15">
      <c r="A4590" s="8" t="s">
        <v>24794</v>
      </c>
      <c r="B4590" s="9" t="s">
        <v>24795</v>
      </c>
      <c r="C4590" s="8" t="s">
        <v>24796</v>
      </c>
      <c r="D4590" s="8" t="s">
        <v>24796</v>
      </c>
      <c r="E4590" s="8" t="s">
        <v>24797</v>
      </c>
      <c r="F4590" s="8" t="s">
        <v>24798</v>
      </c>
      <c r="G4590" s="8" t="s">
        <v>24793</v>
      </c>
      <c r="H4590" s="8" t="s">
        <v>24761</v>
      </c>
      <c r="I4590" s="8" t="str">
        <f>HYPERLINK("http://www.cantalupoabbigliamento.it/","www.cantalupoabbigliamento.it")</f>
        <v>www.cantalupoabbigliamento.it</v>
      </c>
      <c r="J4590" s="10">
        <v>88.004999999999995</v>
      </c>
      <c r="K4590" s="10">
        <v>88.004999999999995</v>
      </c>
      <c r="L4590" s="10">
        <v>98.426000000000002</v>
      </c>
      <c r="M4590" s="10">
        <v>11.032999999999999</v>
      </c>
      <c r="N4590" s="10">
        <v>11.032999999999999</v>
      </c>
      <c r="O4590" s="10">
        <v>7.7750000000000004</v>
      </c>
      <c r="P4590" s="10">
        <v>0</v>
      </c>
      <c r="Q4590" s="10">
        <v>0</v>
      </c>
      <c r="R4590" s="10">
        <v>0</v>
      </c>
    </row>
    <row r="4591" spans="1:18" ht="17" customHeight="1" x14ac:dyDescent="0.15">
      <c r="A4591" s="11" t="s">
        <v>24799</v>
      </c>
      <c r="B4591" s="1" t="s">
        <v>24800</v>
      </c>
      <c r="C4591" s="11" t="s">
        <v>24801</v>
      </c>
      <c r="D4591" s="11" t="s">
        <v>24801</v>
      </c>
      <c r="E4591" s="11" t="s">
        <v>24802</v>
      </c>
      <c r="F4591" s="11" t="s">
        <v>24719</v>
      </c>
      <c r="G4591" s="11" t="s">
        <v>24803</v>
      </c>
      <c r="H4591" s="11" t="s">
        <v>24721</v>
      </c>
      <c r="I4591" s="11" t="str">
        <f>HYPERLINK("http://www.costiautomation.com/","www.costiautomation.com")</f>
        <v>www.costiautomation.com</v>
      </c>
      <c r="J4591" s="12">
        <v>51.796999999999997</v>
      </c>
      <c r="K4591" s="12">
        <v>51.796999999999997</v>
      </c>
      <c r="L4591" s="13">
        <v>98.385999999999996</v>
      </c>
      <c r="M4591" s="12">
        <v>14.784000000000001</v>
      </c>
      <c r="N4591" s="12">
        <v>14.784000000000001</v>
      </c>
      <c r="O4591" s="12">
        <v>-203.023</v>
      </c>
      <c r="P4591" s="12">
        <v>0</v>
      </c>
      <c r="Q4591" s="12">
        <v>0</v>
      </c>
      <c r="R4591" s="12">
        <v>0</v>
      </c>
    </row>
    <row r="4592" spans="1:18" ht="17" customHeight="1" x14ac:dyDescent="0.15">
      <c r="A4592" s="8" t="s">
        <v>24804</v>
      </c>
      <c r="B4592" s="9" t="s">
        <v>24805</v>
      </c>
      <c r="C4592" s="8" t="s">
        <v>24806</v>
      </c>
      <c r="D4592" s="8" t="s">
        <v>24806</v>
      </c>
      <c r="E4592" s="8" t="s">
        <v>24807</v>
      </c>
      <c r="F4592" s="8" t="s">
        <v>24787</v>
      </c>
      <c r="G4592" s="8" t="s">
        <v>24760</v>
      </c>
      <c r="H4592" s="8" t="s">
        <v>24761</v>
      </c>
      <c r="I4592" s="8" t="str">
        <f>HYPERLINK("http://shoeslabproject.com/","shoeslabproject.com")</f>
        <v>shoeslabproject.com</v>
      </c>
      <c r="J4592" s="10">
        <v>137.583</v>
      </c>
      <c r="K4592" s="10">
        <v>137.583</v>
      </c>
      <c r="L4592" s="10">
        <v>97.564999999999998</v>
      </c>
      <c r="M4592" s="10">
        <v>1.5740000000000001</v>
      </c>
      <c r="N4592" s="10">
        <v>1.5740000000000001</v>
      </c>
      <c r="O4592" s="10">
        <v>-2.3039999999999998</v>
      </c>
      <c r="P4592" s="10">
        <v>0</v>
      </c>
      <c r="Q4592" s="10">
        <v>0</v>
      </c>
      <c r="R4592" s="15" t="s">
        <v>24729</v>
      </c>
    </row>
    <row r="4593" spans="1:18" ht="17" customHeight="1" x14ac:dyDescent="0.15">
      <c r="A4593" s="11" t="s">
        <v>24808</v>
      </c>
      <c r="B4593" s="1" t="s">
        <v>24809</v>
      </c>
      <c r="C4593" s="11" t="s">
        <v>24810</v>
      </c>
      <c r="D4593" s="11" t="s">
        <v>24810</v>
      </c>
      <c r="E4593" s="11" t="s">
        <v>24811</v>
      </c>
      <c r="F4593" s="11" t="s">
        <v>24787</v>
      </c>
      <c r="G4593" s="11" t="s">
        <v>24812</v>
      </c>
      <c r="H4593" s="11" t="s">
        <v>24721</v>
      </c>
      <c r="I4593" s="11" t="str">
        <f>HYPERLINK("http://faggioliatelier.com/","faggioliatelier.com")</f>
        <v>faggioliatelier.com</v>
      </c>
      <c r="J4593" s="12">
        <v>225.899</v>
      </c>
      <c r="K4593" s="12">
        <v>225.899</v>
      </c>
      <c r="L4593" s="13">
        <v>97.355000000000004</v>
      </c>
      <c r="M4593" s="12">
        <v>0.22700000000000001</v>
      </c>
      <c r="N4593" s="12">
        <v>0.22700000000000001</v>
      </c>
      <c r="O4593" s="12">
        <v>0.34300000000000003</v>
      </c>
      <c r="P4593" s="12">
        <v>0</v>
      </c>
      <c r="Q4593" s="12">
        <v>0</v>
      </c>
      <c r="R4593" s="12">
        <v>0</v>
      </c>
    </row>
    <row r="4594" spans="1:18" ht="17" customHeight="1" x14ac:dyDescent="0.15">
      <c r="A4594" s="8" t="s">
        <v>24813</v>
      </c>
      <c r="B4594" s="9" t="s">
        <v>24814</v>
      </c>
      <c r="C4594" s="8" t="s">
        <v>24815</v>
      </c>
      <c r="D4594" s="8" t="s">
        <v>24815</v>
      </c>
      <c r="E4594" s="8" t="s">
        <v>24816</v>
      </c>
      <c r="F4594" s="8" t="s">
        <v>24787</v>
      </c>
      <c r="G4594" s="8" t="s">
        <v>24817</v>
      </c>
      <c r="H4594" s="8" t="s">
        <v>24736</v>
      </c>
      <c r="I4594" s="8" t="str">
        <f>HYPERLINK("http://lenef.it/","lenef.it")</f>
        <v>lenef.it</v>
      </c>
      <c r="J4594" s="10">
        <v>136.696</v>
      </c>
      <c r="K4594" s="10">
        <v>136.696</v>
      </c>
      <c r="L4594" s="10">
        <v>96.846000000000004</v>
      </c>
      <c r="M4594" s="10">
        <v>-0.66</v>
      </c>
      <c r="N4594" s="10">
        <v>-0.66</v>
      </c>
      <c r="O4594" s="10">
        <v>7.569</v>
      </c>
      <c r="P4594" s="10">
        <v>2</v>
      </c>
      <c r="Q4594" s="10">
        <v>2</v>
      </c>
      <c r="R4594" s="10">
        <v>1</v>
      </c>
    </row>
    <row r="4595" spans="1:18" ht="17" customHeight="1" x14ac:dyDescent="0.15">
      <c r="A4595" s="11" t="s">
        <v>24818</v>
      </c>
      <c r="B4595" s="1" t="s">
        <v>24819</v>
      </c>
      <c r="C4595" s="11" t="s">
        <v>24820</v>
      </c>
      <c r="D4595" s="11" t="s">
        <v>24820</v>
      </c>
      <c r="E4595" s="11" t="s">
        <v>24821</v>
      </c>
      <c r="F4595" s="11" t="s">
        <v>24787</v>
      </c>
      <c r="G4595" s="11" t="s">
        <v>24754</v>
      </c>
      <c r="H4595" s="11" t="s">
        <v>24755</v>
      </c>
      <c r="I4595" s="11" t="str">
        <f>HYPERLINK("http://www.salmasovenezia.it/","www.salmasovenezia.it")</f>
        <v>www.salmasovenezia.it</v>
      </c>
      <c r="J4595" s="12">
        <v>96</v>
      </c>
      <c r="K4595" s="12">
        <v>96</v>
      </c>
      <c r="L4595" s="13">
        <v>96</v>
      </c>
      <c r="M4595" s="12">
        <v>-88.963999999999999</v>
      </c>
      <c r="N4595" s="12">
        <v>-88.963999999999999</v>
      </c>
      <c r="O4595" s="12">
        <v>373.66199999999998</v>
      </c>
      <c r="P4595" s="12">
        <v>0</v>
      </c>
      <c r="Q4595" s="12">
        <v>0</v>
      </c>
      <c r="R4595" s="12">
        <v>0</v>
      </c>
    </row>
    <row r="4596" spans="1:18" ht="43" customHeight="1" x14ac:dyDescent="0.15">
      <c r="A4596" s="8" t="s">
        <v>24822</v>
      </c>
      <c r="B4596" s="9" t="s">
        <v>24823</v>
      </c>
      <c r="C4596" s="8" t="s">
        <v>24824</v>
      </c>
      <c r="D4596" s="8" t="s">
        <v>24824</v>
      </c>
      <c r="E4596" s="8" t="s">
        <v>24825</v>
      </c>
      <c r="F4596" s="8" t="s">
        <v>24798</v>
      </c>
      <c r="G4596" s="8" t="s">
        <v>24826</v>
      </c>
      <c r="H4596" s="8" t="s">
        <v>24827</v>
      </c>
      <c r="I4596" s="8" t="str">
        <f>HYPERLINK("http://digiricami.it/","digiricami.it")</f>
        <v>digiricami.it</v>
      </c>
      <c r="J4596" s="10">
        <v>228.33500000000001</v>
      </c>
      <c r="K4596" s="10">
        <v>121.06</v>
      </c>
      <c r="L4596" s="10">
        <v>95.816000000000003</v>
      </c>
      <c r="M4596" s="10">
        <v>6.6379999999999999</v>
      </c>
      <c r="N4596" s="10">
        <v>1.925</v>
      </c>
      <c r="O4596" s="10">
        <v>14.895</v>
      </c>
      <c r="P4596" s="10">
        <v>4</v>
      </c>
      <c r="Q4596" s="10">
        <v>1</v>
      </c>
      <c r="R4596" s="10">
        <v>1</v>
      </c>
    </row>
    <row r="4597" spans="1:18" ht="17" customHeight="1" x14ac:dyDescent="0.15">
      <c r="A4597" s="11" t="s">
        <v>24828</v>
      </c>
      <c r="B4597" s="1" t="s">
        <v>24829</v>
      </c>
      <c r="C4597" s="11" t="s">
        <v>24830</v>
      </c>
      <c r="D4597" s="11" t="s">
        <v>24830</v>
      </c>
      <c r="E4597" s="11" t="s">
        <v>24831</v>
      </c>
      <c r="F4597" s="11" t="s">
        <v>24832</v>
      </c>
      <c r="G4597" s="11" t="s">
        <v>24833</v>
      </c>
      <c r="H4597" s="11" t="s">
        <v>24749</v>
      </c>
      <c r="I4597" s="11" t="str">
        <f>HYPERLINK("http://www.rvng.it/","www.rvng.it")</f>
        <v>www.rvng.it</v>
      </c>
      <c r="J4597" s="12">
        <v>150.52500000000001</v>
      </c>
      <c r="K4597" s="12">
        <v>150.52500000000001</v>
      </c>
      <c r="L4597" s="13">
        <v>95.2</v>
      </c>
      <c r="M4597" s="12">
        <v>20.988</v>
      </c>
      <c r="N4597" s="12">
        <v>20.988</v>
      </c>
      <c r="O4597" s="12">
        <v>8.5310000000000006</v>
      </c>
      <c r="P4597" s="12">
        <v>0</v>
      </c>
      <c r="Q4597" s="12">
        <v>0</v>
      </c>
      <c r="R4597" s="14" t="s">
        <v>24729</v>
      </c>
    </row>
    <row r="4598" spans="1:18" ht="17" customHeight="1" x14ac:dyDescent="0.15">
      <c r="A4598" s="8" t="s">
        <v>24834</v>
      </c>
      <c r="B4598" s="9" t="s">
        <v>24835</v>
      </c>
      <c r="C4598" s="8" t="s">
        <v>24836</v>
      </c>
      <c r="D4598" s="8" t="s">
        <v>24837</v>
      </c>
      <c r="E4598" s="8" t="s">
        <v>24838</v>
      </c>
      <c r="F4598" s="8" t="s">
        <v>24741</v>
      </c>
      <c r="G4598" s="8" t="s">
        <v>24760</v>
      </c>
      <c r="H4598" s="8" t="s">
        <v>24761</v>
      </c>
      <c r="I4598" s="8" t="str">
        <f>HYPERLINK("http://www.manifatturesanninosrl.it/","www.manifatturesanninosrl.it")</f>
        <v>www.manifatturesanninosrl.it</v>
      </c>
      <c r="J4598" s="10">
        <v>101.87</v>
      </c>
      <c r="K4598" s="10">
        <v>101.87</v>
      </c>
      <c r="L4598" s="10">
        <v>95.091999999999999</v>
      </c>
      <c r="M4598" s="10">
        <v>-37.755000000000003</v>
      </c>
      <c r="N4598" s="10">
        <v>-37.755000000000003</v>
      </c>
      <c r="O4598" s="10">
        <v>2.972</v>
      </c>
      <c r="P4598" s="10">
        <v>5</v>
      </c>
      <c r="Q4598" s="10">
        <v>5</v>
      </c>
      <c r="R4598" s="10">
        <v>5</v>
      </c>
    </row>
    <row r="4599" spans="1:18" ht="17" customHeight="1" x14ac:dyDescent="0.15">
      <c r="A4599" s="11" t="s">
        <v>24839</v>
      </c>
      <c r="B4599" s="1" t="s">
        <v>24840</v>
      </c>
      <c r="C4599" s="11" t="s">
        <v>24841</v>
      </c>
      <c r="D4599" s="11" t="s">
        <v>24841</v>
      </c>
      <c r="E4599" s="11" t="s">
        <v>24842</v>
      </c>
      <c r="F4599" s="11" t="s">
        <v>24719</v>
      </c>
      <c r="G4599" s="11" t="s">
        <v>24760</v>
      </c>
      <c r="H4599" s="11" t="s">
        <v>24761</v>
      </c>
      <c r="I4599" s="11" t="str">
        <f>HYPERLINK("http://www.lesly.it/","www.lesly.it")</f>
        <v>www.lesly.it</v>
      </c>
      <c r="J4599" s="12">
        <v>125.13500000000001</v>
      </c>
      <c r="K4599" s="12">
        <v>125.13500000000001</v>
      </c>
      <c r="L4599" s="13">
        <v>94.665999999999997</v>
      </c>
      <c r="M4599" s="12">
        <v>19.218</v>
      </c>
      <c r="N4599" s="12">
        <v>19.218</v>
      </c>
      <c r="O4599" s="12">
        <v>10.387</v>
      </c>
      <c r="P4599" s="12">
        <v>1</v>
      </c>
      <c r="Q4599" s="12">
        <v>1</v>
      </c>
      <c r="R4599" s="12">
        <v>2</v>
      </c>
    </row>
    <row r="4600" spans="1:18" ht="43" customHeight="1" x14ac:dyDescent="0.15">
      <c r="A4600" s="8" t="s">
        <v>24843</v>
      </c>
      <c r="B4600" s="9" t="s">
        <v>24844</v>
      </c>
      <c r="C4600" s="8" t="s">
        <v>24845</v>
      </c>
      <c r="D4600" s="8" t="s">
        <v>24845</v>
      </c>
      <c r="E4600" s="8" t="s">
        <v>24846</v>
      </c>
      <c r="F4600" s="8" t="s">
        <v>24734</v>
      </c>
      <c r="G4600" s="8" t="s">
        <v>24760</v>
      </c>
      <c r="H4600" s="8" t="s">
        <v>24761</v>
      </c>
      <c r="I4600" s="8" t="str">
        <f>HYPERLINK("http://claudiabags.it/","claudiabags.it")</f>
        <v>claudiabags.it</v>
      </c>
      <c r="J4600" s="10">
        <v>22.271999999999998</v>
      </c>
      <c r="K4600" s="10">
        <v>22.271999999999998</v>
      </c>
      <c r="L4600" s="10">
        <v>94.67</v>
      </c>
      <c r="M4600" s="10">
        <v>-43.8</v>
      </c>
      <c r="N4600" s="10">
        <v>-43.8</v>
      </c>
      <c r="O4600" s="10">
        <v>3.363</v>
      </c>
      <c r="P4600" s="15" t="s">
        <v>24729</v>
      </c>
      <c r="Q4600" s="15" t="s">
        <v>24729</v>
      </c>
      <c r="R4600" s="10">
        <v>1</v>
      </c>
    </row>
    <row r="4601" spans="1:18" ht="17" customHeight="1" x14ac:dyDescent="0.15">
      <c r="A4601" s="11" t="s">
        <v>24847</v>
      </c>
      <c r="B4601" s="1" t="s">
        <v>24848</v>
      </c>
      <c r="C4601" s="11" t="s">
        <v>24849</v>
      </c>
      <c r="D4601" s="11" t="s">
        <v>24849</v>
      </c>
      <c r="E4601" s="11" t="s">
        <v>24850</v>
      </c>
      <c r="F4601" s="11" t="s">
        <v>24787</v>
      </c>
      <c r="G4601" s="11" t="s">
        <v>24851</v>
      </c>
      <c r="H4601" s="11" t="s">
        <v>24728</v>
      </c>
      <c r="I4601" s="11" t="str">
        <f>HYPERLINK("http://www.effegisrlmontecarlo.it/","www.effegisrlmontecarlo.it")</f>
        <v>www.effegisrlmontecarlo.it</v>
      </c>
      <c r="J4601" s="12">
        <v>94.313000000000002</v>
      </c>
      <c r="K4601" s="14" t="s">
        <v>24729</v>
      </c>
      <c r="L4601" s="13">
        <v>94.313000000000002</v>
      </c>
      <c r="M4601" s="12">
        <v>1.0529999999999999</v>
      </c>
      <c r="N4601" s="14" t="s">
        <v>24729</v>
      </c>
      <c r="O4601" s="12">
        <v>1.0529999999999999</v>
      </c>
      <c r="P4601" s="12">
        <v>0</v>
      </c>
      <c r="Q4601" s="14" t="s">
        <v>24729</v>
      </c>
      <c r="R4601" s="12">
        <v>0</v>
      </c>
    </row>
    <row r="4602" spans="1:18" ht="17" customHeight="1" x14ac:dyDescent="0.15">
      <c r="A4602" s="8" t="s">
        <v>24852</v>
      </c>
      <c r="B4602" s="9" t="s">
        <v>24853</v>
      </c>
      <c r="C4602" s="8" t="s">
        <v>24854</v>
      </c>
      <c r="D4602" s="8" t="s">
        <v>24854</v>
      </c>
      <c r="E4602" s="8" t="s">
        <v>24855</v>
      </c>
      <c r="F4602" s="8" t="s">
        <v>24856</v>
      </c>
      <c r="G4602" s="8" t="s">
        <v>24857</v>
      </c>
      <c r="H4602" s="8" t="s">
        <v>24755</v>
      </c>
      <c r="I4602" s="8" t="str">
        <f>HYPERLINK("http://www.passionfurs.it/","www.passionfurs.it")</f>
        <v>www.passionfurs.it</v>
      </c>
      <c r="J4602" s="10">
        <v>86.366</v>
      </c>
      <c r="K4602" s="10">
        <v>86.366</v>
      </c>
      <c r="L4602" s="10">
        <v>94.328000000000003</v>
      </c>
      <c r="M4602" s="10">
        <v>0.26200000000000001</v>
      </c>
      <c r="N4602" s="10">
        <v>0.26200000000000001</v>
      </c>
      <c r="O4602" s="10">
        <v>5.1420000000000003</v>
      </c>
      <c r="P4602" s="10">
        <v>1</v>
      </c>
      <c r="Q4602" s="10">
        <v>1</v>
      </c>
      <c r="R4602" s="10">
        <v>2</v>
      </c>
    </row>
    <row r="4603" spans="1:18" ht="17" customHeight="1" x14ac:dyDescent="0.15">
      <c r="A4603" s="11" t="s">
        <v>24858</v>
      </c>
      <c r="B4603" s="1" t="s">
        <v>24859</v>
      </c>
      <c r="C4603" s="11" t="s">
        <v>24860</v>
      </c>
      <c r="D4603" s="11" t="s">
        <v>24861</v>
      </c>
      <c r="E4603" s="11" t="s">
        <v>24862</v>
      </c>
      <c r="F4603" s="11" t="s">
        <v>24863</v>
      </c>
      <c r="G4603" s="11" t="s">
        <v>24833</v>
      </c>
      <c r="H4603" s="11" t="s">
        <v>24749</v>
      </c>
      <c r="I4603" s="11" t="str">
        <f>HYPERLINK("http://www.toffee.it/","www.toffee.it")</f>
        <v>www.toffee.it</v>
      </c>
      <c r="J4603" s="12">
        <v>77.045000000000002</v>
      </c>
      <c r="K4603" s="12">
        <v>77.045000000000002</v>
      </c>
      <c r="L4603" s="13">
        <v>93.367999999999995</v>
      </c>
      <c r="M4603" s="12">
        <v>-3.7490000000000001</v>
      </c>
      <c r="N4603" s="12">
        <v>-3.7490000000000001</v>
      </c>
      <c r="O4603" s="12">
        <v>2.5910000000000002</v>
      </c>
      <c r="P4603" s="12">
        <v>0</v>
      </c>
      <c r="Q4603" s="12">
        <v>0</v>
      </c>
      <c r="R4603" s="12">
        <v>0</v>
      </c>
    </row>
    <row r="4604" spans="1:18" ht="17" customHeight="1" x14ac:dyDescent="0.15">
      <c r="A4604" s="8" t="s">
        <v>24864</v>
      </c>
      <c r="B4604" s="9" t="s">
        <v>24865</v>
      </c>
      <c r="C4604" s="8" t="s">
        <v>24866</v>
      </c>
      <c r="D4604" s="8" t="s">
        <v>24866</v>
      </c>
      <c r="E4604" s="8" t="s">
        <v>24867</v>
      </c>
      <c r="F4604" s="8" t="s">
        <v>24787</v>
      </c>
      <c r="G4604" s="8" t="s">
        <v>24817</v>
      </c>
      <c r="H4604" s="8" t="s">
        <v>24736</v>
      </c>
      <c r="I4604" s="8" t="str">
        <f>HYPERLINK("http://www.lorettapettinari.it/","www.lorettapettinari.it")</f>
        <v>www.lorettapettinari.it</v>
      </c>
      <c r="J4604" s="10">
        <v>73</v>
      </c>
      <c r="K4604" s="10">
        <v>73</v>
      </c>
      <c r="L4604" s="10">
        <v>93.24</v>
      </c>
      <c r="M4604" s="10">
        <v>30.931999999999999</v>
      </c>
      <c r="N4604" s="10">
        <v>30.931999999999999</v>
      </c>
      <c r="O4604" s="10">
        <v>36.454000000000001</v>
      </c>
      <c r="P4604" s="10">
        <v>1</v>
      </c>
      <c r="Q4604" s="10">
        <v>1</v>
      </c>
      <c r="R4604" s="10">
        <v>1</v>
      </c>
    </row>
    <row r="4605" spans="1:18" ht="43" customHeight="1" x14ac:dyDescent="0.15">
      <c r="A4605" s="11" t="s">
        <v>24868</v>
      </c>
      <c r="B4605" s="1" t="s">
        <v>24869</v>
      </c>
      <c r="C4605" s="11" t="s">
        <v>24870</v>
      </c>
      <c r="D4605" s="11" t="s">
        <v>24870</v>
      </c>
      <c r="E4605" s="11" t="s">
        <v>24871</v>
      </c>
      <c r="F4605" s="11" t="s">
        <v>24775</v>
      </c>
      <c r="G4605" s="11" t="s">
        <v>24872</v>
      </c>
      <c r="H4605" s="11" t="s">
        <v>24721</v>
      </c>
      <c r="I4605" s="11" t="str">
        <f>HYPERLINK("http://www.kimikmilano.com/","www.kimikmilano.com")</f>
        <v>www.kimikmilano.com</v>
      </c>
      <c r="J4605" s="12">
        <v>176.71299999999999</v>
      </c>
      <c r="K4605" s="12">
        <v>176.71299999999999</v>
      </c>
      <c r="L4605" s="13">
        <v>92.876999999999995</v>
      </c>
      <c r="M4605" s="12">
        <v>5.8339999999999996</v>
      </c>
      <c r="N4605" s="12">
        <v>5.8339999999999996</v>
      </c>
      <c r="O4605" s="12">
        <v>5.57</v>
      </c>
      <c r="P4605" s="14" t="s">
        <v>24729</v>
      </c>
      <c r="Q4605" s="14" t="s">
        <v>24729</v>
      </c>
      <c r="R4605" s="14" t="s">
        <v>24729</v>
      </c>
    </row>
    <row r="4606" spans="1:18" ht="29.5" customHeight="1" x14ac:dyDescent="0.15">
      <c r="A4606" s="8" t="s">
        <v>24873</v>
      </c>
      <c r="B4606" s="9" t="s">
        <v>24874</v>
      </c>
      <c r="C4606" s="8" t="s">
        <v>24875</v>
      </c>
      <c r="D4606" s="8" t="s">
        <v>24875</v>
      </c>
      <c r="E4606" s="8" t="s">
        <v>24876</v>
      </c>
      <c r="F4606" s="8" t="s">
        <v>24798</v>
      </c>
      <c r="G4606" s="8" t="s">
        <v>24877</v>
      </c>
      <c r="H4606" s="8" t="s">
        <v>24761</v>
      </c>
      <c r="I4606" s="8" t="str">
        <f>HYPERLINK("http://www.grassoabitidalavoro.com/","www.grassoabitidalavoro.com")</f>
        <v>www.grassoabitidalavoro.com</v>
      </c>
      <c r="J4606" s="10">
        <v>68.971000000000004</v>
      </c>
      <c r="K4606" s="10">
        <v>68.971000000000004</v>
      </c>
      <c r="L4606" s="10">
        <v>92.825999999999993</v>
      </c>
      <c r="M4606" s="10">
        <v>-51.777000000000001</v>
      </c>
      <c r="N4606" s="10">
        <v>-51.777000000000001</v>
      </c>
      <c r="O4606" s="10">
        <v>-48.136000000000003</v>
      </c>
      <c r="P4606" s="15" t="s">
        <v>24729</v>
      </c>
      <c r="Q4606" s="15" t="s">
        <v>24729</v>
      </c>
      <c r="R4606" s="10">
        <v>5</v>
      </c>
    </row>
    <row r="4607" spans="1:18" ht="17" customHeight="1" x14ac:dyDescent="0.15">
      <c r="A4607" s="11" t="s">
        <v>24878</v>
      </c>
      <c r="B4607" s="1" t="s">
        <v>24879</v>
      </c>
      <c r="C4607" s="11" t="s">
        <v>24880</v>
      </c>
      <c r="D4607" s="11" t="s">
        <v>24880</v>
      </c>
      <c r="E4607" s="11" t="s">
        <v>24881</v>
      </c>
      <c r="F4607" s="11" t="s">
        <v>24787</v>
      </c>
      <c r="G4607" s="11" t="s">
        <v>24882</v>
      </c>
      <c r="H4607" s="11" t="s">
        <v>24755</v>
      </c>
      <c r="I4607" s="11" t="str">
        <f>HYPERLINK("http://www.hyrasport.com/","www.hyrasport.com")</f>
        <v>www.hyrasport.com</v>
      </c>
      <c r="J4607" s="12">
        <v>129.97900000000001</v>
      </c>
      <c r="K4607" s="12">
        <v>129.97900000000001</v>
      </c>
      <c r="L4607" s="13">
        <v>92.644999999999996</v>
      </c>
      <c r="M4607" s="12">
        <v>1.43</v>
      </c>
      <c r="N4607" s="12">
        <v>1.43</v>
      </c>
      <c r="O4607" s="12">
        <v>6.3810000000000002</v>
      </c>
      <c r="P4607" s="12">
        <v>3</v>
      </c>
      <c r="Q4607" s="12">
        <v>3</v>
      </c>
      <c r="R4607" s="12">
        <v>3</v>
      </c>
    </row>
    <row r="4608" spans="1:18" ht="43" customHeight="1" x14ac:dyDescent="0.15">
      <c r="A4608" s="8" t="s">
        <v>24883</v>
      </c>
      <c r="B4608" s="9" t="s">
        <v>24884</v>
      </c>
      <c r="C4608" s="8" t="s">
        <v>24885</v>
      </c>
      <c r="D4608" s="8" t="s">
        <v>24885</v>
      </c>
      <c r="E4608" s="8" t="s">
        <v>24886</v>
      </c>
      <c r="F4608" s="8" t="s">
        <v>24787</v>
      </c>
      <c r="G4608" s="8" t="s">
        <v>24826</v>
      </c>
      <c r="H4608" s="8" t="s">
        <v>24827</v>
      </c>
      <c r="I4608" s="8" t="str">
        <f>HYPERLINK("http://madeinsicilyshop.it/","madeinsicilyshop.it")</f>
        <v>madeinsicilyshop.it</v>
      </c>
      <c r="J4608" s="10">
        <v>93.128</v>
      </c>
      <c r="K4608" s="10">
        <v>93.128</v>
      </c>
      <c r="L4608" s="10">
        <v>92.281000000000006</v>
      </c>
      <c r="M4608" s="10">
        <v>9.2409999999999997</v>
      </c>
      <c r="N4608" s="10">
        <v>9.2409999999999997</v>
      </c>
      <c r="O4608" s="10">
        <v>9.7579999999999991</v>
      </c>
      <c r="P4608" s="10">
        <v>6</v>
      </c>
      <c r="Q4608" s="10">
        <v>6</v>
      </c>
      <c r="R4608" s="10">
        <v>5</v>
      </c>
    </row>
    <row r="4609" spans="1:18" ht="17" customHeight="1" x14ac:dyDescent="0.15">
      <c r="A4609" s="11" t="s">
        <v>24887</v>
      </c>
      <c r="B4609" s="1" t="s">
        <v>24888</v>
      </c>
      <c r="C4609" s="11" t="s">
        <v>24889</v>
      </c>
      <c r="D4609" s="11" t="s">
        <v>24889</v>
      </c>
      <c r="E4609" s="11" t="s">
        <v>24890</v>
      </c>
      <c r="F4609" s="11" t="s">
        <v>24891</v>
      </c>
      <c r="G4609" s="11" t="s">
        <v>24892</v>
      </c>
      <c r="H4609" s="11" t="s">
        <v>24893</v>
      </c>
      <c r="I4609" s="11" t="str">
        <f>HYPERLINK("http://www.francesco-derosa.com/","www.francesco-derosa.com")</f>
        <v>www.francesco-derosa.com</v>
      </c>
      <c r="J4609" s="12">
        <v>350.02600000000001</v>
      </c>
      <c r="K4609" s="12">
        <v>350.02600000000001</v>
      </c>
      <c r="L4609" s="13">
        <v>92.016000000000005</v>
      </c>
      <c r="M4609" s="12">
        <v>12.058999999999999</v>
      </c>
      <c r="N4609" s="12">
        <v>12.058999999999999</v>
      </c>
      <c r="O4609" s="12">
        <v>2.2599999999999998</v>
      </c>
      <c r="P4609" s="14" t="s">
        <v>24894</v>
      </c>
      <c r="Q4609" s="14" t="s">
        <v>24894</v>
      </c>
      <c r="R4609" s="12">
        <v>0</v>
      </c>
    </row>
    <row r="4610" spans="1:18" ht="43" customHeight="1" x14ac:dyDescent="0.15">
      <c r="A4610" s="8" t="s">
        <v>24895</v>
      </c>
      <c r="B4610" s="9" t="s">
        <v>24896</v>
      </c>
      <c r="C4610" s="8" t="s">
        <v>24897</v>
      </c>
      <c r="D4610" s="8" t="s">
        <v>24897</v>
      </c>
      <c r="E4610" s="8" t="s">
        <v>24898</v>
      </c>
      <c r="F4610" s="8" t="s">
        <v>24899</v>
      </c>
      <c r="G4610" s="8" t="s">
        <v>24900</v>
      </c>
      <c r="H4610" s="8" t="s">
        <v>24901</v>
      </c>
      <c r="I4610" s="8" t="str">
        <f>HYPERLINK("http://www.4labsport.it/","www.4labsport.it")</f>
        <v>www.4labsport.it</v>
      </c>
      <c r="J4610" s="10">
        <v>65.572000000000003</v>
      </c>
      <c r="K4610" s="10">
        <v>65.572000000000003</v>
      </c>
      <c r="L4610" s="10">
        <v>91.777000000000001</v>
      </c>
      <c r="M4610" s="10">
        <v>16.704999999999998</v>
      </c>
      <c r="N4610" s="10">
        <v>16.704999999999998</v>
      </c>
      <c r="O4610" s="10">
        <v>-3.625</v>
      </c>
      <c r="P4610" s="15" t="s">
        <v>24894</v>
      </c>
      <c r="Q4610" s="15" t="s">
        <v>24894</v>
      </c>
      <c r="R4610" s="10">
        <v>0</v>
      </c>
    </row>
    <row r="4611" spans="1:18" ht="17" customHeight="1" x14ac:dyDescent="0.15">
      <c r="A4611" s="11" t="s">
        <v>24902</v>
      </c>
      <c r="B4611" s="1" t="s">
        <v>24903</v>
      </c>
      <c r="C4611" s="11" t="s">
        <v>24904</v>
      </c>
      <c r="D4611" s="11" t="s">
        <v>24904</v>
      </c>
      <c r="E4611" s="11" t="s">
        <v>24905</v>
      </c>
      <c r="F4611" s="11" t="s">
        <v>24906</v>
      </c>
      <c r="G4611" s="11" t="s">
        <v>24907</v>
      </c>
      <c r="H4611" s="11" t="s">
        <v>24908</v>
      </c>
      <c r="I4611" s="11" t="str">
        <f>HYPERLINK("http://www.pelliccemarlenefur.it/","www.pelliccemarlenefur.it")</f>
        <v>www.pelliccemarlenefur.it</v>
      </c>
      <c r="J4611" s="12">
        <v>87.632000000000005</v>
      </c>
      <c r="K4611" s="12">
        <v>87.632000000000005</v>
      </c>
      <c r="L4611" s="13">
        <v>91.388999999999996</v>
      </c>
      <c r="M4611" s="12">
        <v>-10.262</v>
      </c>
      <c r="N4611" s="12">
        <v>-10.262</v>
      </c>
      <c r="O4611" s="12">
        <v>9.0139999999999993</v>
      </c>
      <c r="P4611" s="12">
        <v>2</v>
      </c>
      <c r="Q4611" s="12">
        <v>2</v>
      </c>
      <c r="R4611" s="12">
        <v>2</v>
      </c>
    </row>
    <row r="4612" spans="1:18" ht="17" customHeight="1" x14ac:dyDescent="0.15">
      <c r="A4612" s="8" t="s">
        <v>24909</v>
      </c>
      <c r="B4612" s="9" t="s">
        <v>24910</v>
      </c>
      <c r="C4612" s="8" t="s">
        <v>24911</v>
      </c>
      <c r="D4612" s="8" t="s">
        <v>24911</v>
      </c>
      <c r="E4612" s="8" t="s">
        <v>24912</v>
      </c>
      <c r="F4612" s="8" t="s">
        <v>24913</v>
      </c>
      <c r="G4612" s="8" t="s">
        <v>24914</v>
      </c>
      <c r="H4612" s="8" t="s">
        <v>24915</v>
      </c>
      <c r="I4612" s="8" t="str">
        <f>HYPERLINK("http://www.nuovariem.com/","www.nuovariem.com")</f>
        <v>www.nuovariem.com</v>
      </c>
      <c r="J4612" s="10">
        <v>83.792000000000002</v>
      </c>
      <c r="K4612" s="10">
        <v>83.792000000000002</v>
      </c>
      <c r="L4612" s="10">
        <v>91.43</v>
      </c>
      <c r="M4612" s="10">
        <v>7.64</v>
      </c>
      <c r="N4612" s="10">
        <v>7.64</v>
      </c>
      <c r="O4612" s="10">
        <v>0.64</v>
      </c>
      <c r="P4612" s="10">
        <v>1</v>
      </c>
      <c r="Q4612" s="10">
        <v>1</v>
      </c>
      <c r="R4612" s="10">
        <v>2</v>
      </c>
    </row>
    <row r="4613" spans="1:18" ht="43" customHeight="1" x14ac:dyDescent="0.15">
      <c r="A4613" s="11" t="s">
        <v>24916</v>
      </c>
      <c r="B4613" s="1" t="s">
        <v>24917</v>
      </c>
      <c r="C4613" s="11" t="s">
        <v>24918</v>
      </c>
      <c r="D4613" s="11" t="s">
        <v>24918</v>
      </c>
      <c r="E4613" s="11" t="s">
        <v>24919</v>
      </c>
      <c r="F4613" s="11" t="s">
        <v>24920</v>
      </c>
      <c r="G4613" s="11" t="s">
        <v>24921</v>
      </c>
      <c r="H4613" s="11" t="s">
        <v>24922</v>
      </c>
      <c r="I4613" s="11" t="str">
        <f>HYPERLINK("http://www.cravatte.it/","www.cravatte.it")</f>
        <v>www.cravatte.it</v>
      </c>
      <c r="J4613" s="12">
        <v>110.086</v>
      </c>
      <c r="K4613" s="12">
        <v>110.086</v>
      </c>
      <c r="L4613" s="13">
        <v>90.762</v>
      </c>
      <c r="M4613" s="12">
        <v>6.0869999999999997</v>
      </c>
      <c r="N4613" s="12">
        <v>6.0869999999999997</v>
      </c>
      <c r="O4613" s="12">
        <v>6.4320000000000004</v>
      </c>
      <c r="P4613" s="12">
        <v>2</v>
      </c>
      <c r="Q4613" s="12">
        <v>2</v>
      </c>
      <c r="R4613" s="12">
        <v>2</v>
      </c>
    </row>
    <row r="4614" spans="1:18" ht="17" customHeight="1" x14ac:dyDescent="0.15">
      <c r="A4614" s="8" t="s">
        <v>24923</v>
      </c>
      <c r="B4614" s="9" t="s">
        <v>24924</v>
      </c>
      <c r="C4614" s="8" t="s">
        <v>24925</v>
      </c>
      <c r="D4614" s="8" t="s">
        <v>24925</v>
      </c>
      <c r="E4614" s="8" t="s">
        <v>24926</v>
      </c>
      <c r="F4614" s="8" t="s">
        <v>24899</v>
      </c>
      <c r="G4614" s="8" t="s">
        <v>24927</v>
      </c>
      <c r="H4614" s="8" t="s">
        <v>24928</v>
      </c>
      <c r="I4614" s="8" t="str">
        <f>HYPERLINK("http://www.bikiamani.com/","www.bikiamani.com")</f>
        <v>www.bikiamani.com</v>
      </c>
      <c r="J4614" s="10">
        <v>90.546999999999997</v>
      </c>
      <c r="K4614" s="15" t="s">
        <v>24894</v>
      </c>
      <c r="L4614" s="10">
        <v>90.546999999999997</v>
      </c>
      <c r="M4614" s="10">
        <v>1.5169999999999999</v>
      </c>
      <c r="N4614" s="15" t="s">
        <v>24894</v>
      </c>
      <c r="O4614" s="10">
        <v>1.5169999999999999</v>
      </c>
      <c r="P4614" s="10">
        <v>0</v>
      </c>
      <c r="Q4614" s="15" t="s">
        <v>24894</v>
      </c>
      <c r="R4614" s="10">
        <v>0</v>
      </c>
    </row>
    <row r="4615" spans="1:18" ht="17" customHeight="1" x14ac:dyDescent="0.15">
      <c r="A4615" s="11" t="s">
        <v>24929</v>
      </c>
      <c r="B4615" s="1" t="s">
        <v>24930</v>
      </c>
      <c r="C4615" s="11" t="s">
        <v>24931</v>
      </c>
      <c r="D4615" s="11" t="s">
        <v>24931</v>
      </c>
      <c r="E4615" s="11" t="s">
        <v>24932</v>
      </c>
      <c r="F4615" s="11" t="s">
        <v>24933</v>
      </c>
      <c r="G4615" s="11" t="s">
        <v>24907</v>
      </c>
      <c r="H4615" s="11" t="s">
        <v>24908</v>
      </c>
      <c r="I4615" s="11" t="str">
        <f>HYPERLINK("http://www.sinkorswim.it/","www.sinkorswim.it")</f>
        <v>www.sinkorswim.it</v>
      </c>
      <c r="J4615" s="12">
        <v>110.351</v>
      </c>
      <c r="K4615" s="12">
        <v>110.351</v>
      </c>
      <c r="L4615" s="13">
        <v>90.322000000000003</v>
      </c>
      <c r="M4615" s="12">
        <v>-13.343999999999999</v>
      </c>
      <c r="N4615" s="12">
        <v>-13.343999999999999</v>
      </c>
      <c r="O4615" s="12">
        <v>-6.7160000000000002</v>
      </c>
      <c r="P4615" s="12">
        <v>0</v>
      </c>
      <c r="Q4615" s="12">
        <v>0</v>
      </c>
      <c r="R4615" s="12">
        <v>0</v>
      </c>
    </row>
    <row r="4616" spans="1:18" ht="17" customHeight="1" x14ac:dyDescent="0.15">
      <c r="A4616" s="8" t="s">
        <v>24934</v>
      </c>
      <c r="B4616" s="9" t="s">
        <v>24935</v>
      </c>
      <c r="C4616" s="8" t="s">
        <v>24936</v>
      </c>
      <c r="D4616" s="8" t="s">
        <v>24936</v>
      </c>
      <c r="E4616" s="8" t="s">
        <v>24937</v>
      </c>
      <c r="F4616" s="8" t="s">
        <v>24938</v>
      </c>
      <c r="G4616" s="8" t="s">
        <v>24939</v>
      </c>
      <c r="H4616" s="8" t="s">
        <v>24940</v>
      </c>
      <c r="I4616" s="8" t="str">
        <f>HYPERLINK("http://www.cocchiniesaraceni.com/","www.cocchiniesaraceni.com")</f>
        <v>www.cocchiniesaraceni.com</v>
      </c>
      <c r="J4616" s="10">
        <v>101.687</v>
      </c>
      <c r="K4616" s="10">
        <v>101.687</v>
      </c>
      <c r="L4616" s="10">
        <v>90.164000000000001</v>
      </c>
      <c r="M4616" s="10">
        <v>0.14000000000000001</v>
      </c>
      <c r="N4616" s="10">
        <v>0.14000000000000001</v>
      </c>
      <c r="O4616" s="10">
        <v>1.161</v>
      </c>
      <c r="P4616" s="15" t="s">
        <v>24894</v>
      </c>
      <c r="Q4616" s="15" t="s">
        <v>24894</v>
      </c>
      <c r="R4616" s="10">
        <v>0</v>
      </c>
    </row>
    <row r="4617" spans="1:18" ht="17" customHeight="1" x14ac:dyDescent="0.15">
      <c r="A4617" s="11" t="s">
        <v>24941</v>
      </c>
      <c r="B4617" s="1" t="s">
        <v>24942</v>
      </c>
      <c r="C4617" s="11" t="s">
        <v>24943</v>
      </c>
      <c r="D4617" s="11" t="s">
        <v>24943</v>
      </c>
      <c r="E4617" s="11" t="s">
        <v>24944</v>
      </c>
      <c r="F4617" s="11" t="s">
        <v>24945</v>
      </c>
      <c r="G4617" s="11" t="s">
        <v>24946</v>
      </c>
      <c r="H4617" s="11" t="s">
        <v>24908</v>
      </c>
      <c r="I4617" s="11" t="str">
        <f>HYPERLINK("http://www.reveye.it/","www.reveye.it")</f>
        <v>www.reveye.it</v>
      </c>
      <c r="J4617" s="12">
        <v>115.59699999999999</v>
      </c>
      <c r="K4617" s="12">
        <v>115.59699999999999</v>
      </c>
      <c r="L4617" s="13">
        <v>89.114999999999995</v>
      </c>
      <c r="M4617" s="12">
        <v>-10.464</v>
      </c>
      <c r="N4617" s="12">
        <v>-10.464</v>
      </c>
      <c r="O4617" s="12">
        <v>1.502</v>
      </c>
      <c r="P4617" s="12">
        <v>0</v>
      </c>
      <c r="Q4617" s="12">
        <v>0</v>
      </c>
      <c r="R4617" s="12">
        <v>0</v>
      </c>
    </row>
    <row r="4618" spans="1:18" ht="17" customHeight="1" x14ac:dyDescent="0.15">
      <c r="A4618" s="8" t="s">
        <v>24947</v>
      </c>
      <c r="B4618" s="9" t="s">
        <v>24948</v>
      </c>
      <c r="C4618" s="8" t="s">
        <v>24949</v>
      </c>
      <c r="D4618" s="8" t="s">
        <v>24949</v>
      </c>
      <c r="E4618" s="8" t="s">
        <v>24950</v>
      </c>
      <c r="F4618" s="8" t="s">
        <v>24938</v>
      </c>
      <c r="G4618" s="8" t="s">
        <v>24927</v>
      </c>
      <c r="H4618" s="8" t="s">
        <v>24928</v>
      </c>
      <c r="I4618" s="8" t="str">
        <f>HYPERLINK("http://www.miacarmen.it/","www.miacarmen.it/")</f>
        <v>www.miacarmen.it/</v>
      </c>
      <c r="J4618" s="10">
        <v>101.578</v>
      </c>
      <c r="K4618" s="10">
        <v>89.222999999999999</v>
      </c>
      <c r="L4618" s="10">
        <v>88.581000000000003</v>
      </c>
      <c r="M4618" s="10">
        <v>-13.71</v>
      </c>
      <c r="N4618" s="10">
        <v>-20.012</v>
      </c>
      <c r="O4618" s="10">
        <v>-12.582000000000001</v>
      </c>
      <c r="P4618" s="10">
        <v>2</v>
      </c>
      <c r="Q4618" s="10">
        <v>1</v>
      </c>
      <c r="R4618" s="10">
        <v>1</v>
      </c>
    </row>
    <row r="4619" spans="1:18" ht="17" customHeight="1" x14ac:dyDescent="0.15">
      <c r="A4619" s="11" t="s">
        <v>24951</v>
      </c>
      <c r="B4619" s="1" t="s">
        <v>24952</v>
      </c>
      <c r="C4619" s="11" t="s">
        <v>24953</v>
      </c>
      <c r="D4619" s="11" t="s">
        <v>24953</v>
      </c>
      <c r="E4619" s="11" t="s">
        <v>24954</v>
      </c>
      <c r="F4619" s="11" t="s">
        <v>24920</v>
      </c>
      <c r="G4619" s="11" t="s">
        <v>24955</v>
      </c>
      <c r="H4619" s="11" t="s">
        <v>24956</v>
      </c>
      <c r="I4619" s="11" t="str">
        <f>HYPERLINK("http://www.rtexsrl.com/","www.rtexsrl.com")</f>
        <v>www.rtexsrl.com</v>
      </c>
      <c r="J4619" s="12">
        <v>0</v>
      </c>
      <c r="K4619" s="12">
        <v>0</v>
      </c>
      <c r="L4619" s="13">
        <v>88.594999999999999</v>
      </c>
      <c r="M4619" s="12">
        <v>1.7070000000000001</v>
      </c>
      <c r="N4619" s="12">
        <v>1.7070000000000001</v>
      </c>
      <c r="O4619" s="12">
        <v>10.603</v>
      </c>
      <c r="P4619" s="12">
        <v>0</v>
      </c>
      <c r="Q4619" s="12">
        <v>0</v>
      </c>
      <c r="R4619" s="12">
        <v>0</v>
      </c>
    </row>
    <row r="4620" spans="1:18" ht="17" customHeight="1" x14ac:dyDescent="0.15">
      <c r="A4620" s="8" t="s">
        <v>24957</v>
      </c>
      <c r="B4620" s="9" t="s">
        <v>24958</v>
      </c>
      <c r="C4620" s="8" t="s">
        <v>24959</v>
      </c>
      <c r="D4620" s="8" t="s">
        <v>24959</v>
      </c>
      <c r="E4620" s="8" t="s">
        <v>24960</v>
      </c>
      <c r="F4620" s="8" t="s">
        <v>24961</v>
      </c>
      <c r="G4620" s="8" t="s">
        <v>24962</v>
      </c>
      <c r="H4620" s="8" t="s">
        <v>24963</v>
      </c>
      <c r="I4620" s="8" t="str">
        <f>HYPERLINK("http://www.lucialombardi.it/","www.lucialombardi.it")</f>
        <v>www.lucialombardi.it</v>
      </c>
      <c r="J4620" s="10">
        <v>89.495999999999995</v>
      </c>
      <c r="K4620" s="10">
        <v>89.495999999999995</v>
      </c>
      <c r="L4620" s="10">
        <v>88.525999999999996</v>
      </c>
      <c r="M4620" s="10">
        <v>34.076000000000001</v>
      </c>
      <c r="N4620" s="10">
        <v>34.076000000000001</v>
      </c>
      <c r="O4620" s="10">
        <v>29.678999999999998</v>
      </c>
      <c r="P4620" s="10">
        <v>3</v>
      </c>
      <c r="Q4620" s="10">
        <v>3</v>
      </c>
      <c r="R4620" s="10">
        <v>3</v>
      </c>
    </row>
    <row r="4621" spans="1:18" ht="17" customHeight="1" x14ac:dyDescent="0.15">
      <c r="A4621" s="11" t="s">
        <v>24964</v>
      </c>
      <c r="B4621" s="1" t="s">
        <v>24965</v>
      </c>
      <c r="C4621" s="11" t="s">
        <v>24966</v>
      </c>
      <c r="D4621" s="11" t="s">
        <v>24966</v>
      </c>
      <c r="E4621" s="11" t="s">
        <v>24967</v>
      </c>
      <c r="F4621" s="11" t="s">
        <v>24920</v>
      </c>
      <c r="G4621" s="11" t="s">
        <v>24968</v>
      </c>
      <c r="H4621" s="11" t="s">
        <v>24908</v>
      </c>
      <c r="I4621" s="11" t="str">
        <f>HYPERLINK("http://www.safiramilano.it/","www.safiramilano.it")</f>
        <v>www.safiramilano.it</v>
      </c>
      <c r="J4621" s="12">
        <v>88.436999999999998</v>
      </c>
      <c r="K4621" s="14" t="s">
        <v>24894</v>
      </c>
      <c r="L4621" s="13">
        <v>88.436999999999998</v>
      </c>
      <c r="M4621" s="12">
        <v>-98.484999999999999</v>
      </c>
      <c r="N4621" s="14" t="s">
        <v>24894</v>
      </c>
      <c r="O4621" s="12">
        <v>-98.484999999999999</v>
      </c>
      <c r="P4621" s="12">
        <v>2</v>
      </c>
      <c r="Q4621" s="14" t="s">
        <v>24894</v>
      </c>
      <c r="R4621" s="12">
        <v>2</v>
      </c>
    </row>
    <row r="4622" spans="1:18" ht="43" customHeight="1" x14ac:dyDescent="0.15">
      <c r="A4622" s="8" t="s">
        <v>24969</v>
      </c>
      <c r="B4622" s="9" t="s">
        <v>24970</v>
      </c>
      <c r="C4622" s="8" t="s">
        <v>24971</v>
      </c>
      <c r="D4622" s="8" t="s">
        <v>24971</v>
      </c>
      <c r="E4622" s="8" t="s">
        <v>24972</v>
      </c>
      <c r="F4622" s="8" t="s">
        <v>24938</v>
      </c>
      <c r="G4622" s="8" t="s">
        <v>24927</v>
      </c>
      <c r="H4622" s="8" t="s">
        <v>24928</v>
      </c>
      <c r="I4622" s="8" t="str">
        <f>HYPERLINK("http://www.coloriage.it/","www.coloriage.it")</f>
        <v>www.coloriage.it</v>
      </c>
      <c r="J4622" s="10">
        <v>207.661</v>
      </c>
      <c r="K4622" s="10">
        <v>207.661</v>
      </c>
      <c r="L4622" s="10">
        <v>88.33</v>
      </c>
      <c r="M4622" s="10">
        <v>-15.183999999999999</v>
      </c>
      <c r="N4622" s="10">
        <v>-15.183999999999999</v>
      </c>
      <c r="O4622" s="10">
        <v>0.25600000000000001</v>
      </c>
      <c r="P4622" s="15" t="s">
        <v>24894</v>
      </c>
      <c r="Q4622" s="15" t="s">
        <v>24894</v>
      </c>
      <c r="R4622" s="10">
        <v>1</v>
      </c>
    </row>
    <row r="4623" spans="1:18" ht="17" customHeight="1" x14ac:dyDescent="0.15">
      <c r="A4623" s="11" t="s">
        <v>24973</v>
      </c>
      <c r="B4623" s="1" t="s">
        <v>24974</v>
      </c>
      <c r="C4623" s="11" t="s">
        <v>24975</v>
      </c>
      <c r="D4623" s="11" t="s">
        <v>24975</v>
      </c>
      <c r="E4623" s="11" t="s">
        <v>24976</v>
      </c>
      <c r="F4623" s="11" t="s">
        <v>24977</v>
      </c>
      <c r="G4623" s="11" t="s">
        <v>24962</v>
      </c>
      <c r="H4623" s="11" t="s">
        <v>24963</v>
      </c>
      <c r="I4623" s="11" t="str">
        <f>HYPERLINK("http://www.camg.it/","www.camg.it")</f>
        <v>www.camg.it</v>
      </c>
      <c r="J4623" s="12">
        <v>75.744</v>
      </c>
      <c r="K4623" s="12">
        <v>75.744</v>
      </c>
      <c r="L4623" s="13">
        <v>88.028999999999996</v>
      </c>
      <c r="M4623" s="12">
        <v>-2.125</v>
      </c>
      <c r="N4623" s="12">
        <v>-2.125</v>
      </c>
      <c r="O4623" s="12">
        <v>-9.4429999999999996</v>
      </c>
      <c r="P4623" s="12">
        <v>1</v>
      </c>
      <c r="Q4623" s="12">
        <v>1</v>
      </c>
      <c r="R4623" s="12">
        <v>1</v>
      </c>
    </row>
    <row r="4624" spans="1:18" ht="17" customHeight="1" x14ac:dyDescent="0.15">
      <c r="A4624" s="8" t="s">
        <v>24978</v>
      </c>
      <c r="B4624" s="9" t="s">
        <v>24979</v>
      </c>
      <c r="C4624" s="8" t="s">
        <v>24980</v>
      </c>
      <c r="D4624" s="8" t="s">
        <v>24980</v>
      </c>
      <c r="E4624" s="8" t="s">
        <v>24981</v>
      </c>
      <c r="F4624" s="8" t="s">
        <v>24982</v>
      </c>
      <c r="G4624" s="8" t="s">
        <v>24983</v>
      </c>
      <c r="H4624" s="8" t="s">
        <v>24963</v>
      </c>
      <c r="I4624" s="8" t="str">
        <f>HYPERLINK("http://guido@agostinistudio.com/","guido@agostinistudio.com")</f>
        <v>guido@agostinistudio.com</v>
      </c>
      <c r="J4624" s="10">
        <v>96</v>
      </c>
      <c r="K4624" s="10">
        <v>96</v>
      </c>
      <c r="L4624" s="10">
        <v>87</v>
      </c>
      <c r="M4624" s="10">
        <v>27.076000000000001</v>
      </c>
      <c r="N4624" s="10">
        <v>27.076000000000001</v>
      </c>
      <c r="O4624" s="10">
        <v>14.435</v>
      </c>
      <c r="P4624" s="10">
        <v>0</v>
      </c>
      <c r="Q4624" s="10">
        <v>0</v>
      </c>
      <c r="R4624" s="10">
        <v>0</v>
      </c>
    </row>
    <row r="4625" spans="1:18" ht="29.5" customHeight="1" x14ac:dyDescent="0.15">
      <c r="A4625" s="11" t="s">
        <v>24984</v>
      </c>
      <c r="B4625" s="1" t="s">
        <v>24985</v>
      </c>
      <c r="C4625" s="11" t="s">
        <v>24986</v>
      </c>
      <c r="D4625" s="11" t="s">
        <v>24986</v>
      </c>
      <c r="E4625" s="11" t="s">
        <v>24987</v>
      </c>
      <c r="F4625" s="11" t="s">
        <v>24938</v>
      </c>
      <c r="G4625" s="11" t="s">
        <v>24988</v>
      </c>
      <c r="H4625" s="11" t="s">
        <v>24893</v>
      </c>
      <c r="I4625" s="11" t="str">
        <f>HYPERLINK("http://www.sartoriacoppola.it/","www.sartoriacoppola.it")</f>
        <v>www.sartoriacoppola.it</v>
      </c>
      <c r="J4625" s="12">
        <v>98.361999999999995</v>
      </c>
      <c r="K4625" s="12">
        <v>98.361999999999995</v>
      </c>
      <c r="L4625" s="13">
        <v>86.688000000000002</v>
      </c>
      <c r="M4625" s="12">
        <v>2.6320000000000001</v>
      </c>
      <c r="N4625" s="12">
        <v>2.6320000000000001</v>
      </c>
      <c r="O4625" s="12">
        <v>31.547000000000001</v>
      </c>
      <c r="P4625" s="12">
        <v>4</v>
      </c>
      <c r="Q4625" s="12">
        <v>4</v>
      </c>
      <c r="R4625" s="12">
        <v>4</v>
      </c>
    </row>
    <row r="4626" spans="1:18" ht="29.5" customHeight="1" x14ac:dyDescent="0.15">
      <c r="A4626" s="8" t="s">
        <v>24989</v>
      </c>
      <c r="B4626" s="9" t="s">
        <v>24990</v>
      </c>
      <c r="C4626" s="8" t="s">
        <v>24991</v>
      </c>
      <c r="D4626" s="8" t="s">
        <v>24991</v>
      </c>
      <c r="E4626" s="8" t="s">
        <v>24992</v>
      </c>
      <c r="F4626" s="8" t="s">
        <v>24938</v>
      </c>
      <c r="G4626" s="8" t="s">
        <v>24993</v>
      </c>
      <c r="H4626" s="8" t="s">
        <v>24994</v>
      </c>
      <c r="I4626" s="8" t="str">
        <f>HYPERLINK("http://www.davidemuccinelli.it/","www.davidemuccinelli.it")</f>
        <v>www.davidemuccinelli.it</v>
      </c>
      <c r="J4626" s="10">
        <v>0.90600000000000003</v>
      </c>
      <c r="K4626" s="10">
        <v>0.90600000000000003</v>
      </c>
      <c r="L4626" s="10">
        <v>86.741</v>
      </c>
      <c r="M4626" s="10">
        <v>-14.561999999999999</v>
      </c>
      <c r="N4626" s="10">
        <v>-14.561999999999999</v>
      </c>
      <c r="O4626" s="10">
        <v>19.956</v>
      </c>
      <c r="P4626" s="10">
        <v>0</v>
      </c>
      <c r="Q4626" s="10">
        <v>0</v>
      </c>
      <c r="R4626" s="10">
        <v>0</v>
      </c>
    </row>
    <row r="4627" spans="1:18" ht="17" customHeight="1" x14ac:dyDescent="0.15">
      <c r="A4627" s="11" t="s">
        <v>24995</v>
      </c>
      <c r="B4627" s="1" t="s">
        <v>24996</v>
      </c>
      <c r="C4627" s="11" t="s">
        <v>24997</v>
      </c>
      <c r="D4627" s="11" t="s">
        <v>24997</v>
      </c>
      <c r="E4627" s="11" t="s">
        <v>24998</v>
      </c>
      <c r="F4627" s="11" t="s">
        <v>24920</v>
      </c>
      <c r="G4627" s="11" t="s">
        <v>24999</v>
      </c>
      <c r="H4627" s="11" t="s">
        <v>25000</v>
      </c>
      <c r="I4627" s="11" t="str">
        <f>HYPERLINK("http://www.doppiozero.eu/","www.doppiozero.eu")</f>
        <v>www.doppiozero.eu</v>
      </c>
      <c r="J4627" s="12">
        <v>80.814999999999998</v>
      </c>
      <c r="K4627" s="12">
        <v>80.814999999999998</v>
      </c>
      <c r="L4627" s="13">
        <v>86.317999999999998</v>
      </c>
      <c r="M4627" s="12">
        <v>1.7589999999999999</v>
      </c>
      <c r="N4627" s="12">
        <v>1.7589999999999999</v>
      </c>
      <c r="O4627" s="12">
        <v>2.0739999999999998</v>
      </c>
      <c r="P4627" s="14" t="s">
        <v>24894</v>
      </c>
      <c r="Q4627" s="14" t="s">
        <v>24894</v>
      </c>
      <c r="R4627" s="12">
        <v>2</v>
      </c>
    </row>
    <row r="4628" spans="1:18" ht="29.5" customHeight="1" x14ac:dyDescent="0.15">
      <c r="A4628" s="8" t="s">
        <v>25001</v>
      </c>
      <c r="B4628" s="9" t="s">
        <v>25002</v>
      </c>
      <c r="C4628" s="8" t="s">
        <v>25003</v>
      </c>
      <c r="D4628" s="8" t="s">
        <v>25003</v>
      </c>
      <c r="E4628" s="8" t="s">
        <v>25004</v>
      </c>
      <c r="F4628" s="8" t="s">
        <v>24891</v>
      </c>
      <c r="G4628" s="8" t="s">
        <v>24921</v>
      </c>
      <c r="H4628" s="8" t="s">
        <v>24922</v>
      </c>
      <c r="I4628" s="8" t="str">
        <f>HYPERLINK("http://madeinsudsalento.it/","madeinsudsalento.it")</f>
        <v>madeinsudsalento.it</v>
      </c>
      <c r="J4628" s="10">
        <v>86.12</v>
      </c>
      <c r="K4628" s="15" t="s">
        <v>24894</v>
      </c>
      <c r="L4628" s="10">
        <v>86.12</v>
      </c>
      <c r="M4628" s="10">
        <v>23.71</v>
      </c>
      <c r="N4628" s="15" t="s">
        <v>24894</v>
      </c>
      <c r="O4628" s="10">
        <v>23.71</v>
      </c>
      <c r="P4628" s="15" t="s">
        <v>24894</v>
      </c>
      <c r="Q4628" s="15" t="s">
        <v>24894</v>
      </c>
      <c r="R4628" s="15" t="s">
        <v>24894</v>
      </c>
    </row>
    <row r="4629" spans="1:18" ht="43" customHeight="1" x14ac:dyDescent="0.15">
      <c r="A4629" s="11" t="s">
        <v>25005</v>
      </c>
      <c r="B4629" s="1" t="s">
        <v>25006</v>
      </c>
      <c r="C4629" s="11" t="s">
        <v>25007</v>
      </c>
      <c r="D4629" s="11" t="s">
        <v>25007</v>
      </c>
      <c r="E4629" s="11" t="s">
        <v>25008</v>
      </c>
      <c r="F4629" s="11" t="s">
        <v>25009</v>
      </c>
      <c r="G4629" s="11" t="s">
        <v>25010</v>
      </c>
      <c r="H4629" s="11" t="s">
        <v>24922</v>
      </c>
      <c r="I4629" s="11" t="str">
        <f>HYPERLINK("http://www.kingecomm.com/","www.kingecomm.com")</f>
        <v>www.kingecomm.com</v>
      </c>
      <c r="J4629" s="12">
        <v>84.897000000000006</v>
      </c>
      <c r="K4629" s="14" t="s">
        <v>24894</v>
      </c>
      <c r="L4629" s="13">
        <v>84.897000000000006</v>
      </c>
      <c r="M4629" s="12">
        <v>-3.9249999999999998</v>
      </c>
      <c r="N4629" s="14" t="s">
        <v>24894</v>
      </c>
      <c r="O4629" s="12">
        <v>-3.9249999999999998</v>
      </c>
      <c r="P4629" s="12">
        <v>0</v>
      </c>
      <c r="Q4629" s="14" t="s">
        <v>24894</v>
      </c>
      <c r="R4629" s="12">
        <v>0</v>
      </c>
    </row>
    <row r="4630" spans="1:18" ht="43" customHeight="1" x14ac:dyDescent="0.15">
      <c r="A4630" s="8" t="s">
        <v>25011</v>
      </c>
      <c r="B4630" s="9" t="s">
        <v>25012</v>
      </c>
      <c r="C4630" s="8" t="s">
        <v>25013</v>
      </c>
      <c r="D4630" s="8" t="s">
        <v>25013</v>
      </c>
      <c r="E4630" s="8" t="s">
        <v>25014</v>
      </c>
      <c r="F4630" s="8" t="s">
        <v>24920</v>
      </c>
      <c r="G4630" s="8" t="s">
        <v>25015</v>
      </c>
      <c r="H4630" s="8" t="s">
        <v>25016</v>
      </c>
      <c r="I4630" s="8" t="str">
        <f>HYPERLINK("http://www.madeinmente.com/","www.madeinmente.com")</f>
        <v>www.madeinmente.com</v>
      </c>
      <c r="J4630" s="10">
        <v>195.84700000000001</v>
      </c>
      <c r="K4630" s="10">
        <v>195.84700000000001</v>
      </c>
      <c r="L4630" s="10">
        <v>84.713999999999999</v>
      </c>
      <c r="M4630" s="10">
        <v>-14.536</v>
      </c>
      <c r="N4630" s="10">
        <v>-14.536</v>
      </c>
      <c r="O4630" s="10">
        <v>3.21</v>
      </c>
      <c r="P4630" s="15" t="s">
        <v>24894</v>
      </c>
      <c r="Q4630" s="15" t="s">
        <v>24894</v>
      </c>
      <c r="R4630" s="10">
        <v>0</v>
      </c>
    </row>
    <row r="4631" spans="1:18" ht="17" customHeight="1" x14ac:dyDescent="0.15">
      <c r="A4631" s="11" t="s">
        <v>25017</v>
      </c>
      <c r="B4631" s="1" t="s">
        <v>25018</v>
      </c>
      <c r="C4631" s="11" t="s">
        <v>25019</v>
      </c>
      <c r="D4631" s="11" t="s">
        <v>25019</v>
      </c>
      <c r="E4631" s="11" t="s">
        <v>25020</v>
      </c>
      <c r="F4631" s="11" t="s">
        <v>24920</v>
      </c>
      <c r="G4631" s="11" t="s">
        <v>25021</v>
      </c>
      <c r="H4631" s="11" t="s">
        <v>24956</v>
      </c>
      <c r="I4631" s="11" t="str">
        <f>HYPERLINK("http://www.liujopets.com/","www.liujopets.com")</f>
        <v>www.liujopets.com</v>
      </c>
      <c r="J4631" s="12">
        <v>108.773</v>
      </c>
      <c r="K4631" s="12">
        <v>108.773</v>
      </c>
      <c r="L4631" s="13">
        <v>84.673000000000002</v>
      </c>
      <c r="M4631" s="12">
        <v>-35.375</v>
      </c>
      <c r="N4631" s="12">
        <v>-35.375</v>
      </c>
      <c r="O4631" s="12">
        <v>-15.14</v>
      </c>
      <c r="P4631" s="12">
        <v>1</v>
      </c>
      <c r="Q4631" s="12">
        <v>1</v>
      </c>
      <c r="R4631" s="14" t="s">
        <v>24894</v>
      </c>
    </row>
    <row r="4632" spans="1:18" ht="43" customHeight="1" x14ac:dyDescent="0.15">
      <c r="A4632" s="8" t="s">
        <v>25022</v>
      </c>
      <c r="B4632" s="9" t="s">
        <v>25023</v>
      </c>
      <c r="C4632" s="8" t="s">
        <v>25024</v>
      </c>
      <c r="D4632" s="8" t="s">
        <v>25024</v>
      </c>
      <c r="E4632" s="8" t="s">
        <v>25025</v>
      </c>
      <c r="F4632" s="8" t="s">
        <v>24899</v>
      </c>
      <c r="G4632" s="8" t="s">
        <v>24892</v>
      </c>
      <c r="H4632" s="8" t="s">
        <v>24893</v>
      </c>
      <c r="I4632" s="8" t="str">
        <f>HYPERLINK("http://nosbeachwear.com/","nosbeachwear.com")</f>
        <v>nosbeachwear.com</v>
      </c>
      <c r="J4632" s="10">
        <v>84.366</v>
      </c>
      <c r="K4632" s="15" t="s">
        <v>24894</v>
      </c>
      <c r="L4632" s="10">
        <v>84.366</v>
      </c>
      <c r="M4632" s="10">
        <v>12</v>
      </c>
      <c r="N4632" s="15" t="s">
        <v>24894</v>
      </c>
      <c r="O4632" s="10">
        <v>12</v>
      </c>
      <c r="P4632" s="10">
        <v>2</v>
      </c>
      <c r="Q4632" s="15" t="s">
        <v>24894</v>
      </c>
      <c r="R4632" s="10">
        <v>2</v>
      </c>
    </row>
    <row r="4633" spans="1:18" ht="17" customHeight="1" x14ac:dyDescent="0.15">
      <c r="A4633" s="11" t="s">
        <v>25026</v>
      </c>
      <c r="B4633" s="1" t="s">
        <v>25027</v>
      </c>
      <c r="C4633" s="11" t="s">
        <v>25028</v>
      </c>
      <c r="D4633" s="11" t="s">
        <v>25028</v>
      </c>
      <c r="E4633" s="11" t="s">
        <v>25029</v>
      </c>
      <c r="F4633" s="11" t="s">
        <v>24945</v>
      </c>
      <c r="G4633" s="11" t="s">
        <v>24907</v>
      </c>
      <c r="H4633" s="11" t="s">
        <v>24908</v>
      </c>
      <c r="I4633" s="11" t="str">
        <f>HYPERLINK("http://www.yalitribe.com/","www.yalitribe.com")</f>
        <v>www.yalitribe.com</v>
      </c>
      <c r="J4633" s="12">
        <v>161.965</v>
      </c>
      <c r="K4633" s="12">
        <v>161.965</v>
      </c>
      <c r="L4633" s="13">
        <v>84.25</v>
      </c>
      <c r="M4633" s="12">
        <v>-66.683999999999997</v>
      </c>
      <c r="N4633" s="12">
        <v>-66.683999999999997</v>
      </c>
      <c r="O4633" s="12">
        <v>-114.739</v>
      </c>
      <c r="P4633" s="12">
        <v>1</v>
      </c>
      <c r="Q4633" s="12">
        <v>1</v>
      </c>
      <c r="R4633" s="12">
        <v>1</v>
      </c>
    </row>
    <row r="4634" spans="1:18" ht="17" customHeight="1" x14ac:dyDescent="0.15">
      <c r="A4634" s="8" t="s">
        <v>25030</v>
      </c>
      <c r="B4634" s="9" t="s">
        <v>25031</v>
      </c>
      <c r="C4634" s="8" t="s">
        <v>25032</v>
      </c>
      <c r="D4634" s="8" t="s">
        <v>25032</v>
      </c>
      <c r="E4634" s="8" t="s">
        <v>25033</v>
      </c>
      <c r="F4634" s="8" t="s">
        <v>24945</v>
      </c>
      <c r="G4634" s="8" t="s">
        <v>24907</v>
      </c>
      <c r="H4634" s="8" t="s">
        <v>24908</v>
      </c>
      <c r="I4634" s="8" t="str">
        <f>HYPERLINK("http://www.festivalcostumidabagno.it/","www.festivalcostumidabagno.it")</f>
        <v>www.festivalcostumidabagno.it</v>
      </c>
      <c r="J4634" s="10">
        <v>82.968999999999994</v>
      </c>
      <c r="K4634" s="10">
        <v>82.968999999999994</v>
      </c>
      <c r="L4634" s="10">
        <v>84.314999999999998</v>
      </c>
      <c r="M4634" s="10">
        <v>-18.213000000000001</v>
      </c>
      <c r="N4634" s="10">
        <v>-18.213000000000001</v>
      </c>
      <c r="O4634" s="10">
        <v>-27.22</v>
      </c>
      <c r="P4634" s="10">
        <v>1</v>
      </c>
      <c r="Q4634" s="10">
        <v>1</v>
      </c>
      <c r="R4634" s="10">
        <v>1</v>
      </c>
    </row>
    <row r="4635" spans="1:18" ht="29.5" customHeight="1" x14ac:dyDescent="0.15">
      <c r="A4635" s="11" t="s">
        <v>25034</v>
      </c>
      <c r="B4635" s="1" t="s">
        <v>25035</v>
      </c>
      <c r="C4635" s="11" t="s">
        <v>25036</v>
      </c>
      <c r="D4635" s="11" t="s">
        <v>25036</v>
      </c>
      <c r="E4635" s="11" t="s">
        <v>25037</v>
      </c>
      <c r="F4635" s="11" t="s">
        <v>24938</v>
      </c>
      <c r="G4635" s="11" t="s">
        <v>25038</v>
      </c>
      <c r="H4635" s="11" t="s">
        <v>24956</v>
      </c>
      <c r="I4635" s="11" t="str">
        <f>HYPERLINK("http://parafioriticonfezioni.it/","parafioriticonfezioni.it")</f>
        <v>parafioriticonfezioni.it</v>
      </c>
      <c r="J4635" s="12">
        <v>40.947000000000003</v>
      </c>
      <c r="K4635" s="12">
        <v>90.349000000000004</v>
      </c>
      <c r="L4635" s="13">
        <v>84.295000000000002</v>
      </c>
      <c r="M4635" s="12">
        <v>-51.749000000000002</v>
      </c>
      <c r="N4635" s="12">
        <v>-22.52</v>
      </c>
      <c r="O4635" s="12">
        <v>-33.838999999999999</v>
      </c>
      <c r="P4635" s="12">
        <v>2</v>
      </c>
      <c r="Q4635" s="12">
        <v>3</v>
      </c>
      <c r="R4635" s="12">
        <v>5</v>
      </c>
    </row>
    <row r="4636" spans="1:18" ht="43" customHeight="1" x14ac:dyDescent="0.15">
      <c r="A4636" s="8" t="s">
        <v>25039</v>
      </c>
      <c r="B4636" s="9" t="s">
        <v>25040</v>
      </c>
      <c r="C4636" s="8" t="s">
        <v>25041</v>
      </c>
      <c r="D4636" s="8" t="s">
        <v>25041</v>
      </c>
      <c r="E4636" s="8" t="s">
        <v>25042</v>
      </c>
      <c r="F4636" s="8" t="s">
        <v>25009</v>
      </c>
      <c r="G4636" s="8" t="s">
        <v>25043</v>
      </c>
      <c r="H4636" s="8" t="s">
        <v>25044</v>
      </c>
      <c r="I4636" s="8" t="str">
        <f>HYPERLINK("http://lecuffiettedigio.com/","lecuffiettedigio.com")</f>
        <v>lecuffiettedigio.com</v>
      </c>
      <c r="J4636" s="10">
        <v>97.274000000000001</v>
      </c>
      <c r="K4636" s="10">
        <v>97.274000000000001</v>
      </c>
      <c r="L4636" s="10">
        <v>83.332999999999998</v>
      </c>
      <c r="M4636" s="10">
        <v>-1.363</v>
      </c>
      <c r="N4636" s="10">
        <v>-1.363</v>
      </c>
      <c r="O4636" s="10">
        <v>-30.649000000000001</v>
      </c>
      <c r="P4636" s="10">
        <v>1</v>
      </c>
      <c r="Q4636" s="10">
        <v>1</v>
      </c>
      <c r="R4636" s="10">
        <v>2</v>
      </c>
    </row>
    <row r="4637" spans="1:18" ht="29.5" customHeight="1" x14ac:dyDescent="0.15">
      <c r="A4637" s="11" t="s">
        <v>25045</v>
      </c>
      <c r="B4637" s="1" t="s">
        <v>25046</v>
      </c>
      <c r="C4637" s="11" t="s">
        <v>25047</v>
      </c>
      <c r="D4637" s="11" t="s">
        <v>25047</v>
      </c>
      <c r="E4637" s="11" t="s">
        <v>25048</v>
      </c>
      <c r="F4637" s="11" t="s">
        <v>24938</v>
      </c>
      <c r="G4637" s="11" t="s">
        <v>25049</v>
      </c>
      <c r="H4637" s="11" t="s">
        <v>25050</v>
      </c>
      <c r="I4637" s="11" t="str">
        <f>HYPERLINK("http://www.atelierpilotto.com/","www.atelierpilotto.com")</f>
        <v>www.atelierpilotto.com</v>
      </c>
      <c r="J4637" s="12">
        <v>70.215000000000003</v>
      </c>
      <c r="K4637" s="12">
        <v>70.215000000000003</v>
      </c>
      <c r="L4637" s="13">
        <v>82.593999999999994</v>
      </c>
      <c r="M4637" s="12">
        <v>2.2320000000000002</v>
      </c>
      <c r="N4637" s="12">
        <v>2.2320000000000002</v>
      </c>
      <c r="O4637" s="12">
        <v>1.29</v>
      </c>
      <c r="P4637" s="14" t="s">
        <v>24894</v>
      </c>
      <c r="Q4637" s="14" t="s">
        <v>24894</v>
      </c>
      <c r="R4637" s="12">
        <v>2</v>
      </c>
    </row>
    <row r="4638" spans="1:18" ht="17" customHeight="1" x14ac:dyDescent="0.15">
      <c r="A4638" s="8" t="s">
        <v>25051</v>
      </c>
      <c r="B4638" s="9" t="s">
        <v>25052</v>
      </c>
      <c r="C4638" s="8" t="s">
        <v>25053</v>
      </c>
      <c r="D4638" s="8" t="s">
        <v>25053</v>
      </c>
      <c r="E4638" s="8" t="s">
        <v>25054</v>
      </c>
      <c r="F4638" s="8" t="s">
        <v>24899</v>
      </c>
      <c r="G4638" s="8" t="s">
        <v>24892</v>
      </c>
      <c r="H4638" s="8" t="s">
        <v>24893</v>
      </c>
      <c r="I4638" s="8" t="str">
        <f>HYPERLINK("http://www.danzificiopetrecca.it/","www.danzificiopetrecca.it")</f>
        <v>www.danzificiopetrecca.it</v>
      </c>
      <c r="J4638" s="10">
        <v>73.781999999999996</v>
      </c>
      <c r="K4638" s="10">
        <v>73.781999999999996</v>
      </c>
      <c r="L4638" s="10">
        <v>82.293999999999997</v>
      </c>
      <c r="M4638" s="10">
        <v>-0.90800000000000003</v>
      </c>
      <c r="N4638" s="10">
        <v>-0.90800000000000003</v>
      </c>
      <c r="O4638" s="10">
        <v>-4.6740000000000004</v>
      </c>
      <c r="P4638" s="15" t="s">
        <v>24894</v>
      </c>
      <c r="Q4638" s="15" t="s">
        <v>24894</v>
      </c>
      <c r="R4638" s="10">
        <v>4</v>
      </c>
    </row>
    <row r="4639" spans="1:18" ht="17" customHeight="1" x14ac:dyDescent="0.15">
      <c r="A4639" s="11" t="s">
        <v>25055</v>
      </c>
      <c r="B4639" s="1" t="s">
        <v>25056</v>
      </c>
      <c r="C4639" s="11" t="s">
        <v>25057</v>
      </c>
      <c r="D4639" s="11" t="s">
        <v>25057</v>
      </c>
      <c r="E4639" s="11" t="s">
        <v>25058</v>
      </c>
      <c r="F4639" s="11" t="s">
        <v>24977</v>
      </c>
      <c r="G4639" s="11" t="s">
        <v>25059</v>
      </c>
      <c r="H4639" s="11" t="s">
        <v>24963</v>
      </c>
      <c r="I4639" s="11" t="str">
        <f>HYPERLINK("http://www.petris.it/","www.petris.it")</f>
        <v>www.petris.it</v>
      </c>
      <c r="J4639" s="12">
        <v>84.468000000000004</v>
      </c>
      <c r="K4639" s="12">
        <v>84.468000000000004</v>
      </c>
      <c r="L4639" s="13">
        <v>82.091999999999999</v>
      </c>
      <c r="M4639" s="12">
        <v>1.119</v>
      </c>
      <c r="N4639" s="12">
        <v>1.119</v>
      </c>
      <c r="O4639" s="12">
        <v>24.798999999999999</v>
      </c>
      <c r="P4639" s="12">
        <v>0</v>
      </c>
      <c r="Q4639" s="12">
        <v>0</v>
      </c>
      <c r="R4639" s="12">
        <v>0</v>
      </c>
    </row>
    <row r="4640" spans="1:18" ht="29.5" customHeight="1" x14ac:dyDescent="0.15">
      <c r="A4640" s="8" t="s">
        <v>25060</v>
      </c>
      <c r="B4640" s="9" t="s">
        <v>25061</v>
      </c>
      <c r="C4640" s="8" t="s">
        <v>25062</v>
      </c>
      <c r="D4640" s="8" t="s">
        <v>25062</v>
      </c>
      <c r="E4640" s="8" t="s">
        <v>25063</v>
      </c>
      <c r="F4640" s="8" t="s">
        <v>25064</v>
      </c>
      <c r="G4640" s="8" t="s">
        <v>25065</v>
      </c>
      <c r="H4640" s="8" t="s">
        <v>24928</v>
      </c>
      <c r="I4640" s="8" t="str">
        <f>HYPERLINK("http://www.metodobaittiner.com/","www.metodobaittiner.com")</f>
        <v>www.metodobaittiner.com</v>
      </c>
      <c r="J4640" s="10">
        <v>69.876000000000005</v>
      </c>
      <c r="K4640" s="10">
        <v>69.876000000000005</v>
      </c>
      <c r="L4640" s="10">
        <v>81.838999999999999</v>
      </c>
      <c r="M4640" s="10">
        <v>4.2450000000000001</v>
      </c>
      <c r="N4640" s="10">
        <v>4.2450000000000001</v>
      </c>
      <c r="O4640" s="10">
        <v>3.4860000000000002</v>
      </c>
      <c r="P4640" s="10">
        <v>2</v>
      </c>
      <c r="Q4640" s="10">
        <v>2</v>
      </c>
      <c r="R4640" s="10">
        <v>2</v>
      </c>
    </row>
    <row r="4641" spans="1:18" ht="29.5" customHeight="1" x14ac:dyDescent="0.15">
      <c r="A4641" s="11" t="s">
        <v>25066</v>
      </c>
      <c r="B4641" s="1" t="s">
        <v>25067</v>
      </c>
      <c r="C4641" s="11" t="s">
        <v>25068</v>
      </c>
      <c r="D4641" s="11" t="s">
        <v>25068</v>
      </c>
      <c r="E4641" s="11" t="s">
        <v>25069</v>
      </c>
      <c r="F4641" s="11" t="s">
        <v>25070</v>
      </c>
      <c r="G4641" s="11" t="s">
        <v>25071</v>
      </c>
      <c r="H4641" s="11" t="s">
        <v>25072</v>
      </c>
      <c r="I4641" s="11" t="str">
        <f>HYPERLINK("http://www.cristinaalbum.com/","www.cristinaalbum.com")</f>
        <v>www.cristinaalbum.com</v>
      </c>
      <c r="J4641" s="12">
        <v>120.092</v>
      </c>
      <c r="K4641" s="12">
        <v>120.092</v>
      </c>
      <c r="L4641" s="13">
        <v>81.513999999999996</v>
      </c>
      <c r="M4641" s="12">
        <v>1.9670000000000001</v>
      </c>
      <c r="N4641" s="12">
        <v>1.9670000000000001</v>
      </c>
      <c r="O4641" s="12">
        <v>-5.46</v>
      </c>
      <c r="P4641" s="14" t="s">
        <v>25073</v>
      </c>
      <c r="Q4641" s="14" t="s">
        <v>25073</v>
      </c>
      <c r="R4641" s="12">
        <v>3</v>
      </c>
    </row>
    <row r="4642" spans="1:18" ht="17" customHeight="1" x14ac:dyDescent="0.15">
      <c r="A4642" s="8" t="s">
        <v>25074</v>
      </c>
      <c r="B4642" s="9" t="s">
        <v>25075</v>
      </c>
      <c r="C4642" s="8" t="s">
        <v>25076</v>
      </c>
      <c r="D4642" s="8" t="s">
        <v>25076</v>
      </c>
      <c r="E4642" s="8" t="s">
        <v>25077</v>
      </c>
      <c r="F4642" s="8" t="s">
        <v>25078</v>
      </c>
      <c r="G4642" s="8" t="s">
        <v>25079</v>
      </c>
      <c r="H4642" s="8" t="s">
        <v>25080</v>
      </c>
      <c r="I4642" s="8" t="str">
        <f>HYPERLINK("http://www.lanzonishoes.it/","www.lanzonishoes.it")</f>
        <v>www.lanzonishoes.it</v>
      </c>
      <c r="J4642" s="10">
        <v>109.48</v>
      </c>
      <c r="K4642" s="10">
        <v>109.48</v>
      </c>
      <c r="L4642" s="10">
        <v>81.444000000000003</v>
      </c>
      <c r="M4642" s="10">
        <v>-45.713999999999999</v>
      </c>
      <c r="N4642" s="10">
        <v>-45.713999999999999</v>
      </c>
      <c r="O4642" s="10">
        <v>-84.989000000000004</v>
      </c>
      <c r="P4642" s="10">
        <v>1</v>
      </c>
      <c r="Q4642" s="10">
        <v>1</v>
      </c>
      <c r="R4642" s="10">
        <v>1</v>
      </c>
    </row>
    <row r="4643" spans="1:18" ht="17" customHeight="1" x14ac:dyDescent="0.15">
      <c r="A4643" s="11" t="s">
        <v>25081</v>
      </c>
      <c r="B4643" s="1" t="s">
        <v>25082</v>
      </c>
      <c r="C4643" s="11" t="s">
        <v>25083</v>
      </c>
      <c r="D4643" s="11" t="s">
        <v>25083</v>
      </c>
      <c r="E4643" s="11" t="s">
        <v>25084</v>
      </c>
      <c r="F4643" s="11" t="s">
        <v>25085</v>
      </c>
      <c r="G4643" s="11" t="s">
        <v>25086</v>
      </c>
      <c r="H4643" s="11" t="s">
        <v>25087</v>
      </c>
      <c r="I4643" s="11" t="str">
        <f>HYPERLINK("http://www.raydonald.it/","www.raydonald.it")</f>
        <v>www.raydonald.it</v>
      </c>
      <c r="J4643" s="12">
        <v>254.58699999999999</v>
      </c>
      <c r="K4643" s="12">
        <v>254.58699999999999</v>
      </c>
      <c r="L4643" s="13">
        <v>81.096000000000004</v>
      </c>
      <c r="M4643" s="12">
        <v>33.738999999999997</v>
      </c>
      <c r="N4643" s="12">
        <v>33.738999999999997</v>
      </c>
      <c r="O4643" s="12">
        <v>1.837</v>
      </c>
      <c r="P4643" s="14" t="s">
        <v>25073</v>
      </c>
      <c r="Q4643" s="14" t="s">
        <v>25073</v>
      </c>
      <c r="R4643" s="12">
        <v>0</v>
      </c>
    </row>
    <row r="4644" spans="1:18" ht="43" customHeight="1" x14ac:dyDescent="0.15">
      <c r="A4644" s="8" t="s">
        <v>25088</v>
      </c>
      <c r="B4644" s="9" t="s">
        <v>25089</v>
      </c>
      <c r="C4644" s="8" t="s">
        <v>25090</v>
      </c>
      <c r="D4644" s="8" t="s">
        <v>25090</v>
      </c>
      <c r="E4644" s="8" t="s">
        <v>25091</v>
      </c>
      <c r="F4644" s="8" t="s">
        <v>25070</v>
      </c>
      <c r="G4644" s="8" t="s">
        <v>25092</v>
      </c>
      <c r="H4644" s="8" t="s">
        <v>25087</v>
      </c>
      <c r="I4644" s="8" t="str">
        <f>HYPERLINK("http://laura.wunjo.it/","laura.wunjo.it")</f>
        <v>laura.wunjo.it</v>
      </c>
      <c r="J4644" s="10">
        <v>83.771000000000001</v>
      </c>
      <c r="K4644" s="10">
        <v>83.771000000000001</v>
      </c>
      <c r="L4644" s="10">
        <v>80.873999999999995</v>
      </c>
      <c r="M4644" s="10">
        <v>-3.9590000000000001</v>
      </c>
      <c r="N4644" s="10">
        <v>-3.9590000000000001</v>
      </c>
      <c r="O4644" s="10">
        <v>-12.026999999999999</v>
      </c>
      <c r="P4644" s="10">
        <v>3</v>
      </c>
      <c r="Q4644" s="10">
        <v>3</v>
      </c>
      <c r="R4644" s="10">
        <v>3</v>
      </c>
    </row>
    <row r="4645" spans="1:18" ht="17" customHeight="1" x14ac:dyDescent="0.15">
      <c r="A4645" s="11" t="s">
        <v>25093</v>
      </c>
      <c r="B4645" s="1" t="s">
        <v>25094</v>
      </c>
      <c r="C4645" s="11" t="s">
        <v>25095</v>
      </c>
      <c r="D4645" s="11" t="s">
        <v>25095</v>
      </c>
      <c r="E4645" s="11" t="s">
        <v>25096</v>
      </c>
      <c r="F4645" s="11" t="s">
        <v>25085</v>
      </c>
      <c r="G4645" s="11" t="s">
        <v>25097</v>
      </c>
      <c r="H4645" s="11" t="s">
        <v>25098</v>
      </c>
      <c r="I4645" s="11" t="str">
        <f>HYPERLINK("http://giovannanicolai.it/","giovannanicolai.it")</f>
        <v>giovannanicolai.it</v>
      </c>
      <c r="J4645" s="12">
        <v>80.584999999999994</v>
      </c>
      <c r="K4645" s="14" t="s">
        <v>25073</v>
      </c>
      <c r="L4645" s="13">
        <v>80.584999999999994</v>
      </c>
      <c r="M4645" s="12">
        <v>-56.81</v>
      </c>
      <c r="N4645" s="14" t="s">
        <v>25073</v>
      </c>
      <c r="O4645" s="12">
        <v>-56.81</v>
      </c>
      <c r="P4645" s="12">
        <v>2</v>
      </c>
      <c r="Q4645" s="14" t="s">
        <v>25073</v>
      </c>
      <c r="R4645" s="12">
        <v>2</v>
      </c>
    </row>
    <row r="4646" spans="1:18" ht="17" customHeight="1" x14ac:dyDescent="0.15">
      <c r="A4646" s="8" t="s">
        <v>25099</v>
      </c>
      <c r="B4646" s="9" t="s">
        <v>25100</v>
      </c>
      <c r="C4646" s="8" t="s">
        <v>25101</v>
      </c>
      <c r="D4646" s="8" t="s">
        <v>25101</v>
      </c>
      <c r="E4646" s="8" t="s">
        <v>25102</v>
      </c>
      <c r="F4646" s="8" t="s">
        <v>25085</v>
      </c>
      <c r="G4646" s="8" t="s">
        <v>25103</v>
      </c>
      <c r="H4646" s="8" t="s">
        <v>25080</v>
      </c>
      <c r="I4646" s="8" t="str">
        <f>HYPERLINK("http://www.kelsh.it/","www.kelsh.it")</f>
        <v>www.kelsh.it</v>
      </c>
      <c r="J4646" s="10">
        <v>88.744</v>
      </c>
      <c r="K4646" s="10">
        <v>88.744</v>
      </c>
      <c r="L4646" s="10">
        <v>80.274000000000001</v>
      </c>
      <c r="M4646" s="10">
        <v>9.9719999999999995</v>
      </c>
      <c r="N4646" s="10">
        <v>9.9719999999999995</v>
      </c>
      <c r="O4646" s="10">
        <v>2.3860000000000001</v>
      </c>
      <c r="P4646" s="10">
        <v>0</v>
      </c>
      <c r="Q4646" s="10">
        <v>0</v>
      </c>
      <c r="R4646" s="10">
        <v>0</v>
      </c>
    </row>
    <row r="4647" spans="1:18" ht="17" customHeight="1" x14ac:dyDescent="0.15">
      <c r="A4647" s="11" t="s">
        <v>25104</v>
      </c>
      <c r="B4647" s="1" t="s">
        <v>25105</v>
      </c>
      <c r="C4647" s="11" t="s">
        <v>25106</v>
      </c>
      <c r="D4647" s="11" t="s">
        <v>25106</v>
      </c>
      <c r="E4647" s="11" t="s">
        <v>25107</v>
      </c>
      <c r="F4647" s="11" t="s">
        <v>25078</v>
      </c>
      <c r="G4647" s="11" t="s">
        <v>25108</v>
      </c>
      <c r="H4647" s="11" t="s">
        <v>25109</v>
      </c>
      <c r="I4647" s="11" t="str">
        <f>HYPERLINK("http://www.surcheri.com/","www.surcheri.com")</f>
        <v>www.surcheri.com</v>
      </c>
      <c r="J4647" s="12">
        <v>75.164000000000001</v>
      </c>
      <c r="K4647" s="12">
        <v>75.164000000000001</v>
      </c>
      <c r="L4647" s="13">
        <v>80.296999999999997</v>
      </c>
      <c r="M4647" s="12">
        <v>-2.71</v>
      </c>
      <c r="N4647" s="12">
        <v>-2.71</v>
      </c>
      <c r="O4647" s="12">
        <v>1.052</v>
      </c>
      <c r="P4647" s="12">
        <v>1</v>
      </c>
      <c r="Q4647" s="12">
        <v>1</v>
      </c>
      <c r="R4647" s="12">
        <v>1</v>
      </c>
    </row>
    <row r="4648" spans="1:18" ht="29.5" customHeight="1" x14ac:dyDescent="0.15">
      <c r="A4648" s="8" t="s">
        <v>25110</v>
      </c>
      <c r="B4648" s="9" t="s">
        <v>25111</v>
      </c>
      <c r="C4648" s="8" t="s">
        <v>25112</v>
      </c>
      <c r="D4648" s="8" t="s">
        <v>25112</v>
      </c>
      <c r="E4648" s="8" t="s">
        <v>25113</v>
      </c>
      <c r="F4648" s="8" t="s">
        <v>25114</v>
      </c>
      <c r="G4648" s="8" t="s">
        <v>25115</v>
      </c>
      <c r="H4648" s="8" t="s">
        <v>25116</v>
      </c>
      <c r="I4648" s="8" t="str">
        <f>HYPERLINK("http://www.charlsdiliotti.it/","www.charlsdiliotti.it")</f>
        <v>www.charlsdiliotti.it</v>
      </c>
      <c r="J4648" s="10">
        <v>80.356999999999999</v>
      </c>
      <c r="K4648" s="10">
        <v>80.356999999999999</v>
      </c>
      <c r="L4648" s="10">
        <v>80.233999999999995</v>
      </c>
      <c r="M4648" s="10">
        <v>26.446999999999999</v>
      </c>
      <c r="N4648" s="10">
        <v>26.446999999999999</v>
      </c>
      <c r="O4648" s="10">
        <v>15.321</v>
      </c>
      <c r="P4648" s="10">
        <v>0</v>
      </c>
      <c r="Q4648" s="10">
        <v>0</v>
      </c>
      <c r="R4648" s="10">
        <v>1</v>
      </c>
    </row>
    <row r="4649" spans="1:18" ht="43" customHeight="1" x14ac:dyDescent="0.15">
      <c r="A4649" s="11" t="s">
        <v>25117</v>
      </c>
      <c r="B4649" s="1" t="s">
        <v>25118</v>
      </c>
      <c r="C4649" s="11" t="s">
        <v>25119</v>
      </c>
      <c r="D4649" s="11" t="s">
        <v>25119</v>
      </c>
      <c r="E4649" s="11" t="s">
        <v>25120</v>
      </c>
      <c r="F4649" s="11" t="s">
        <v>25121</v>
      </c>
      <c r="G4649" s="11" t="s">
        <v>25122</v>
      </c>
      <c r="H4649" s="11" t="s">
        <v>25123</v>
      </c>
      <c r="I4649" s="11" t="str">
        <f>HYPERLINK("http://www.settenovebeachwear.com/","www.settenovebeachwear.com")</f>
        <v>www.settenovebeachwear.com</v>
      </c>
      <c r="J4649" s="12">
        <v>268.31200000000001</v>
      </c>
      <c r="K4649" s="12">
        <v>268.31200000000001</v>
      </c>
      <c r="L4649" s="13">
        <v>80.117999999999995</v>
      </c>
      <c r="M4649" s="12">
        <v>1</v>
      </c>
      <c r="N4649" s="12">
        <v>1</v>
      </c>
      <c r="O4649" s="12">
        <v>1.274</v>
      </c>
      <c r="P4649" s="12">
        <v>2</v>
      </c>
      <c r="Q4649" s="12">
        <v>2</v>
      </c>
      <c r="R4649" s="12">
        <v>1</v>
      </c>
    </row>
    <row r="4650" spans="1:18" ht="17" customHeight="1" x14ac:dyDescent="0.15">
      <c r="A4650" s="8" t="s">
        <v>25124</v>
      </c>
      <c r="B4650" s="9" t="s">
        <v>25125</v>
      </c>
      <c r="C4650" s="8" t="s">
        <v>25126</v>
      </c>
      <c r="D4650" s="8" t="s">
        <v>25126</v>
      </c>
      <c r="E4650" s="8" t="s">
        <v>25127</v>
      </c>
      <c r="F4650" s="8" t="s">
        <v>25128</v>
      </c>
      <c r="G4650" s="8" t="s">
        <v>25129</v>
      </c>
      <c r="H4650" s="8" t="s">
        <v>25080</v>
      </c>
      <c r="I4650" s="8" t="str">
        <f>HYPERLINK("http://www.emmegipiacenza.it/","www.emmegipiacenza.it")</f>
        <v>www.emmegipiacenza.it</v>
      </c>
      <c r="J4650" s="10">
        <v>101.395</v>
      </c>
      <c r="K4650" s="10">
        <v>101.395</v>
      </c>
      <c r="L4650" s="10">
        <v>80.149000000000001</v>
      </c>
      <c r="M4650" s="10">
        <v>-35.840000000000003</v>
      </c>
      <c r="N4650" s="10">
        <v>-35.840000000000003</v>
      </c>
      <c r="O4650" s="10">
        <v>-45.259</v>
      </c>
      <c r="P4650" s="10">
        <v>2</v>
      </c>
      <c r="Q4650" s="10">
        <v>2</v>
      </c>
      <c r="R4650" s="10">
        <v>2</v>
      </c>
    </row>
    <row r="4651" spans="1:18" ht="17" customHeight="1" x14ac:dyDescent="0.15">
      <c r="A4651" s="11" t="s">
        <v>25130</v>
      </c>
      <c r="B4651" s="1" t="s">
        <v>25131</v>
      </c>
      <c r="C4651" s="11" t="s">
        <v>25132</v>
      </c>
      <c r="D4651" s="11" t="s">
        <v>25132</v>
      </c>
      <c r="E4651" s="11" t="s">
        <v>25133</v>
      </c>
      <c r="F4651" s="11" t="s">
        <v>25070</v>
      </c>
      <c r="G4651" s="11" t="s">
        <v>25134</v>
      </c>
      <c r="H4651" s="11" t="s">
        <v>25135</v>
      </c>
      <c r="I4651" s="11" t="str">
        <f>HYPERLINK("http://scarletvirgo.com/","scarletvirgo.com")</f>
        <v>scarletvirgo.com</v>
      </c>
      <c r="J4651" s="12">
        <v>60.947000000000003</v>
      </c>
      <c r="K4651" s="12">
        <v>38.064999999999998</v>
      </c>
      <c r="L4651" s="13">
        <v>78.858000000000004</v>
      </c>
      <c r="M4651" s="12">
        <v>3.9430000000000001</v>
      </c>
      <c r="N4651" s="12">
        <v>-1.07</v>
      </c>
      <c r="O4651" s="12">
        <v>4.1130000000000004</v>
      </c>
      <c r="P4651" s="14" t="s">
        <v>25073</v>
      </c>
      <c r="Q4651" s="14" t="s">
        <v>25073</v>
      </c>
      <c r="R4651" s="12">
        <v>0</v>
      </c>
    </row>
    <row r="4652" spans="1:18" ht="17" customHeight="1" x14ac:dyDescent="0.15">
      <c r="A4652" s="8" t="s">
        <v>25136</v>
      </c>
      <c r="B4652" s="9" t="s">
        <v>25137</v>
      </c>
      <c r="C4652" s="8" t="s">
        <v>25138</v>
      </c>
      <c r="D4652" s="8" t="s">
        <v>25138</v>
      </c>
      <c r="E4652" s="8" t="s">
        <v>25139</v>
      </c>
      <c r="F4652" s="8" t="s">
        <v>25140</v>
      </c>
      <c r="G4652" s="8" t="s">
        <v>25141</v>
      </c>
      <c r="H4652" s="8" t="s">
        <v>25109</v>
      </c>
      <c r="I4652" s="8" t="str">
        <f>HYPERLINK("http://www.coparsrl.it/","http://www.coparsrl.it")</f>
        <v>http://www.coparsrl.it</v>
      </c>
      <c r="J4652" s="10">
        <v>88.009</v>
      </c>
      <c r="K4652" s="10">
        <v>88.009</v>
      </c>
      <c r="L4652" s="10">
        <v>77.644999999999996</v>
      </c>
      <c r="M4652" s="10">
        <v>387.012</v>
      </c>
      <c r="N4652" s="10">
        <v>387.012</v>
      </c>
      <c r="O4652" s="10">
        <v>-21.181000000000001</v>
      </c>
      <c r="P4652" s="10">
        <v>0</v>
      </c>
      <c r="Q4652" s="10">
        <v>0</v>
      </c>
      <c r="R4652" s="10">
        <v>0</v>
      </c>
    </row>
    <row r="4653" spans="1:18" ht="43" customHeight="1" x14ac:dyDescent="0.15">
      <c r="A4653" s="11" t="s">
        <v>25142</v>
      </c>
      <c r="B4653" s="1" t="s">
        <v>25143</v>
      </c>
      <c r="C4653" s="11" t="s">
        <v>25144</v>
      </c>
      <c r="D4653" s="11" t="s">
        <v>25144</v>
      </c>
      <c r="E4653" s="11" t="s">
        <v>25145</v>
      </c>
      <c r="F4653" s="11" t="s">
        <v>25085</v>
      </c>
      <c r="G4653" s="11" t="s">
        <v>25146</v>
      </c>
      <c r="H4653" s="11" t="s">
        <v>25123</v>
      </c>
      <c r="I4653" s="11" t="str">
        <f>HYPERLINK("http://www.biancasposa.com/","www.biancasposa.com")</f>
        <v>www.biancasposa.com</v>
      </c>
      <c r="J4653" s="12">
        <v>56</v>
      </c>
      <c r="K4653" s="12">
        <v>56</v>
      </c>
      <c r="L4653" s="13">
        <v>77.524000000000001</v>
      </c>
      <c r="M4653" s="12">
        <v>-20.263000000000002</v>
      </c>
      <c r="N4653" s="12">
        <v>-20.263000000000002</v>
      </c>
      <c r="O4653" s="12">
        <v>14.468999999999999</v>
      </c>
      <c r="P4653" s="12">
        <v>1</v>
      </c>
      <c r="Q4653" s="12">
        <v>1</v>
      </c>
      <c r="R4653" s="12">
        <v>1</v>
      </c>
    </row>
    <row r="4654" spans="1:18" ht="17" customHeight="1" x14ac:dyDescent="0.15">
      <c r="A4654" s="8" t="s">
        <v>25147</v>
      </c>
      <c r="B4654" s="9" t="s">
        <v>25148</v>
      </c>
      <c r="C4654" s="8" t="s">
        <v>25149</v>
      </c>
      <c r="D4654" s="8" t="s">
        <v>25149</v>
      </c>
      <c r="E4654" s="8" t="s">
        <v>25150</v>
      </c>
      <c r="F4654" s="8" t="s">
        <v>25151</v>
      </c>
      <c r="G4654" s="8" t="s">
        <v>25152</v>
      </c>
      <c r="H4654" s="8" t="s">
        <v>25153</v>
      </c>
      <c r="I4654" s="8" t="str">
        <f>HYPERLINK("http://www.edyscambi.it/","www.edyscambi.it")</f>
        <v>www.edyscambi.it</v>
      </c>
      <c r="J4654" s="10">
        <v>80.495999999999995</v>
      </c>
      <c r="K4654" s="10">
        <v>80.495999999999995</v>
      </c>
      <c r="L4654" s="10">
        <v>77.295000000000002</v>
      </c>
      <c r="M4654" s="10">
        <v>12.731</v>
      </c>
      <c r="N4654" s="10">
        <v>12.731</v>
      </c>
      <c r="O4654" s="10">
        <v>17.286000000000001</v>
      </c>
      <c r="P4654" s="10">
        <v>0</v>
      </c>
      <c r="Q4654" s="10">
        <v>0</v>
      </c>
      <c r="R4654" s="10">
        <v>0</v>
      </c>
    </row>
    <row r="4655" spans="1:18" ht="17" customHeight="1" x14ac:dyDescent="0.15">
      <c r="A4655" s="11" t="s">
        <v>25154</v>
      </c>
      <c r="B4655" s="1" t="s">
        <v>25155</v>
      </c>
      <c r="C4655" s="11" t="s">
        <v>25156</v>
      </c>
      <c r="D4655" s="11" t="s">
        <v>25156</v>
      </c>
      <c r="E4655" s="11" t="s">
        <v>25157</v>
      </c>
      <c r="F4655" s="11" t="s">
        <v>25158</v>
      </c>
      <c r="G4655" s="11" t="s">
        <v>25146</v>
      </c>
      <c r="H4655" s="11" t="s">
        <v>25123</v>
      </c>
      <c r="I4655" s="11" t="str">
        <f>HYPERLINK("http://www.rentdontbuy.it/","www.rentdontbuy.it")</f>
        <v>www.rentdontbuy.it</v>
      </c>
      <c r="J4655" s="12">
        <v>189.65799999999999</v>
      </c>
      <c r="K4655" s="12">
        <v>189.65799999999999</v>
      </c>
      <c r="L4655" s="13">
        <v>76.72</v>
      </c>
      <c r="M4655" s="12">
        <v>-24.652999999999999</v>
      </c>
      <c r="N4655" s="12">
        <v>-24.652999999999999</v>
      </c>
      <c r="O4655" s="12">
        <v>-2.4980000000000002</v>
      </c>
      <c r="P4655" s="12">
        <v>3</v>
      </c>
      <c r="Q4655" s="12">
        <v>3</v>
      </c>
      <c r="R4655" s="12">
        <v>3</v>
      </c>
    </row>
    <row r="4656" spans="1:18" ht="17" customHeight="1" x14ac:dyDescent="0.15">
      <c r="A4656" s="8" t="s">
        <v>25159</v>
      </c>
      <c r="B4656" s="9" t="s">
        <v>25160</v>
      </c>
      <c r="C4656" s="8" t="s">
        <v>25161</v>
      </c>
      <c r="D4656" s="8" t="s">
        <v>25161</v>
      </c>
      <c r="E4656" s="8" t="s">
        <v>25162</v>
      </c>
      <c r="F4656" s="8" t="s">
        <v>25128</v>
      </c>
      <c r="G4656" s="8" t="s">
        <v>25163</v>
      </c>
      <c r="H4656" s="8" t="s">
        <v>25164</v>
      </c>
      <c r="I4656" s="8" t="str">
        <f>HYPERLINK("http://www.ariannacashmere.it/","www.ariannacashmere.it")</f>
        <v>www.ariannacashmere.it</v>
      </c>
      <c r="J4656" s="10">
        <v>76.460999999999999</v>
      </c>
      <c r="K4656" s="15" t="s">
        <v>25073</v>
      </c>
      <c r="L4656" s="10">
        <v>76.460999999999999</v>
      </c>
      <c r="M4656" s="10">
        <v>-25.018000000000001</v>
      </c>
      <c r="N4656" s="15" t="s">
        <v>25073</v>
      </c>
      <c r="O4656" s="10">
        <v>-25.018000000000001</v>
      </c>
      <c r="P4656" s="10">
        <v>4</v>
      </c>
      <c r="Q4656" s="15" t="s">
        <v>25073</v>
      </c>
      <c r="R4656" s="10">
        <v>4</v>
      </c>
    </row>
    <row r="4657" spans="1:18" ht="29.5" customHeight="1" x14ac:dyDescent="0.15">
      <c r="A4657" s="11" t="s">
        <v>25165</v>
      </c>
      <c r="B4657" s="1" t="s">
        <v>25166</v>
      </c>
      <c r="C4657" s="11" t="s">
        <v>25167</v>
      </c>
      <c r="D4657" s="11" t="s">
        <v>25168</v>
      </c>
      <c r="E4657" s="11" t="s">
        <v>25169</v>
      </c>
      <c r="F4657" s="11" t="s">
        <v>25170</v>
      </c>
      <c r="G4657" s="11" t="s">
        <v>25171</v>
      </c>
      <c r="H4657" s="11" t="s">
        <v>25116</v>
      </c>
      <c r="I4657" s="11" t="str">
        <f>HYPERLINK("http://mariomuscariello.it/","mariomuscariello.it")</f>
        <v>mariomuscariello.it</v>
      </c>
      <c r="J4657" s="12">
        <v>58.884999999999998</v>
      </c>
      <c r="K4657" s="12">
        <v>58.884999999999998</v>
      </c>
      <c r="L4657" s="13">
        <v>75.831999999999994</v>
      </c>
      <c r="M4657" s="12">
        <v>2.7029999999999998</v>
      </c>
      <c r="N4657" s="12">
        <v>2.7029999999999998</v>
      </c>
      <c r="O4657" s="12">
        <v>7.9340000000000002</v>
      </c>
      <c r="P4657" s="14" t="s">
        <v>25073</v>
      </c>
      <c r="Q4657" s="14" t="s">
        <v>25073</v>
      </c>
      <c r="R4657" s="12">
        <v>0</v>
      </c>
    </row>
    <row r="4658" spans="1:18" ht="17" customHeight="1" x14ac:dyDescent="0.15">
      <c r="A4658" s="8" t="s">
        <v>25172</v>
      </c>
      <c r="B4658" s="9" t="s">
        <v>25173</v>
      </c>
      <c r="C4658" s="8" t="s">
        <v>25174</v>
      </c>
      <c r="D4658" s="8" t="s">
        <v>25174</v>
      </c>
      <c r="E4658" s="8" t="s">
        <v>25175</v>
      </c>
      <c r="F4658" s="8" t="s">
        <v>25158</v>
      </c>
      <c r="G4658" s="8" t="s">
        <v>25171</v>
      </c>
      <c r="H4658" s="8" t="s">
        <v>25116</v>
      </c>
      <c r="I4658" s="8" t="str">
        <f>HYPERLINK("http://jashashop.it/","jashashop.it")</f>
        <v>jashashop.it</v>
      </c>
      <c r="J4658" s="10">
        <v>138.14599999999999</v>
      </c>
      <c r="K4658" s="10">
        <v>138.14599999999999</v>
      </c>
      <c r="L4658" s="10">
        <v>75.463999999999999</v>
      </c>
      <c r="M4658" s="10">
        <v>30.962</v>
      </c>
      <c r="N4658" s="10">
        <v>30.962</v>
      </c>
      <c r="O4658" s="10">
        <v>26.259</v>
      </c>
      <c r="P4658" s="10">
        <v>3</v>
      </c>
      <c r="Q4658" s="10">
        <v>3</v>
      </c>
      <c r="R4658" s="10">
        <v>1</v>
      </c>
    </row>
    <row r="4659" spans="1:18" ht="17" customHeight="1" x14ac:dyDescent="0.15">
      <c r="A4659" s="11" t="s">
        <v>25176</v>
      </c>
      <c r="B4659" s="1" t="s">
        <v>25177</v>
      </c>
      <c r="C4659" s="11" t="s">
        <v>25178</v>
      </c>
      <c r="D4659" s="11" t="s">
        <v>25178</v>
      </c>
      <c r="E4659" s="11" t="s">
        <v>25179</v>
      </c>
      <c r="F4659" s="11" t="s">
        <v>25085</v>
      </c>
      <c r="G4659" s="11" t="s">
        <v>25180</v>
      </c>
      <c r="H4659" s="11" t="s">
        <v>25135</v>
      </c>
      <c r="I4659" s="11" t="str">
        <f>HYPERLINK("http://aurilio.it/","aurilio.it")</f>
        <v>aurilio.it</v>
      </c>
      <c r="J4659" s="12">
        <v>103.05800000000001</v>
      </c>
      <c r="K4659" s="12">
        <v>103.05800000000001</v>
      </c>
      <c r="L4659" s="13">
        <v>75.463999999999999</v>
      </c>
      <c r="M4659" s="12">
        <v>-88.022999999999996</v>
      </c>
      <c r="N4659" s="12">
        <v>-88.022999999999996</v>
      </c>
      <c r="O4659" s="12">
        <v>3.3370000000000002</v>
      </c>
      <c r="P4659" s="12">
        <v>3</v>
      </c>
      <c r="Q4659" s="12">
        <v>3</v>
      </c>
      <c r="R4659" s="12">
        <v>2</v>
      </c>
    </row>
    <row r="4660" spans="1:18" ht="17" customHeight="1" x14ac:dyDescent="0.15">
      <c r="A4660" s="8" t="s">
        <v>25181</v>
      </c>
      <c r="B4660" s="9" t="s">
        <v>25182</v>
      </c>
      <c r="C4660" s="8" t="s">
        <v>25183</v>
      </c>
      <c r="D4660" s="8" t="s">
        <v>25183</v>
      </c>
      <c r="E4660" s="8" t="s">
        <v>25184</v>
      </c>
      <c r="F4660" s="8" t="s">
        <v>25085</v>
      </c>
      <c r="G4660" s="8" t="s">
        <v>25185</v>
      </c>
      <c r="H4660" s="8" t="s">
        <v>25186</v>
      </c>
      <c r="I4660" s="8" t="str">
        <f>HYPERLINK("http://www.senzanumerocivico.com/","www.senzanumerocivico.com")</f>
        <v>www.senzanumerocivico.com</v>
      </c>
      <c r="J4660" s="10">
        <v>85.655000000000001</v>
      </c>
      <c r="K4660" s="10">
        <v>85.655000000000001</v>
      </c>
      <c r="L4660" s="10">
        <v>75.38</v>
      </c>
      <c r="M4660" s="10">
        <v>4.1280000000000001</v>
      </c>
      <c r="N4660" s="10">
        <v>4.1280000000000001</v>
      </c>
      <c r="O4660" s="10">
        <v>3.2509999999999999</v>
      </c>
      <c r="P4660" s="10">
        <v>2</v>
      </c>
      <c r="Q4660" s="10">
        <v>2</v>
      </c>
      <c r="R4660" s="10">
        <v>0</v>
      </c>
    </row>
    <row r="4661" spans="1:18" ht="17" customHeight="1" x14ac:dyDescent="0.15">
      <c r="A4661" s="11" t="s">
        <v>25187</v>
      </c>
      <c r="B4661" s="1" t="s">
        <v>25188</v>
      </c>
      <c r="C4661" s="11" t="s">
        <v>25189</v>
      </c>
      <c r="D4661" s="11" t="s">
        <v>25189</v>
      </c>
      <c r="E4661" s="11" t="s">
        <v>25190</v>
      </c>
      <c r="F4661" s="11" t="s">
        <v>25078</v>
      </c>
      <c r="G4661" s="11" t="s">
        <v>25191</v>
      </c>
      <c r="H4661" s="11" t="s">
        <v>25087</v>
      </c>
      <c r="I4661" s="11" t="str">
        <f>HYPERLINK("http://www.vittorionicchia.com/","www.vittorionicchia.com")</f>
        <v>www.vittorionicchia.com</v>
      </c>
      <c r="J4661" s="12">
        <v>184.81700000000001</v>
      </c>
      <c r="K4661" s="12">
        <v>184.81700000000001</v>
      </c>
      <c r="L4661" s="13">
        <v>74.760000000000005</v>
      </c>
      <c r="M4661" s="12">
        <v>-21.327999999999999</v>
      </c>
      <c r="N4661" s="12">
        <v>-21.327999999999999</v>
      </c>
      <c r="O4661" s="12">
        <v>7.2389999999999999</v>
      </c>
      <c r="P4661" s="12">
        <v>5</v>
      </c>
      <c r="Q4661" s="12">
        <v>5</v>
      </c>
      <c r="R4661" s="12">
        <v>3</v>
      </c>
    </row>
    <row r="4662" spans="1:18" ht="43" customHeight="1" x14ac:dyDescent="0.15">
      <c r="A4662" s="8" t="s">
        <v>25192</v>
      </c>
      <c r="B4662" s="9" t="s">
        <v>25193</v>
      </c>
      <c r="C4662" s="8" t="s">
        <v>25194</v>
      </c>
      <c r="D4662" s="8" t="s">
        <v>25194</v>
      </c>
      <c r="E4662" s="8" t="s">
        <v>25195</v>
      </c>
      <c r="F4662" s="8" t="s">
        <v>25085</v>
      </c>
      <c r="G4662" s="8" t="s">
        <v>25092</v>
      </c>
      <c r="H4662" s="8" t="s">
        <v>25087</v>
      </c>
      <c r="I4662" s="8" t="str">
        <f>HYPERLINK("http://www.pieffe-studio.it/","www.pieffe-studio.it")</f>
        <v>www.pieffe-studio.it</v>
      </c>
      <c r="J4662" s="10">
        <v>27.547000000000001</v>
      </c>
      <c r="K4662" s="10">
        <v>27.547000000000001</v>
      </c>
      <c r="L4662" s="10">
        <v>74.763999999999996</v>
      </c>
      <c r="M4662" s="10">
        <v>-36.597000000000001</v>
      </c>
      <c r="N4662" s="10">
        <v>-36.597000000000001</v>
      </c>
      <c r="O4662" s="10">
        <v>-3.6999999999999998E-2</v>
      </c>
      <c r="P4662" s="10">
        <v>0</v>
      </c>
      <c r="Q4662" s="10">
        <v>0</v>
      </c>
      <c r="R4662" s="10">
        <v>0</v>
      </c>
    </row>
    <row r="4663" spans="1:18" ht="17" customHeight="1" x14ac:dyDescent="0.15">
      <c r="A4663" s="11" t="s">
        <v>25196</v>
      </c>
      <c r="B4663" s="1" t="s">
        <v>25197</v>
      </c>
      <c r="C4663" s="11" t="s">
        <v>25198</v>
      </c>
      <c r="D4663" s="11" t="s">
        <v>25198</v>
      </c>
      <c r="E4663" s="11" t="s">
        <v>25199</v>
      </c>
      <c r="F4663" s="11" t="s">
        <v>25070</v>
      </c>
      <c r="G4663" s="11" t="s">
        <v>25191</v>
      </c>
      <c r="H4663" s="11" t="s">
        <v>25087</v>
      </c>
      <c r="I4663" s="11" t="str">
        <f>HYPERLINK("http://www.annacloudbags.it/","www.annacloudbags.it")</f>
        <v>www.annacloudbags.it</v>
      </c>
      <c r="J4663" s="12">
        <v>367.33800000000002</v>
      </c>
      <c r="K4663" s="12">
        <v>367.33800000000002</v>
      </c>
      <c r="L4663" s="13">
        <v>74.396000000000001</v>
      </c>
      <c r="M4663" s="12">
        <v>3.391</v>
      </c>
      <c r="N4663" s="12">
        <v>3.391</v>
      </c>
      <c r="O4663" s="12">
        <v>1.861</v>
      </c>
      <c r="P4663" s="12">
        <v>2</v>
      </c>
      <c r="Q4663" s="12">
        <v>2</v>
      </c>
      <c r="R4663" s="14" t="s">
        <v>25073</v>
      </c>
    </row>
    <row r="4664" spans="1:18" ht="29.5" customHeight="1" x14ac:dyDescent="0.15">
      <c r="A4664" s="8" t="s">
        <v>25200</v>
      </c>
      <c r="B4664" s="9" t="s">
        <v>25201</v>
      </c>
      <c r="C4664" s="8" t="s">
        <v>25202</v>
      </c>
      <c r="D4664" s="8" t="s">
        <v>25202</v>
      </c>
      <c r="E4664" s="8" t="s">
        <v>25203</v>
      </c>
      <c r="F4664" s="8" t="s">
        <v>25121</v>
      </c>
      <c r="G4664" s="8" t="s">
        <v>25204</v>
      </c>
      <c r="H4664" s="8" t="s">
        <v>25204</v>
      </c>
      <c r="I4664" s="8" t="str">
        <f>HYPERLINK("http://www.valgrisa.it/","www.valgrisa.it")</f>
        <v>www.valgrisa.it</v>
      </c>
      <c r="J4664" s="10">
        <v>87.218000000000004</v>
      </c>
      <c r="K4664" s="10">
        <v>87.218000000000004</v>
      </c>
      <c r="L4664" s="10">
        <v>74.394999999999996</v>
      </c>
      <c r="M4664" s="10">
        <v>2.2069999999999999</v>
      </c>
      <c r="N4664" s="10">
        <v>2.2069999999999999</v>
      </c>
      <c r="O4664" s="10">
        <v>36.338000000000001</v>
      </c>
      <c r="P4664" s="15" t="s">
        <v>25073</v>
      </c>
      <c r="Q4664" s="15" t="s">
        <v>25073</v>
      </c>
      <c r="R4664" s="10">
        <v>0</v>
      </c>
    </row>
    <row r="4665" spans="1:18" ht="43" customHeight="1" x14ac:dyDescent="0.15">
      <c r="A4665" s="11" t="s">
        <v>25205</v>
      </c>
      <c r="B4665" s="1" t="s">
        <v>25206</v>
      </c>
      <c r="C4665" s="11" t="s">
        <v>25207</v>
      </c>
      <c r="D4665" s="11" t="s">
        <v>25207</v>
      </c>
      <c r="E4665" s="11" t="s">
        <v>25208</v>
      </c>
      <c r="F4665" s="11" t="s">
        <v>25158</v>
      </c>
      <c r="G4665" s="11" t="s">
        <v>25209</v>
      </c>
      <c r="H4665" s="11" t="s">
        <v>25210</v>
      </c>
      <c r="I4665" s="11" t="str">
        <f>HYPERLINK("http://www.scirettisartoria.com/","www.scirettisartoria.com")</f>
        <v>www.scirettisartoria.com</v>
      </c>
      <c r="J4665" s="12">
        <v>174.02600000000001</v>
      </c>
      <c r="K4665" s="12">
        <v>174.02600000000001</v>
      </c>
      <c r="L4665" s="13">
        <v>74.155000000000001</v>
      </c>
      <c r="M4665" s="12">
        <v>-2.7330000000000001</v>
      </c>
      <c r="N4665" s="12">
        <v>-2.7330000000000001</v>
      </c>
      <c r="O4665" s="12">
        <v>-10.933999999999999</v>
      </c>
      <c r="P4665" s="12">
        <v>3</v>
      </c>
      <c r="Q4665" s="12">
        <v>3</v>
      </c>
      <c r="R4665" s="12">
        <v>3</v>
      </c>
    </row>
    <row r="4666" spans="1:18" ht="17" customHeight="1" x14ac:dyDescent="0.15">
      <c r="A4666" s="8" t="s">
        <v>25211</v>
      </c>
      <c r="B4666" s="9" t="s">
        <v>25212</v>
      </c>
      <c r="C4666" s="8" t="s">
        <v>25213</v>
      </c>
      <c r="D4666" s="8" t="s">
        <v>25213</v>
      </c>
      <c r="E4666" s="8" t="s">
        <v>25214</v>
      </c>
      <c r="F4666" s="8" t="s">
        <v>25085</v>
      </c>
      <c r="G4666" s="8" t="s">
        <v>25215</v>
      </c>
      <c r="H4666" s="8" t="s">
        <v>25210</v>
      </c>
      <c r="I4666" s="8" t="str">
        <f>HYPERLINK("http://www.ptrcrs.com/","www.ptrcrs.com")</f>
        <v>www.ptrcrs.com</v>
      </c>
      <c r="J4666" s="10">
        <v>4.2910000000000004</v>
      </c>
      <c r="K4666" s="10">
        <v>4.2910000000000004</v>
      </c>
      <c r="L4666" s="10">
        <v>74.057000000000002</v>
      </c>
      <c r="M4666" s="10">
        <v>0.09</v>
      </c>
      <c r="N4666" s="10">
        <v>0.09</v>
      </c>
      <c r="O4666" s="10">
        <v>3.4390000000000001</v>
      </c>
      <c r="P4666" s="15" t="s">
        <v>25073</v>
      </c>
      <c r="Q4666" s="15" t="s">
        <v>25073</v>
      </c>
      <c r="R4666" s="15" t="s">
        <v>25073</v>
      </c>
    </row>
    <row r="4667" spans="1:18" ht="17" customHeight="1" x14ac:dyDescent="0.15">
      <c r="A4667" s="11" t="s">
        <v>25216</v>
      </c>
      <c r="B4667" s="1" t="s">
        <v>25217</v>
      </c>
      <c r="C4667" s="11" t="s">
        <v>25218</v>
      </c>
      <c r="D4667" s="11" t="s">
        <v>25218</v>
      </c>
      <c r="E4667" s="11" t="s">
        <v>25219</v>
      </c>
      <c r="F4667" s="11" t="s">
        <v>25220</v>
      </c>
      <c r="G4667" s="11" t="s">
        <v>25134</v>
      </c>
      <c r="H4667" s="11" t="s">
        <v>25135</v>
      </c>
      <c r="I4667" s="11" t="str">
        <f>HYPERLINK("http://www.blueofakind.com/","www.blueofakind.com")</f>
        <v>www.blueofakind.com</v>
      </c>
      <c r="J4667" s="12">
        <v>56.402000000000001</v>
      </c>
      <c r="K4667" s="12">
        <v>56.402000000000001</v>
      </c>
      <c r="L4667" s="13">
        <v>74.001000000000005</v>
      </c>
      <c r="M4667" s="12">
        <v>0.20300000000000001</v>
      </c>
      <c r="N4667" s="12">
        <v>0.20300000000000001</v>
      </c>
      <c r="O4667" s="12">
        <v>-32.735999999999997</v>
      </c>
      <c r="P4667" s="12">
        <v>2</v>
      </c>
      <c r="Q4667" s="12">
        <v>2</v>
      </c>
      <c r="R4667" s="12">
        <v>2</v>
      </c>
    </row>
    <row r="4668" spans="1:18" ht="17" customHeight="1" x14ac:dyDescent="0.15">
      <c r="A4668" s="8" t="s">
        <v>25221</v>
      </c>
      <c r="B4668" s="9" t="s">
        <v>25222</v>
      </c>
      <c r="C4668" s="8" t="s">
        <v>25223</v>
      </c>
      <c r="D4668" s="8" t="s">
        <v>25223</v>
      </c>
      <c r="E4668" s="8" t="s">
        <v>25224</v>
      </c>
      <c r="F4668" s="8" t="s">
        <v>25070</v>
      </c>
      <c r="G4668" s="8" t="s">
        <v>25079</v>
      </c>
      <c r="H4668" s="8" t="s">
        <v>25080</v>
      </c>
      <c r="I4668" s="8" t="str">
        <f>HYPERLINK("http://the-dust.com/","the-dust.com")</f>
        <v>the-dust.com</v>
      </c>
      <c r="J4668" s="10">
        <v>66.570999999999998</v>
      </c>
      <c r="K4668" s="10">
        <v>66.570999999999998</v>
      </c>
      <c r="L4668" s="10">
        <v>73.415999999999997</v>
      </c>
      <c r="M4668" s="10">
        <v>-15.244</v>
      </c>
      <c r="N4668" s="10">
        <v>-15.244</v>
      </c>
      <c r="O4668" s="10">
        <v>18.827000000000002</v>
      </c>
      <c r="P4668" s="10">
        <v>0</v>
      </c>
      <c r="Q4668" s="10">
        <v>0</v>
      </c>
      <c r="R4668" s="10">
        <v>0</v>
      </c>
    </row>
    <row r="4669" spans="1:18" ht="17" customHeight="1" x14ac:dyDescent="0.15">
      <c r="A4669" s="11" t="s">
        <v>25225</v>
      </c>
      <c r="B4669" s="1" t="s">
        <v>25226</v>
      </c>
      <c r="C4669" s="11" t="s">
        <v>25227</v>
      </c>
      <c r="D4669" s="11" t="s">
        <v>25227</v>
      </c>
      <c r="E4669" s="11" t="s">
        <v>25228</v>
      </c>
      <c r="F4669" s="11" t="s">
        <v>25158</v>
      </c>
      <c r="G4669" s="11" t="s">
        <v>25171</v>
      </c>
      <c r="H4669" s="11" t="s">
        <v>25116</v>
      </c>
      <c r="I4669" s="11" t="str">
        <f>HYPERLINK("http://www.tramontanoshop.it/","www.tramontanoshop.it")</f>
        <v>www.tramontanoshop.it</v>
      </c>
      <c r="J4669" s="12">
        <v>58.179000000000002</v>
      </c>
      <c r="K4669" s="12">
        <v>58.179000000000002</v>
      </c>
      <c r="L4669" s="13">
        <v>73.364999999999995</v>
      </c>
      <c r="M4669" s="12">
        <v>-33.478999999999999</v>
      </c>
      <c r="N4669" s="12">
        <v>-33.478999999999999</v>
      </c>
      <c r="O4669" s="12">
        <v>-27.067</v>
      </c>
      <c r="P4669" s="12">
        <v>4</v>
      </c>
      <c r="Q4669" s="12">
        <v>4</v>
      </c>
      <c r="R4669" s="12">
        <v>3</v>
      </c>
    </row>
    <row r="4670" spans="1:18" ht="17" customHeight="1" x14ac:dyDescent="0.15">
      <c r="A4670" s="8" t="s">
        <v>25229</v>
      </c>
      <c r="B4670" s="9" t="s">
        <v>25230</v>
      </c>
      <c r="C4670" s="8" t="s">
        <v>25231</v>
      </c>
      <c r="D4670" s="8" t="s">
        <v>25231</v>
      </c>
      <c r="E4670" s="8" t="s">
        <v>25232</v>
      </c>
      <c r="F4670" s="8" t="s">
        <v>25114</v>
      </c>
      <c r="G4670" s="8" t="s">
        <v>25233</v>
      </c>
      <c r="H4670" s="8" t="s">
        <v>25186</v>
      </c>
      <c r="I4670" s="8" t="str">
        <f>HYPERLINK("http://www.newbagline.com/","www.newbagline.com")</f>
        <v>www.newbagline.com</v>
      </c>
      <c r="J4670" s="10">
        <v>73.224000000000004</v>
      </c>
      <c r="K4670" s="10">
        <v>73.224000000000004</v>
      </c>
      <c r="L4670" s="10">
        <v>73.224000000000004</v>
      </c>
      <c r="M4670" s="10">
        <v>28.414000000000001</v>
      </c>
      <c r="N4670" s="10">
        <v>28.67</v>
      </c>
      <c r="O4670" s="10">
        <v>28.204000000000001</v>
      </c>
      <c r="P4670" s="10">
        <v>0</v>
      </c>
      <c r="Q4670" s="10">
        <v>0</v>
      </c>
      <c r="R4670" s="10">
        <v>0</v>
      </c>
    </row>
    <row r="4671" spans="1:18" ht="43" customHeight="1" x14ac:dyDescent="0.15">
      <c r="A4671" s="11" t="s">
        <v>25234</v>
      </c>
      <c r="B4671" s="1" t="s">
        <v>25235</v>
      </c>
      <c r="C4671" s="11" t="s">
        <v>25236</v>
      </c>
      <c r="D4671" s="11" t="s">
        <v>25236</v>
      </c>
      <c r="E4671" s="11" t="s">
        <v>25237</v>
      </c>
      <c r="F4671" s="11" t="s">
        <v>25238</v>
      </c>
      <c r="G4671" s="11" t="s">
        <v>25233</v>
      </c>
      <c r="H4671" s="11" t="s">
        <v>25186</v>
      </c>
      <c r="I4671" s="11" t="str">
        <f>HYPERLINK("http://www.maskeraid.it/","www.maskeraid.it")</f>
        <v>www.maskeraid.it</v>
      </c>
      <c r="J4671" s="12">
        <v>140.851</v>
      </c>
      <c r="K4671" s="12">
        <v>140.851</v>
      </c>
      <c r="L4671" s="13">
        <v>73.116</v>
      </c>
      <c r="M4671" s="12">
        <v>1.8720000000000001</v>
      </c>
      <c r="N4671" s="12">
        <v>1.8720000000000001</v>
      </c>
      <c r="O4671" s="12">
        <v>20.346</v>
      </c>
      <c r="P4671" s="12">
        <v>2</v>
      </c>
      <c r="Q4671" s="12">
        <v>2</v>
      </c>
      <c r="R4671" s="12">
        <v>2</v>
      </c>
    </row>
    <row r="4672" spans="1:18" ht="17" customHeight="1" x14ac:dyDescent="0.15">
      <c r="A4672" s="8" t="s">
        <v>25239</v>
      </c>
      <c r="B4672" s="9" t="s">
        <v>25240</v>
      </c>
      <c r="C4672" s="8" t="s">
        <v>25241</v>
      </c>
      <c r="D4672" s="8" t="s">
        <v>25241</v>
      </c>
      <c r="E4672" s="8" t="s">
        <v>25242</v>
      </c>
      <c r="F4672" s="8" t="s">
        <v>25085</v>
      </c>
      <c r="G4672" s="8" t="s">
        <v>25243</v>
      </c>
      <c r="H4672" s="8" t="s">
        <v>25080</v>
      </c>
      <c r="I4672" s="8" t="str">
        <f>HYPERLINK("http://nuum.it/","nuum.it")</f>
        <v>nuum.it</v>
      </c>
      <c r="J4672" s="10">
        <v>221.476</v>
      </c>
      <c r="K4672" s="10">
        <v>221.476</v>
      </c>
      <c r="L4672" s="10">
        <v>73.040000000000006</v>
      </c>
      <c r="M4672" s="10">
        <v>2.3519999999999999</v>
      </c>
      <c r="N4672" s="10">
        <v>2.3519999999999999</v>
      </c>
      <c r="O4672" s="10">
        <v>12.250999999999999</v>
      </c>
      <c r="P4672" s="10">
        <v>1</v>
      </c>
      <c r="Q4672" s="10">
        <v>1</v>
      </c>
      <c r="R4672" s="10">
        <v>0</v>
      </c>
    </row>
    <row r="4673" spans="1:18" ht="17" customHeight="1" x14ac:dyDescent="0.15">
      <c r="A4673" s="11" t="s">
        <v>25244</v>
      </c>
      <c r="B4673" s="1" t="s">
        <v>25245</v>
      </c>
      <c r="C4673" s="11" t="s">
        <v>25246</v>
      </c>
      <c r="D4673" s="11" t="s">
        <v>25246</v>
      </c>
      <c r="E4673" s="11" t="s">
        <v>25247</v>
      </c>
      <c r="F4673" s="11" t="s">
        <v>25248</v>
      </c>
      <c r="G4673" s="11" t="s">
        <v>25249</v>
      </c>
      <c r="H4673" s="11" t="s">
        <v>25250</v>
      </c>
      <c r="I4673" s="11" t="str">
        <f>HYPERLINK("http://www.tecacamicie.it/","www.tecacamicie.it")</f>
        <v>www.tecacamicie.it</v>
      </c>
      <c r="J4673" s="12">
        <v>66.459000000000003</v>
      </c>
      <c r="K4673" s="12">
        <v>66.459000000000003</v>
      </c>
      <c r="L4673" s="13">
        <v>72.760000000000005</v>
      </c>
      <c r="M4673" s="12">
        <v>-16.116</v>
      </c>
      <c r="N4673" s="12">
        <v>-16.116</v>
      </c>
      <c r="O4673" s="12">
        <v>-11.375</v>
      </c>
      <c r="P4673" s="12">
        <v>2</v>
      </c>
      <c r="Q4673" s="12">
        <v>2</v>
      </c>
      <c r="R4673" s="12">
        <v>2</v>
      </c>
    </row>
    <row r="4674" spans="1:18" ht="17" customHeight="1" x14ac:dyDescent="0.15">
      <c r="A4674" s="8" t="s">
        <v>25251</v>
      </c>
      <c r="B4674" s="9" t="s">
        <v>25252</v>
      </c>
      <c r="C4674" s="8" t="s">
        <v>25253</v>
      </c>
      <c r="D4674" s="8" t="s">
        <v>25253</v>
      </c>
      <c r="E4674" s="8" t="s">
        <v>25254</v>
      </c>
      <c r="F4674" s="8" t="s">
        <v>25255</v>
      </c>
      <c r="G4674" s="8" t="s">
        <v>25256</v>
      </c>
      <c r="H4674" s="8" t="s">
        <v>25257</v>
      </c>
      <c r="I4674" s="8" t="str">
        <f>HYPERLINK("http://eurocuoio.it/","eurocuoio.it")</f>
        <v>eurocuoio.it</v>
      </c>
      <c r="J4674" s="10">
        <v>92.061000000000007</v>
      </c>
      <c r="K4674" s="10">
        <v>92.061000000000007</v>
      </c>
      <c r="L4674" s="10">
        <v>72.63</v>
      </c>
      <c r="M4674" s="10">
        <v>10.808999999999999</v>
      </c>
      <c r="N4674" s="10">
        <v>10.808999999999999</v>
      </c>
      <c r="O4674" s="10">
        <v>6.01</v>
      </c>
      <c r="P4674" s="10">
        <v>1</v>
      </c>
      <c r="Q4674" s="10">
        <v>1</v>
      </c>
      <c r="R4674" s="10">
        <v>1</v>
      </c>
    </row>
    <row r="4675" spans="1:18" ht="29.5" customHeight="1" x14ac:dyDescent="0.15">
      <c r="A4675" s="11" t="s">
        <v>25258</v>
      </c>
      <c r="B4675" s="1" t="s">
        <v>25259</v>
      </c>
      <c r="C4675" s="11" t="s">
        <v>25260</v>
      </c>
      <c r="D4675" s="11" t="s">
        <v>25260</v>
      </c>
      <c r="E4675" s="11" t="s">
        <v>25261</v>
      </c>
      <c r="F4675" s="11" t="s">
        <v>25255</v>
      </c>
      <c r="G4675" s="11" t="s">
        <v>25262</v>
      </c>
      <c r="H4675" s="11" t="s">
        <v>25263</v>
      </c>
      <c r="I4675" s="11" t="str">
        <f>HYPERLINK("http://www.easypell.com/","www.easypell.com")</f>
        <v>www.easypell.com</v>
      </c>
      <c r="J4675" s="12">
        <v>44.652999999999999</v>
      </c>
      <c r="K4675" s="12">
        <v>44.652999999999999</v>
      </c>
      <c r="L4675" s="13">
        <v>72.561999999999998</v>
      </c>
      <c r="M4675" s="12">
        <v>-1.6910000000000001</v>
      </c>
      <c r="N4675" s="12">
        <v>-1.6910000000000001</v>
      </c>
      <c r="O4675" s="12">
        <v>0.115</v>
      </c>
      <c r="P4675" s="14" t="s">
        <v>25264</v>
      </c>
      <c r="Q4675" s="14" t="s">
        <v>25264</v>
      </c>
      <c r="R4675" s="12">
        <v>2</v>
      </c>
    </row>
    <row r="4676" spans="1:18" ht="17" customHeight="1" x14ac:dyDescent="0.15">
      <c r="A4676" s="8" t="s">
        <v>25265</v>
      </c>
      <c r="B4676" s="9" t="s">
        <v>25266</v>
      </c>
      <c r="C4676" s="8" t="s">
        <v>25267</v>
      </c>
      <c r="D4676" s="8" t="s">
        <v>25267</v>
      </c>
      <c r="E4676" s="8" t="s">
        <v>25268</v>
      </c>
      <c r="F4676" s="8" t="s">
        <v>25269</v>
      </c>
      <c r="G4676" s="8" t="s">
        <v>25270</v>
      </c>
      <c r="H4676" s="8" t="s">
        <v>25271</v>
      </c>
      <c r="I4676" s="8" t="str">
        <f>HYPERLINK("http://vitovi.it/","vitovi.it")</f>
        <v>vitovi.it</v>
      </c>
      <c r="J4676" s="10">
        <v>53.984999999999999</v>
      </c>
      <c r="K4676" s="10">
        <v>53.984999999999999</v>
      </c>
      <c r="L4676" s="10">
        <v>72.543999999999997</v>
      </c>
      <c r="M4676" s="10">
        <v>-781.61300000000006</v>
      </c>
      <c r="N4676" s="10">
        <v>-781.61300000000006</v>
      </c>
      <c r="O4676" s="10">
        <v>-863.90300000000002</v>
      </c>
      <c r="P4676" s="10">
        <v>2</v>
      </c>
      <c r="Q4676" s="10">
        <v>2</v>
      </c>
      <c r="R4676" s="10">
        <v>3</v>
      </c>
    </row>
    <row r="4677" spans="1:18" ht="29.5" customHeight="1" x14ac:dyDescent="0.15">
      <c r="A4677" s="11" t="s">
        <v>25272</v>
      </c>
      <c r="B4677" s="1" t="s">
        <v>25273</v>
      </c>
      <c r="C4677" s="11" t="s">
        <v>25274</v>
      </c>
      <c r="D4677" s="11" t="s">
        <v>25274</v>
      </c>
      <c r="E4677" s="11" t="s">
        <v>25275</v>
      </c>
      <c r="F4677" s="11" t="s">
        <v>25248</v>
      </c>
      <c r="G4677" s="11" t="s">
        <v>25276</v>
      </c>
      <c r="H4677" s="11" t="s">
        <v>25277</v>
      </c>
      <c r="I4677" s="11" t="str">
        <f>HYPERLINK("http://www.camcorsetteria.com/","www.camcorsetteria.com")</f>
        <v>www.camcorsetteria.com</v>
      </c>
      <c r="J4677" s="12">
        <v>75.566000000000003</v>
      </c>
      <c r="K4677" s="12">
        <v>75.566000000000003</v>
      </c>
      <c r="L4677" s="13">
        <v>72.103999999999999</v>
      </c>
      <c r="M4677" s="12">
        <v>0.107</v>
      </c>
      <c r="N4677" s="12">
        <v>0.107</v>
      </c>
      <c r="O4677" s="12">
        <v>-2.6219999999999999</v>
      </c>
      <c r="P4677" s="12">
        <v>2</v>
      </c>
      <c r="Q4677" s="12">
        <v>2</v>
      </c>
      <c r="R4677" s="12">
        <v>3</v>
      </c>
    </row>
    <row r="4678" spans="1:18" ht="17" customHeight="1" x14ac:dyDescent="0.15">
      <c r="A4678" s="8" t="s">
        <v>25278</v>
      </c>
      <c r="B4678" s="9" t="s">
        <v>25279</v>
      </c>
      <c r="C4678" s="8" t="s">
        <v>25280</v>
      </c>
      <c r="D4678" s="8" t="s">
        <v>25280</v>
      </c>
      <c r="E4678" s="8" t="s">
        <v>25281</v>
      </c>
      <c r="F4678" s="8" t="s">
        <v>25282</v>
      </c>
      <c r="G4678" s="8" t="s">
        <v>25283</v>
      </c>
      <c r="H4678" s="8" t="s">
        <v>25284</v>
      </c>
      <c r="I4678" s="8" t="str">
        <f>HYPERLINK("http://juil.it/","juil.it")</f>
        <v>juil.it</v>
      </c>
      <c r="J4678" s="10">
        <v>61.293999999999997</v>
      </c>
      <c r="K4678" s="10">
        <v>61.293999999999997</v>
      </c>
      <c r="L4678" s="10">
        <v>71.947000000000003</v>
      </c>
      <c r="M4678" s="10">
        <v>-7.532</v>
      </c>
      <c r="N4678" s="10">
        <v>-7.532</v>
      </c>
      <c r="O4678" s="10">
        <v>-1.2569999999999999</v>
      </c>
      <c r="P4678" s="10">
        <v>1</v>
      </c>
      <c r="Q4678" s="10">
        <v>1</v>
      </c>
      <c r="R4678" s="10">
        <v>1</v>
      </c>
    </row>
    <row r="4679" spans="1:18" ht="17" customHeight="1" x14ac:dyDescent="0.15">
      <c r="A4679" s="11" t="s">
        <v>25285</v>
      </c>
      <c r="B4679" s="1" t="s">
        <v>25286</v>
      </c>
      <c r="C4679" s="11" t="s">
        <v>25287</v>
      </c>
      <c r="D4679" s="11" t="s">
        <v>25287</v>
      </c>
      <c r="E4679" s="11" t="s">
        <v>25288</v>
      </c>
      <c r="F4679" s="11" t="s">
        <v>25282</v>
      </c>
      <c r="G4679" s="11" t="s">
        <v>25289</v>
      </c>
      <c r="H4679" s="11" t="s">
        <v>25290</v>
      </c>
      <c r="I4679" s="11" t="str">
        <f>HYPERLINK("http://store.tetibeachwear.com/","store.tetibeachwear.com")</f>
        <v>store.tetibeachwear.com</v>
      </c>
      <c r="J4679" s="12">
        <v>87.876999999999995</v>
      </c>
      <c r="K4679" s="12">
        <v>87.876999999999995</v>
      </c>
      <c r="L4679" s="13">
        <v>71.281000000000006</v>
      </c>
      <c r="M4679" s="12">
        <v>8.2560000000000002</v>
      </c>
      <c r="N4679" s="12">
        <v>8.2560000000000002</v>
      </c>
      <c r="O4679" s="12">
        <v>16.593</v>
      </c>
      <c r="P4679" s="12">
        <v>0</v>
      </c>
      <c r="Q4679" s="12">
        <v>0</v>
      </c>
      <c r="R4679" s="12">
        <v>0</v>
      </c>
    </row>
    <row r="4680" spans="1:18" ht="43" customHeight="1" x14ac:dyDescent="0.15">
      <c r="A4680" s="8" t="s">
        <v>25291</v>
      </c>
      <c r="B4680" s="9" t="s">
        <v>25292</v>
      </c>
      <c r="C4680" s="8" t="s">
        <v>25293</v>
      </c>
      <c r="D4680" s="8" t="s">
        <v>25293</v>
      </c>
      <c r="E4680" s="8" t="s">
        <v>25294</v>
      </c>
      <c r="F4680" s="8" t="s">
        <v>25295</v>
      </c>
      <c r="G4680" s="8" t="s">
        <v>25296</v>
      </c>
      <c r="H4680" s="8" t="s">
        <v>25297</v>
      </c>
      <c r="I4680" s="8" t="str">
        <f>HYPERLINK("http://camiceriaritocca.it/","camiceriaritocca.it")</f>
        <v>camiceriaritocca.it</v>
      </c>
      <c r="J4680" s="10">
        <v>75.981999999999999</v>
      </c>
      <c r="K4680" s="10">
        <v>75.981999999999999</v>
      </c>
      <c r="L4680" s="10">
        <v>71.299000000000007</v>
      </c>
      <c r="M4680" s="10">
        <v>0.502</v>
      </c>
      <c r="N4680" s="10">
        <v>0.502</v>
      </c>
      <c r="O4680" s="10">
        <v>-3.0510000000000002</v>
      </c>
      <c r="P4680" s="15" t="s">
        <v>25264</v>
      </c>
      <c r="Q4680" s="15" t="s">
        <v>25264</v>
      </c>
      <c r="R4680" s="10">
        <v>1</v>
      </c>
    </row>
    <row r="4681" spans="1:18" ht="17" customHeight="1" x14ac:dyDescent="0.15">
      <c r="A4681" s="11" t="s">
        <v>25298</v>
      </c>
      <c r="B4681" s="1" t="s">
        <v>25299</v>
      </c>
      <c r="C4681" s="11" t="s">
        <v>25300</v>
      </c>
      <c r="D4681" s="11" t="s">
        <v>25300</v>
      </c>
      <c r="E4681" s="11" t="s">
        <v>25301</v>
      </c>
      <c r="F4681" s="11" t="s">
        <v>25302</v>
      </c>
      <c r="G4681" s="11" t="s">
        <v>25303</v>
      </c>
      <c r="H4681" s="11" t="s">
        <v>25271</v>
      </c>
      <c r="I4681" s="11" t="str">
        <f>HYPERLINK("http://www.robertacenci.it/","www.robertacenci.it")</f>
        <v>www.robertacenci.it</v>
      </c>
      <c r="J4681" s="12">
        <v>86.5</v>
      </c>
      <c r="K4681" s="12">
        <v>86.5</v>
      </c>
      <c r="L4681" s="13">
        <v>70</v>
      </c>
      <c r="M4681" s="12">
        <v>58.854999999999997</v>
      </c>
      <c r="N4681" s="12">
        <v>58.854999999999997</v>
      </c>
      <c r="O4681" s="12">
        <v>59.259</v>
      </c>
      <c r="P4681" s="12">
        <v>0</v>
      </c>
      <c r="Q4681" s="12">
        <v>0</v>
      </c>
      <c r="R4681" s="12">
        <v>0</v>
      </c>
    </row>
    <row r="4682" spans="1:18" ht="43" customHeight="1" x14ac:dyDescent="0.15">
      <c r="A4682" s="8" t="s">
        <v>25304</v>
      </c>
      <c r="B4682" s="9" t="s">
        <v>25305</v>
      </c>
      <c r="C4682" s="8" t="s">
        <v>25306</v>
      </c>
      <c r="D4682" s="8" t="s">
        <v>25306</v>
      </c>
      <c r="E4682" s="8" t="s">
        <v>25307</v>
      </c>
      <c r="F4682" s="8" t="s">
        <v>25302</v>
      </c>
      <c r="G4682" s="8" t="s">
        <v>25270</v>
      </c>
      <c r="H4682" s="8" t="s">
        <v>25271</v>
      </c>
      <c r="I4682" s="8" t="str">
        <f>HYPERLINK("http://www.amarilli.biz/","www.amarilli.biz")</f>
        <v>www.amarilli.biz</v>
      </c>
      <c r="J4682" s="10">
        <v>69.756</v>
      </c>
      <c r="K4682" s="15" t="s">
        <v>25264</v>
      </c>
      <c r="L4682" s="10">
        <v>69.756</v>
      </c>
      <c r="M4682" s="10">
        <v>-18.803000000000001</v>
      </c>
      <c r="N4682" s="15" t="s">
        <v>25264</v>
      </c>
      <c r="O4682" s="10">
        <v>-18.803000000000001</v>
      </c>
      <c r="P4682" s="10">
        <v>3</v>
      </c>
      <c r="Q4682" s="15" t="s">
        <v>25264</v>
      </c>
      <c r="R4682" s="10">
        <v>3</v>
      </c>
    </row>
    <row r="4683" spans="1:18" ht="17" customHeight="1" x14ac:dyDescent="0.15">
      <c r="A4683" s="11" t="s">
        <v>25308</v>
      </c>
      <c r="B4683" s="1" t="s">
        <v>25309</v>
      </c>
      <c r="C4683" s="11" t="s">
        <v>25310</v>
      </c>
      <c r="D4683" s="11" t="s">
        <v>25310</v>
      </c>
      <c r="E4683" s="11" t="s">
        <v>25311</v>
      </c>
      <c r="F4683" s="11" t="s">
        <v>25312</v>
      </c>
      <c r="G4683" s="11" t="s">
        <v>25313</v>
      </c>
      <c r="H4683" s="11" t="s">
        <v>25284</v>
      </c>
      <c r="I4683" s="11" t="str">
        <f>HYPERLINK("http://www.cles-italy.com/","www.cles-italy.com")</f>
        <v>www.cles-italy.com</v>
      </c>
      <c r="J4683" s="12">
        <v>121.72</v>
      </c>
      <c r="K4683" s="12">
        <v>121.72</v>
      </c>
      <c r="L4683" s="13">
        <v>69.677999999999997</v>
      </c>
      <c r="M4683" s="12">
        <v>3.2269999999999999</v>
      </c>
      <c r="N4683" s="12">
        <v>3.2269999999999999</v>
      </c>
      <c r="O4683" s="12">
        <v>0.98099999999999998</v>
      </c>
      <c r="P4683" s="12">
        <v>0</v>
      </c>
      <c r="Q4683" s="12">
        <v>0</v>
      </c>
      <c r="R4683" s="12">
        <v>0</v>
      </c>
    </row>
    <row r="4684" spans="1:18" ht="17" customHeight="1" x14ac:dyDescent="0.15">
      <c r="A4684" s="8" t="s">
        <v>25314</v>
      </c>
      <c r="B4684" s="9" t="s">
        <v>25315</v>
      </c>
      <c r="C4684" s="8" t="s">
        <v>25316</v>
      </c>
      <c r="D4684" s="8" t="s">
        <v>25316</v>
      </c>
      <c r="E4684" s="8" t="s">
        <v>25317</v>
      </c>
      <c r="F4684" s="8" t="s">
        <v>25312</v>
      </c>
      <c r="G4684" s="8" t="s">
        <v>25318</v>
      </c>
      <c r="H4684" s="8" t="s">
        <v>25284</v>
      </c>
      <c r="I4684" s="8" t="str">
        <f>HYPERLINK("http://www.duegallimoda.it/","www.duegallimoda.it")</f>
        <v>www.duegallimoda.it</v>
      </c>
      <c r="J4684" s="10">
        <v>84.135000000000005</v>
      </c>
      <c r="K4684" s="10">
        <v>84.135000000000005</v>
      </c>
      <c r="L4684" s="10">
        <v>69.649000000000001</v>
      </c>
      <c r="M4684" s="10">
        <v>-0.129</v>
      </c>
      <c r="N4684" s="10">
        <v>-0.129</v>
      </c>
      <c r="O4684" s="10">
        <v>-3.597</v>
      </c>
      <c r="P4684" s="10">
        <v>1</v>
      </c>
      <c r="Q4684" s="10">
        <v>1</v>
      </c>
      <c r="R4684" s="10">
        <v>3</v>
      </c>
    </row>
    <row r="4685" spans="1:18" ht="17" customHeight="1" x14ac:dyDescent="0.15">
      <c r="A4685" s="11" t="s">
        <v>25319</v>
      </c>
      <c r="B4685" s="1" t="s">
        <v>25320</v>
      </c>
      <c r="C4685" s="11" t="s">
        <v>25321</v>
      </c>
      <c r="D4685" s="11" t="s">
        <v>25321</v>
      </c>
      <c r="E4685" s="11" t="s">
        <v>25322</v>
      </c>
      <c r="F4685" s="11" t="s">
        <v>25323</v>
      </c>
      <c r="G4685" s="11" t="s">
        <v>25324</v>
      </c>
      <c r="H4685" s="11" t="s">
        <v>25271</v>
      </c>
      <c r="I4685" s="11" t="str">
        <f>HYPERLINK("http://www.gerj.it/","www.gerj.it")</f>
        <v>www.gerj.it</v>
      </c>
      <c r="J4685" s="12">
        <v>68.489999999999995</v>
      </c>
      <c r="K4685" s="14" t="s">
        <v>25264</v>
      </c>
      <c r="L4685" s="13">
        <v>68.489999999999995</v>
      </c>
      <c r="M4685" s="12">
        <v>15.771000000000001</v>
      </c>
      <c r="N4685" s="14" t="s">
        <v>25264</v>
      </c>
      <c r="O4685" s="12">
        <v>15.771000000000001</v>
      </c>
      <c r="P4685" s="12">
        <v>0</v>
      </c>
      <c r="Q4685" s="14" t="s">
        <v>25264</v>
      </c>
      <c r="R4685" s="12">
        <v>0</v>
      </c>
    </row>
    <row r="4686" spans="1:18" ht="17" customHeight="1" x14ac:dyDescent="0.15">
      <c r="A4686" s="8" t="s">
        <v>25325</v>
      </c>
      <c r="B4686" s="9" t="s">
        <v>25326</v>
      </c>
      <c r="C4686" s="8" t="s">
        <v>25327</v>
      </c>
      <c r="D4686" s="8" t="s">
        <v>25327</v>
      </c>
      <c r="E4686" s="8" t="s">
        <v>25328</v>
      </c>
      <c r="F4686" s="8" t="s">
        <v>25269</v>
      </c>
      <c r="G4686" s="8" t="s">
        <v>25329</v>
      </c>
      <c r="H4686" s="8" t="s">
        <v>25330</v>
      </c>
      <c r="I4686" s="8" t="str">
        <f>HYPERLINK("http://centogrammi.com/","centogrammi.com")</f>
        <v>centogrammi.com</v>
      </c>
      <c r="J4686" s="10">
        <v>68.039000000000001</v>
      </c>
      <c r="K4686" s="15" t="s">
        <v>25264</v>
      </c>
      <c r="L4686" s="10">
        <v>68.039000000000001</v>
      </c>
      <c r="M4686" s="10">
        <v>-78.099000000000004</v>
      </c>
      <c r="N4686" s="15" t="s">
        <v>25264</v>
      </c>
      <c r="O4686" s="10">
        <v>-78.099000000000004</v>
      </c>
      <c r="P4686" s="10">
        <v>1</v>
      </c>
      <c r="Q4686" s="15" t="s">
        <v>25264</v>
      </c>
      <c r="R4686" s="10">
        <v>1</v>
      </c>
    </row>
    <row r="4687" spans="1:18" ht="17" customHeight="1" x14ac:dyDescent="0.15">
      <c r="A4687" s="11" t="s">
        <v>25331</v>
      </c>
      <c r="B4687" s="1" t="s">
        <v>25332</v>
      </c>
      <c r="C4687" s="11" t="s">
        <v>25333</v>
      </c>
      <c r="D4687" s="11" t="s">
        <v>25333</v>
      </c>
      <c r="E4687" s="11" t="s">
        <v>25334</v>
      </c>
      <c r="F4687" s="11" t="s">
        <v>25248</v>
      </c>
      <c r="G4687" s="11" t="s">
        <v>25335</v>
      </c>
      <c r="H4687" s="11" t="s">
        <v>25263</v>
      </c>
      <c r="I4687" s="11" t="str">
        <f>HYPERLINK("http://orizzonti.net/","orizzonti.net")</f>
        <v>orizzonti.net</v>
      </c>
      <c r="J4687" s="12">
        <v>67.55</v>
      </c>
      <c r="K4687" s="14" t="s">
        <v>25264</v>
      </c>
      <c r="L4687" s="13">
        <v>67.55</v>
      </c>
      <c r="M4687" s="12">
        <v>-73.375</v>
      </c>
      <c r="N4687" s="14" t="s">
        <v>25264</v>
      </c>
      <c r="O4687" s="12">
        <v>-73.375</v>
      </c>
      <c r="P4687" s="12">
        <v>7</v>
      </c>
      <c r="Q4687" s="14" t="s">
        <v>25264</v>
      </c>
      <c r="R4687" s="12">
        <v>7</v>
      </c>
    </row>
    <row r="4688" spans="1:18" ht="17" customHeight="1" x14ac:dyDescent="0.15">
      <c r="A4688" s="8" t="s">
        <v>25336</v>
      </c>
      <c r="B4688" s="9" t="s">
        <v>25337</v>
      </c>
      <c r="C4688" s="8" t="s">
        <v>25338</v>
      </c>
      <c r="D4688" s="8" t="s">
        <v>25338</v>
      </c>
      <c r="E4688" s="8" t="s">
        <v>25339</v>
      </c>
      <c r="F4688" s="8" t="s">
        <v>25282</v>
      </c>
      <c r="G4688" s="8" t="s">
        <v>25340</v>
      </c>
      <c r="H4688" s="8" t="s">
        <v>25257</v>
      </c>
      <c r="I4688" s="8" t="str">
        <f>HYPERLINK("http://www.rebelfitness.it/","www.rebelfitness.it")</f>
        <v>www.rebelfitness.it</v>
      </c>
      <c r="J4688" s="10">
        <v>64.88</v>
      </c>
      <c r="K4688" s="10">
        <v>64.88</v>
      </c>
      <c r="L4688" s="10">
        <v>66.210999999999999</v>
      </c>
      <c r="M4688" s="10">
        <v>2.9820000000000002</v>
      </c>
      <c r="N4688" s="10">
        <v>2.9820000000000002</v>
      </c>
      <c r="O4688" s="10">
        <v>2.839</v>
      </c>
      <c r="P4688" s="15" t="s">
        <v>25264</v>
      </c>
      <c r="Q4688" s="15" t="s">
        <v>25264</v>
      </c>
      <c r="R4688" s="10">
        <v>0</v>
      </c>
    </row>
    <row r="4689" spans="1:18" ht="17" customHeight="1" x14ac:dyDescent="0.15">
      <c r="A4689" s="11" t="s">
        <v>25341</v>
      </c>
      <c r="B4689" s="1" t="s">
        <v>25342</v>
      </c>
      <c r="C4689" s="11" t="s">
        <v>25343</v>
      </c>
      <c r="D4689" s="11" t="s">
        <v>25343</v>
      </c>
      <c r="E4689" s="11" t="s">
        <v>25344</v>
      </c>
      <c r="F4689" s="11" t="s">
        <v>25345</v>
      </c>
      <c r="G4689" s="11" t="s">
        <v>25346</v>
      </c>
      <c r="H4689" s="11" t="s">
        <v>25277</v>
      </c>
      <c r="I4689" s="11" t="str">
        <f>HYPERLINK("http://www.amicofriend.it/","www.amicofriend.it")</f>
        <v>www.amicofriend.it</v>
      </c>
      <c r="J4689" s="12">
        <v>63.289000000000001</v>
      </c>
      <c r="K4689" s="12">
        <v>63.289000000000001</v>
      </c>
      <c r="L4689" s="13">
        <v>65.960999999999999</v>
      </c>
      <c r="M4689" s="12">
        <v>-13.041</v>
      </c>
      <c r="N4689" s="12">
        <v>-13.041</v>
      </c>
      <c r="O4689" s="12">
        <v>18.352</v>
      </c>
      <c r="P4689" s="12">
        <v>2</v>
      </c>
      <c r="Q4689" s="12">
        <v>2</v>
      </c>
      <c r="R4689" s="12">
        <v>3</v>
      </c>
    </row>
    <row r="4690" spans="1:18" ht="17" customHeight="1" x14ac:dyDescent="0.15">
      <c r="A4690" s="8" t="s">
        <v>25347</v>
      </c>
      <c r="B4690" s="9" t="s">
        <v>25348</v>
      </c>
      <c r="C4690" s="8" t="s">
        <v>25349</v>
      </c>
      <c r="D4690" s="8" t="s">
        <v>25349</v>
      </c>
      <c r="E4690" s="8" t="s">
        <v>25350</v>
      </c>
      <c r="F4690" s="8" t="s">
        <v>25351</v>
      </c>
      <c r="G4690" s="8" t="s">
        <v>25352</v>
      </c>
      <c r="H4690" s="8" t="s">
        <v>25353</v>
      </c>
      <c r="I4690" s="8" t="str">
        <f>HYPERLINK("http://www.ricupitodesign.com/","www.ricupitodesign.com")</f>
        <v>www.ricupitodesign.com</v>
      </c>
      <c r="J4690" s="10">
        <v>74.599999999999994</v>
      </c>
      <c r="K4690" s="10">
        <v>74.599999999999994</v>
      </c>
      <c r="L4690" s="10">
        <v>65.858999999999995</v>
      </c>
      <c r="M4690" s="10">
        <v>4.5339999999999998</v>
      </c>
      <c r="N4690" s="10">
        <v>4.5339999999999998</v>
      </c>
      <c r="O4690" s="10">
        <v>5.7089999999999996</v>
      </c>
      <c r="P4690" s="10">
        <v>0</v>
      </c>
      <c r="Q4690" s="10">
        <v>0</v>
      </c>
      <c r="R4690" s="10">
        <v>0</v>
      </c>
    </row>
    <row r="4691" spans="1:18" ht="43" customHeight="1" x14ac:dyDescent="0.15">
      <c r="A4691" s="11" t="s">
        <v>25354</v>
      </c>
      <c r="B4691" s="1" t="s">
        <v>25355</v>
      </c>
      <c r="C4691" s="11" t="s">
        <v>25356</v>
      </c>
      <c r="D4691" s="11" t="s">
        <v>25356</v>
      </c>
      <c r="E4691" s="11" t="s">
        <v>25357</v>
      </c>
      <c r="F4691" s="11" t="s">
        <v>25248</v>
      </c>
      <c r="G4691" s="11" t="s">
        <v>25358</v>
      </c>
      <c r="H4691" s="11" t="s">
        <v>25359</v>
      </c>
      <c r="I4691" s="11" t="str">
        <f>HYPERLINK("http://www.creazionimd.com/","www.creazionimd.com")</f>
        <v>www.creazionimd.com</v>
      </c>
      <c r="J4691" s="12">
        <v>65.754000000000005</v>
      </c>
      <c r="K4691" s="14" t="s">
        <v>25264</v>
      </c>
      <c r="L4691" s="13">
        <v>65.754000000000005</v>
      </c>
      <c r="M4691" s="12">
        <v>8.0039999999999996</v>
      </c>
      <c r="N4691" s="14" t="s">
        <v>25264</v>
      </c>
      <c r="O4691" s="12">
        <v>8.0039999999999996</v>
      </c>
      <c r="P4691" s="12">
        <v>0</v>
      </c>
      <c r="Q4691" s="14" t="s">
        <v>25264</v>
      </c>
      <c r="R4691" s="12">
        <v>0</v>
      </c>
    </row>
    <row r="4692" spans="1:18" ht="29.5" customHeight="1" x14ac:dyDescent="0.15">
      <c r="A4692" s="8" t="s">
        <v>25360</v>
      </c>
      <c r="B4692" s="9" t="s">
        <v>25361</v>
      </c>
      <c r="C4692" s="8" t="s">
        <v>25362</v>
      </c>
      <c r="D4692" s="8" t="s">
        <v>25362</v>
      </c>
      <c r="E4692" s="8" t="s">
        <v>25363</v>
      </c>
      <c r="F4692" s="8" t="s">
        <v>25302</v>
      </c>
      <c r="G4692" s="8" t="s">
        <v>25358</v>
      </c>
      <c r="H4692" s="8" t="s">
        <v>25359</v>
      </c>
      <c r="I4692" s="8" t="str">
        <f>HYPERLINK("http://marinicalzature.it/","marinicalzature.it")</f>
        <v>marinicalzature.it</v>
      </c>
      <c r="J4692" s="10">
        <v>45</v>
      </c>
      <c r="K4692" s="10">
        <v>45</v>
      </c>
      <c r="L4692" s="10">
        <v>65.358999999999995</v>
      </c>
      <c r="M4692" s="10">
        <v>1.587</v>
      </c>
      <c r="N4692" s="10">
        <v>1.587</v>
      </c>
      <c r="O4692" s="10">
        <v>-2.4510000000000001</v>
      </c>
      <c r="P4692" s="10">
        <v>1</v>
      </c>
      <c r="Q4692" s="10">
        <v>1</v>
      </c>
      <c r="R4692" s="10">
        <v>1</v>
      </c>
    </row>
    <row r="4693" spans="1:18" ht="43" customHeight="1" x14ac:dyDescent="0.15">
      <c r="A4693" s="11" t="s">
        <v>25364</v>
      </c>
      <c r="B4693" s="1" t="s">
        <v>25365</v>
      </c>
      <c r="C4693" s="11" t="s">
        <v>25366</v>
      </c>
      <c r="D4693" s="11" t="s">
        <v>25366</v>
      </c>
      <c r="E4693" s="11" t="s">
        <v>25367</v>
      </c>
      <c r="F4693" s="11" t="s">
        <v>25269</v>
      </c>
      <c r="G4693" s="11" t="s">
        <v>25368</v>
      </c>
      <c r="H4693" s="11" t="s">
        <v>25330</v>
      </c>
      <c r="I4693" s="11" t="str">
        <f>HYPERLINK("http://brunellasposa.com/","brunellasposa.com")</f>
        <v>brunellasposa.com</v>
      </c>
      <c r="J4693" s="12">
        <v>56.261000000000003</v>
      </c>
      <c r="K4693" s="12">
        <v>56.261000000000003</v>
      </c>
      <c r="L4693" s="13">
        <v>65.174000000000007</v>
      </c>
      <c r="M4693" s="12">
        <v>10.045999999999999</v>
      </c>
      <c r="N4693" s="12">
        <v>10.045999999999999</v>
      </c>
      <c r="O4693" s="12">
        <v>2.0939999999999999</v>
      </c>
      <c r="P4693" s="12">
        <v>1</v>
      </c>
      <c r="Q4693" s="12">
        <v>1</v>
      </c>
      <c r="R4693" s="12">
        <v>1</v>
      </c>
    </row>
    <row r="4694" spans="1:18" ht="43" customHeight="1" x14ac:dyDescent="0.15">
      <c r="A4694" s="8" t="s">
        <v>25369</v>
      </c>
      <c r="B4694" s="9" t="s">
        <v>25370</v>
      </c>
      <c r="C4694" s="8" t="s">
        <v>25371</v>
      </c>
      <c r="D4694" s="8" t="s">
        <v>25371</v>
      </c>
      <c r="E4694" s="8" t="s">
        <v>25372</v>
      </c>
      <c r="F4694" s="8" t="s">
        <v>25269</v>
      </c>
      <c r="G4694" s="8" t="s">
        <v>25256</v>
      </c>
      <c r="H4694" s="8" t="s">
        <v>25257</v>
      </c>
      <c r="I4694" s="8" t="str">
        <f>HYPERLINK("http://www.chleomadeinitaly.it/","www.chleomadeinitaly.it")</f>
        <v>www.chleomadeinitaly.it</v>
      </c>
      <c r="J4694" s="10">
        <v>72.488</v>
      </c>
      <c r="K4694" s="10">
        <v>72.488</v>
      </c>
      <c r="L4694" s="10">
        <v>65.146000000000001</v>
      </c>
      <c r="M4694" s="10">
        <v>4.0190000000000001</v>
      </c>
      <c r="N4694" s="10">
        <v>4.0190000000000001</v>
      </c>
      <c r="O4694" s="10">
        <v>12.004</v>
      </c>
      <c r="P4694" s="10">
        <v>0</v>
      </c>
      <c r="Q4694" s="10">
        <v>0</v>
      </c>
      <c r="R4694" s="10">
        <v>0</v>
      </c>
    </row>
    <row r="4695" spans="1:18" ht="17" customHeight="1" x14ac:dyDescent="0.15">
      <c r="A4695" s="11" t="s">
        <v>25373</v>
      </c>
      <c r="B4695" s="1" t="s">
        <v>25374</v>
      </c>
      <c r="C4695" s="11" t="s">
        <v>25375</v>
      </c>
      <c r="D4695" s="11" t="s">
        <v>25375</v>
      </c>
      <c r="E4695" s="11" t="s">
        <v>25376</v>
      </c>
      <c r="F4695" s="11" t="s">
        <v>25312</v>
      </c>
      <c r="G4695" s="11" t="s">
        <v>25377</v>
      </c>
      <c r="H4695" s="11" t="s">
        <v>25378</v>
      </c>
      <c r="I4695" s="11" t="str">
        <f>HYPERLINK("http://www.securesi.it/","www.securesi.it")</f>
        <v>www.securesi.it</v>
      </c>
      <c r="J4695" s="12">
        <v>24.652999999999999</v>
      </c>
      <c r="K4695" s="12">
        <v>24.652999999999999</v>
      </c>
      <c r="L4695" s="13">
        <v>63.895000000000003</v>
      </c>
      <c r="M4695" s="12">
        <v>5.0910000000000002</v>
      </c>
      <c r="N4695" s="12">
        <v>5.0910000000000002</v>
      </c>
      <c r="O4695" s="12">
        <v>14.955</v>
      </c>
      <c r="P4695" s="12">
        <v>0</v>
      </c>
      <c r="Q4695" s="12">
        <v>0</v>
      </c>
      <c r="R4695" s="12">
        <v>0</v>
      </c>
    </row>
    <row r="4696" spans="1:18" ht="17" customHeight="1" x14ac:dyDescent="0.15">
      <c r="A4696" s="8" t="s">
        <v>25379</v>
      </c>
      <c r="B4696" s="9" t="s">
        <v>25380</v>
      </c>
      <c r="C4696" s="8" t="s">
        <v>25381</v>
      </c>
      <c r="D4696" s="8" t="s">
        <v>25381</v>
      </c>
      <c r="E4696" s="8" t="s">
        <v>25382</v>
      </c>
      <c r="F4696" s="8" t="s">
        <v>25255</v>
      </c>
      <c r="G4696" s="8" t="s">
        <v>25358</v>
      </c>
      <c r="H4696" s="8" t="s">
        <v>25359</v>
      </c>
      <c r="I4696" s="8" t="str">
        <f>HYPERLINK("http://pattyb.it/","pattyb.it")</f>
        <v>pattyb.it</v>
      </c>
      <c r="J4696" s="10">
        <v>106.997</v>
      </c>
      <c r="K4696" s="10">
        <v>106.997</v>
      </c>
      <c r="L4696" s="10">
        <v>63.654000000000003</v>
      </c>
      <c r="M4696" s="10">
        <v>4.9790000000000001</v>
      </c>
      <c r="N4696" s="10">
        <v>4.9790000000000001</v>
      </c>
      <c r="O4696" s="10">
        <v>5.194</v>
      </c>
      <c r="P4696" s="10">
        <v>1</v>
      </c>
      <c r="Q4696" s="10">
        <v>1</v>
      </c>
      <c r="R4696" s="10">
        <v>1</v>
      </c>
    </row>
    <row r="4697" spans="1:18" ht="17" customHeight="1" x14ac:dyDescent="0.15">
      <c r="A4697" s="11" t="s">
        <v>25383</v>
      </c>
      <c r="B4697" s="1" t="s">
        <v>25384</v>
      </c>
      <c r="C4697" s="11" t="s">
        <v>25385</v>
      </c>
      <c r="D4697" s="11" t="s">
        <v>25385</v>
      </c>
      <c r="E4697" s="11" t="s">
        <v>25386</v>
      </c>
      <c r="F4697" s="11" t="s">
        <v>25387</v>
      </c>
      <c r="G4697" s="11" t="s">
        <v>25388</v>
      </c>
      <c r="H4697" s="11" t="s">
        <v>25389</v>
      </c>
      <c r="I4697" s="11" t="str">
        <f>HYPERLINK("http://pellicceriafranco.com/","pellicceriafranco.com")</f>
        <v>pellicceriafranco.com</v>
      </c>
      <c r="J4697" s="12">
        <v>63.414000000000001</v>
      </c>
      <c r="K4697" s="14" t="s">
        <v>25264</v>
      </c>
      <c r="L4697" s="13">
        <v>63.414000000000001</v>
      </c>
      <c r="M4697" s="12">
        <v>6.8330000000000002</v>
      </c>
      <c r="N4697" s="14" t="s">
        <v>25264</v>
      </c>
      <c r="O4697" s="12">
        <v>6.8330000000000002</v>
      </c>
      <c r="P4697" s="12">
        <v>2</v>
      </c>
      <c r="Q4697" s="14" t="s">
        <v>25264</v>
      </c>
      <c r="R4697" s="12">
        <v>2</v>
      </c>
    </row>
    <row r="4698" spans="1:18" ht="17" customHeight="1" x14ac:dyDescent="0.15">
      <c r="A4698" s="8" t="s">
        <v>25390</v>
      </c>
      <c r="B4698" s="9" t="s">
        <v>25391</v>
      </c>
      <c r="C4698" s="8" t="s">
        <v>25392</v>
      </c>
      <c r="D4698" s="8" t="s">
        <v>25392</v>
      </c>
      <c r="E4698" s="8" t="s">
        <v>25393</v>
      </c>
      <c r="F4698" s="8" t="s">
        <v>25269</v>
      </c>
      <c r="G4698" s="8" t="s">
        <v>25394</v>
      </c>
      <c r="H4698" s="8" t="s">
        <v>25263</v>
      </c>
      <c r="I4698" s="8" t="str">
        <f>HYPERLINK("http://paianosrl.it/","paianosrl.it")</f>
        <v>paianosrl.it</v>
      </c>
      <c r="J4698" s="10">
        <v>742.43700000000001</v>
      </c>
      <c r="K4698" s="10">
        <v>742.43700000000001</v>
      </c>
      <c r="L4698" s="10">
        <v>63.152999999999999</v>
      </c>
      <c r="M4698" s="10">
        <v>141.304</v>
      </c>
      <c r="N4698" s="10">
        <v>141.304</v>
      </c>
      <c r="O4698" s="10">
        <v>20.437000000000001</v>
      </c>
      <c r="P4698" s="15" t="s">
        <v>25264</v>
      </c>
      <c r="Q4698" s="15" t="s">
        <v>25264</v>
      </c>
      <c r="R4698" s="10">
        <v>10</v>
      </c>
    </row>
    <row r="4699" spans="1:18" ht="29.5" customHeight="1" x14ac:dyDescent="0.15">
      <c r="A4699" s="11" t="s">
        <v>25395</v>
      </c>
      <c r="B4699" s="1" t="s">
        <v>25396</v>
      </c>
      <c r="C4699" s="11" t="s">
        <v>25397</v>
      </c>
      <c r="D4699" s="11" t="s">
        <v>25397</v>
      </c>
      <c r="E4699" s="11" t="s">
        <v>25398</v>
      </c>
      <c r="F4699" s="11" t="s">
        <v>25302</v>
      </c>
      <c r="G4699" s="11" t="s">
        <v>25303</v>
      </c>
      <c r="H4699" s="11" t="s">
        <v>25271</v>
      </c>
      <c r="I4699" s="11" t="str">
        <f>HYPERLINK("http://www.bcced.it/","www.bcced.it")</f>
        <v>www.bcced.it</v>
      </c>
      <c r="J4699" s="12">
        <v>83.572000000000003</v>
      </c>
      <c r="K4699" s="12">
        <v>83.572000000000003</v>
      </c>
      <c r="L4699" s="13">
        <v>62.2</v>
      </c>
      <c r="M4699" s="12">
        <v>20.332000000000001</v>
      </c>
      <c r="N4699" s="12">
        <v>20.332000000000001</v>
      </c>
      <c r="O4699" s="12">
        <v>5.3159999999999998</v>
      </c>
      <c r="P4699" s="12">
        <v>0</v>
      </c>
      <c r="Q4699" s="12">
        <v>0</v>
      </c>
      <c r="R4699" s="12">
        <v>0</v>
      </c>
    </row>
    <row r="4700" spans="1:18" ht="29.5" customHeight="1" x14ac:dyDescent="0.15">
      <c r="A4700" s="8" t="s">
        <v>25399</v>
      </c>
      <c r="B4700" s="9" t="s">
        <v>25400</v>
      </c>
      <c r="C4700" s="8" t="s">
        <v>25401</v>
      </c>
      <c r="D4700" s="8" t="s">
        <v>25401</v>
      </c>
      <c r="E4700" s="8" t="s">
        <v>25402</v>
      </c>
      <c r="F4700" s="8" t="s">
        <v>25282</v>
      </c>
      <c r="G4700" s="8" t="s">
        <v>25403</v>
      </c>
      <c r="H4700" s="8" t="s">
        <v>25290</v>
      </c>
      <c r="I4700" s="8" t="str">
        <f>HYPERLINK("http://www.sandsitaly.it/","www.sandsitaly.it")</f>
        <v>www.sandsitaly.it</v>
      </c>
      <c r="J4700" s="10">
        <v>63.576999999999998</v>
      </c>
      <c r="K4700" s="10">
        <v>63.576999999999998</v>
      </c>
      <c r="L4700" s="10">
        <v>62.204000000000001</v>
      </c>
      <c r="M4700" s="10">
        <v>15.231</v>
      </c>
      <c r="N4700" s="10">
        <v>15.231</v>
      </c>
      <c r="O4700" s="10">
        <v>8.7590000000000003</v>
      </c>
      <c r="P4700" s="15" t="s">
        <v>25264</v>
      </c>
      <c r="Q4700" s="15" t="s">
        <v>25264</v>
      </c>
      <c r="R4700" s="15" t="s">
        <v>25264</v>
      </c>
    </row>
    <row r="4701" spans="1:18" ht="17" customHeight="1" x14ac:dyDescent="0.15">
      <c r="A4701" s="11" t="s">
        <v>25404</v>
      </c>
      <c r="B4701" s="1" t="s">
        <v>25405</v>
      </c>
      <c r="C4701" s="11" t="s">
        <v>25406</v>
      </c>
      <c r="D4701" s="11" t="s">
        <v>25406</v>
      </c>
      <c r="E4701" s="11" t="s">
        <v>25407</v>
      </c>
      <c r="F4701" s="11" t="s">
        <v>25255</v>
      </c>
      <c r="G4701" s="11" t="s">
        <v>25408</v>
      </c>
      <c r="H4701" s="11" t="s">
        <v>25284</v>
      </c>
      <c r="I4701" s="11" t="str">
        <f>HYPERLINK("http://www.dadolab.com/","www.dadolab.com")</f>
        <v>www.dadolab.com</v>
      </c>
      <c r="J4701" s="12">
        <v>37</v>
      </c>
      <c r="K4701" s="12">
        <v>37</v>
      </c>
      <c r="L4701" s="13">
        <v>62.094000000000001</v>
      </c>
      <c r="M4701" s="12">
        <v>-65.272000000000006</v>
      </c>
      <c r="N4701" s="12">
        <v>-65.272000000000006</v>
      </c>
      <c r="O4701" s="12">
        <v>-172.87700000000001</v>
      </c>
      <c r="P4701" s="14" t="s">
        <v>25264</v>
      </c>
      <c r="Q4701" s="14" t="s">
        <v>25264</v>
      </c>
      <c r="R4701" s="12">
        <v>5</v>
      </c>
    </row>
    <row r="4702" spans="1:18" ht="29.5" customHeight="1" x14ac:dyDescent="0.15">
      <c r="A4702" s="8" t="s">
        <v>25409</v>
      </c>
      <c r="B4702" s="9" t="s">
        <v>25410</v>
      </c>
      <c r="C4702" s="8" t="s">
        <v>25411</v>
      </c>
      <c r="D4702" s="8" t="s">
        <v>25411</v>
      </c>
      <c r="E4702" s="8" t="s">
        <v>25412</v>
      </c>
      <c r="F4702" s="8" t="s">
        <v>25282</v>
      </c>
      <c r="G4702" s="8" t="s">
        <v>25368</v>
      </c>
      <c r="H4702" s="8" t="s">
        <v>25330</v>
      </c>
      <c r="I4702" s="8" t="str">
        <f>HYPERLINK("http://superbrands-italia-srl-01875920686.quantofattura.com/","superbrands-italia-srl-01875920686.quantofattura.com")</f>
        <v>superbrands-italia-srl-01875920686.quantofattura.com</v>
      </c>
      <c r="J4702" s="10">
        <v>61.44</v>
      </c>
      <c r="K4702" s="10">
        <v>61.44</v>
      </c>
      <c r="L4702" s="10">
        <v>61.665999999999997</v>
      </c>
      <c r="M4702" s="10">
        <v>7.8040000000000003</v>
      </c>
      <c r="N4702" s="10">
        <v>7.8040000000000003</v>
      </c>
      <c r="O4702" s="10">
        <v>6.5919999999999996</v>
      </c>
      <c r="P4702" s="15" t="s">
        <v>25264</v>
      </c>
      <c r="Q4702" s="15" t="s">
        <v>25264</v>
      </c>
      <c r="R4702" s="10">
        <v>0</v>
      </c>
    </row>
    <row r="4703" spans="1:18" ht="17" customHeight="1" x14ac:dyDescent="0.15">
      <c r="A4703" s="11" t="s">
        <v>25413</v>
      </c>
      <c r="B4703" s="1" t="s">
        <v>25414</v>
      </c>
      <c r="C4703" s="11" t="s">
        <v>25415</v>
      </c>
      <c r="D4703" s="11" t="s">
        <v>25415</v>
      </c>
      <c r="E4703" s="11" t="s">
        <v>25416</v>
      </c>
      <c r="F4703" s="11" t="s">
        <v>25255</v>
      </c>
      <c r="G4703" s="11" t="s">
        <v>25358</v>
      </c>
      <c r="H4703" s="11" t="s">
        <v>25359</v>
      </c>
      <c r="I4703" s="11" t="str">
        <f>HYPERLINK("http://alberto-olivero.com/","alberto-olivero.com")</f>
        <v>alberto-olivero.com</v>
      </c>
      <c r="J4703" s="12">
        <v>157.065</v>
      </c>
      <c r="K4703" s="12">
        <v>157.065</v>
      </c>
      <c r="L4703" s="13">
        <v>61.08</v>
      </c>
      <c r="M4703" s="12">
        <v>-110.01900000000001</v>
      </c>
      <c r="N4703" s="12">
        <v>-110.01900000000001</v>
      </c>
      <c r="O4703" s="12">
        <v>-204.06800000000001</v>
      </c>
      <c r="P4703" s="12">
        <v>1</v>
      </c>
      <c r="Q4703" s="12">
        <v>1</v>
      </c>
      <c r="R4703" s="12">
        <v>2</v>
      </c>
    </row>
    <row r="4704" spans="1:18" ht="17" customHeight="1" x14ac:dyDescent="0.15">
      <c r="A4704" s="8" t="s">
        <v>25417</v>
      </c>
      <c r="B4704" s="9" t="s">
        <v>25418</v>
      </c>
      <c r="C4704" s="8" t="s">
        <v>25419</v>
      </c>
      <c r="D4704" s="8" t="s">
        <v>25419</v>
      </c>
      <c r="E4704" s="8" t="s">
        <v>25420</v>
      </c>
      <c r="F4704" s="8" t="s">
        <v>25282</v>
      </c>
      <c r="G4704" s="8" t="s">
        <v>25421</v>
      </c>
      <c r="H4704" s="8" t="s">
        <v>25353</v>
      </c>
      <c r="I4704" s="8" t="str">
        <f>HYPERLINK("http://www.luxxindustry.it/","www.luxxindustry.it")</f>
        <v>www.luxxindustry.it</v>
      </c>
      <c r="J4704" s="10">
        <v>0</v>
      </c>
      <c r="K4704" s="10">
        <v>0</v>
      </c>
      <c r="L4704" s="10">
        <v>60.26</v>
      </c>
      <c r="M4704" s="10">
        <v>-76.846999999999994</v>
      </c>
      <c r="N4704" s="10">
        <v>-76.846999999999994</v>
      </c>
      <c r="O4704" s="10">
        <v>-252.898</v>
      </c>
      <c r="P4704" s="10">
        <v>0</v>
      </c>
      <c r="Q4704" s="10">
        <v>0</v>
      </c>
      <c r="R4704" s="10">
        <v>1</v>
      </c>
    </row>
    <row r="4705" spans="1:18" ht="17" customHeight="1" x14ac:dyDescent="0.15">
      <c r="A4705" s="11" t="s">
        <v>25422</v>
      </c>
      <c r="B4705" s="1" t="s">
        <v>25423</v>
      </c>
      <c r="C4705" s="11" t="s">
        <v>25424</v>
      </c>
      <c r="D4705" s="11" t="s">
        <v>25424</v>
      </c>
      <c r="E4705" s="11" t="s">
        <v>25425</v>
      </c>
      <c r="F4705" s="11" t="s">
        <v>25426</v>
      </c>
      <c r="G4705" s="11" t="s">
        <v>25427</v>
      </c>
      <c r="H4705" s="11" t="s">
        <v>25428</v>
      </c>
      <c r="I4705" s="11" t="str">
        <f>HYPERLINK("http://www.annabuzzi.it/","www.annabuzzi.it")</f>
        <v>www.annabuzzi.it</v>
      </c>
      <c r="J4705" s="12">
        <v>0</v>
      </c>
      <c r="K4705" s="12">
        <v>0</v>
      </c>
      <c r="L4705" s="13">
        <v>60.329000000000001</v>
      </c>
      <c r="M4705" s="12">
        <v>-3.9129999999999998</v>
      </c>
      <c r="N4705" s="12">
        <v>-3.9129999999999998</v>
      </c>
      <c r="O4705" s="12">
        <v>-4.5739999999999998</v>
      </c>
      <c r="P4705" s="12">
        <v>0</v>
      </c>
      <c r="Q4705" s="12">
        <v>0</v>
      </c>
      <c r="R4705" s="12">
        <v>0</v>
      </c>
    </row>
    <row r="4706" spans="1:18" ht="29.5" customHeight="1" x14ac:dyDescent="0.15">
      <c r="A4706" s="8" t="s">
        <v>25429</v>
      </c>
      <c r="B4706" s="9" t="s">
        <v>25430</v>
      </c>
      <c r="C4706" s="8" t="s">
        <v>25431</v>
      </c>
      <c r="D4706" s="8" t="s">
        <v>25431</v>
      </c>
      <c r="E4706" s="8" t="s">
        <v>25432</v>
      </c>
      <c r="F4706" s="8" t="s">
        <v>25433</v>
      </c>
      <c r="G4706" s="8" t="s">
        <v>25434</v>
      </c>
      <c r="H4706" s="8" t="s">
        <v>25435</v>
      </c>
      <c r="I4706" s="8" t="str">
        <f>HYPERLINK("http://www.blackvenus.it/","www.blackvenus.it")</f>
        <v>www.blackvenus.it</v>
      </c>
      <c r="J4706" s="10">
        <v>92.978999999999999</v>
      </c>
      <c r="K4706" s="10">
        <v>92.978999999999999</v>
      </c>
      <c r="L4706" s="10">
        <v>60.088999999999999</v>
      </c>
      <c r="M4706" s="10">
        <v>-12.241</v>
      </c>
      <c r="N4706" s="10">
        <v>-12.241</v>
      </c>
      <c r="O4706" s="10">
        <v>-1.9379999999999999</v>
      </c>
      <c r="P4706" s="10">
        <v>0</v>
      </c>
      <c r="Q4706" s="10">
        <v>0</v>
      </c>
      <c r="R4706" s="10">
        <v>3</v>
      </c>
    </row>
    <row r="4707" spans="1:18" ht="17" customHeight="1" x14ac:dyDescent="0.15">
      <c r="A4707" s="11" t="s">
        <v>25436</v>
      </c>
      <c r="B4707" s="1" t="s">
        <v>25437</v>
      </c>
      <c r="C4707" s="11" t="s">
        <v>25438</v>
      </c>
      <c r="D4707" s="11" t="s">
        <v>25438</v>
      </c>
      <c r="E4707" s="11" t="s">
        <v>25439</v>
      </c>
      <c r="F4707" s="11" t="s">
        <v>25440</v>
      </c>
      <c r="G4707" s="11" t="s">
        <v>25441</v>
      </c>
      <c r="H4707" s="11" t="s">
        <v>25442</v>
      </c>
      <c r="I4707" s="11" t="str">
        <f>HYPERLINK("http://www.trovami.mermazing.it/","www.trovami.mermazing.it")</f>
        <v>www.trovami.mermazing.it</v>
      </c>
      <c r="J4707" s="12">
        <v>63.65</v>
      </c>
      <c r="K4707" s="12">
        <v>63.65</v>
      </c>
      <c r="L4707" s="13">
        <v>59.886000000000003</v>
      </c>
      <c r="M4707" s="12">
        <v>-18.62</v>
      </c>
      <c r="N4707" s="12">
        <v>-18.62</v>
      </c>
      <c r="O4707" s="12">
        <v>-5.415</v>
      </c>
      <c r="P4707" s="12">
        <v>4</v>
      </c>
      <c r="Q4707" s="12">
        <v>4</v>
      </c>
      <c r="R4707" s="12">
        <v>3</v>
      </c>
    </row>
    <row r="4708" spans="1:18" ht="17" customHeight="1" x14ac:dyDescent="0.15">
      <c r="A4708" s="8" t="s">
        <v>25443</v>
      </c>
      <c r="B4708" s="9" t="s">
        <v>25444</v>
      </c>
      <c r="C4708" s="8" t="s">
        <v>25445</v>
      </c>
      <c r="D4708" s="8" t="s">
        <v>25445</v>
      </c>
      <c r="E4708" s="8" t="s">
        <v>25446</v>
      </c>
      <c r="F4708" s="8" t="s">
        <v>25447</v>
      </c>
      <c r="G4708" s="8" t="s">
        <v>25448</v>
      </c>
      <c r="H4708" s="8" t="s">
        <v>25449</v>
      </c>
      <c r="I4708" s="8" t="str">
        <f>HYPERLINK("http://www.varci.it/","www.varci.it")</f>
        <v>www.varci.it</v>
      </c>
      <c r="J4708" s="10">
        <v>60.152000000000001</v>
      </c>
      <c r="K4708" s="10">
        <v>60.152000000000001</v>
      </c>
      <c r="L4708" s="10">
        <v>59.652000000000001</v>
      </c>
      <c r="M4708" s="10">
        <v>5.1230000000000002</v>
      </c>
      <c r="N4708" s="10">
        <v>5.1230000000000002</v>
      </c>
      <c r="O4708" s="10">
        <v>9.3119999999999994</v>
      </c>
      <c r="P4708" s="10">
        <v>0</v>
      </c>
      <c r="Q4708" s="10">
        <v>0</v>
      </c>
      <c r="R4708" s="10">
        <v>0</v>
      </c>
    </row>
    <row r="4709" spans="1:18" ht="17" customHeight="1" x14ac:dyDescent="0.15">
      <c r="A4709" s="11" t="s">
        <v>25450</v>
      </c>
      <c r="B4709" s="1" t="s">
        <v>25451</v>
      </c>
      <c r="C4709" s="11" t="s">
        <v>25452</v>
      </c>
      <c r="D4709" s="11" t="s">
        <v>25452</v>
      </c>
      <c r="E4709" s="11" t="s">
        <v>25453</v>
      </c>
      <c r="F4709" s="11" t="s">
        <v>25454</v>
      </c>
      <c r="G4709" s="11" t="s">
        <v>25441</v>
      </c>
      <c r="H4709" s="11" t="s">
        <v>25442</v>
      </c>
      <c r="I4709" s="11" t="str">
        <f>HYPERLINK("http://cosedimaglia.blogspot.com/","cosedimaglia.blogspot.com")</f>
        <v>cosedimaglia.blogspot.com</v>
      </c>
      <c r="J4709" s="12">
        <v>59.238</v>
      </c>
      <c r="K4709" s="14" t="s">
        <v>25455</v>
      </c>
      <c r="L4709" s="13">
        <v>59.238</v>
      </c>
      <c r="M4709" s="12">
        <v>25.382999999999999</v>
      </c>
      <c r="N4709" s="14" t="s">
        <v>25455</v>
      </c>
      <c r="O4709" s="12">
        <v>25.382999999999999</v>
      </c>
      <c r="P4709" s="12">
        <v>0</v>
      </c>
      <c r="Q4709" s="14" t="s">
        <v>25455</v>
      </c>
      <c r="R4709" s="12">
        <v>0</v>
      </c>
    </row>
    <row r="4710" spans="1:18" ht="17" customHeight="1" x14ac:dyDescent="0.15">
      <c r="A4710" s="8" t="s">
        <v>25456</v>
      </c>
      <c r="B4710" s="9" t="s">
        <v>25457</v>
      </c>
      <c r="C4710" s="8" t="s">
        <v>25458</v>
      </c>
      <c r="D4710" s="8" t="s">
        <v>25458</v>
      </c>
      <c r="E4710" s="8" t="s">
        <v>25459</v>
      </c>
      <c r="F4710" s="8" t="s">
        <v>25460</v>
      </c>
      <c r="G4710" s="8" t="s">
        <v>25461</v>
      </c>
      <c r="H4710" s="8" t="s">
        <v>25449</v>
      </c>
      <c r="I4710" s="8" t="str">
        <f>HYPERLINK("http://www.lucreziaaltamodasposa.com/","www.lucreziaaltamodasposa.com")</f>
        <v>www.lucreziaaltamodasposa.com</v>
      </c>
      <c r="J4710" s="10">
        <v>78.793999999999997</v>
      </c>
      <c r="K4710" s="10">
        <v>78.793999999999997</v>
      </c>
      <c r="L4710" s="10">
        <v>59.11</v>
      </c>
      <c r="M4710" s="10">
        <v>1.321</v>
      </c>
      <c r="N4710" s="10">
        <v>1.321</v>
      </c>
      <c r="O4710" s="10">
        <v>0.52100000000000002</v>
      </c>
      <c r="P4710" s="10">
        <v>0</v>
      </c>
      <c r="Q4710" s="10">
        <v>0</v>
      </c>
      <c r="R4710" s="10">
        <v>0</v>
      </c>
    </row>
    <row r="4711" spans="1:18" ht="17" customHeight="1" x14ac:dyDescent="0.15">
      <c r="A4711" s="11" t="s">
        <v>25462</v>
      </c>
      <c r="B4711" s="1" t="s">
        <v>25463</v>
      </c>
      <c r="C4711" s="11" t="s">
        <v>25464</v>
      </c>
      <c r="D4711" s="11" t="s">
        <v>25464</v>
      </c>
      <c r="E4711" s="11" t="s">
        <v>25465</v>
      </c>
      <c r="F4711" s="11" t="s">
        <v>25466</v>
      </c>
      <c r="G4711" s="11" t="s">
        <v>25467</v>
      </c>
      <c r="H4711" s="11" t="s">
        <v>25468</v>
      </c>
      <c r="I4711" s="11" t="str">
        <f>HYPERLINK("http://skudomade.it/","skudomade.it")</f>
        <v>skudomade.it</v>
      </c>
      <c r="J4711" s="12">
        <v>64.322000000000003</v>
      </c>
      <c r="K4711" s="12">
        <v>64.322000000000003</v>
      </c>
      <c r="L4711" s="13">
        <v>58.993000000000002</v>
      </c>
      <c r="M4711" s="12">
        <v>1.423</v>
      </c>
      <c r="N4711" s="12">
        <v>1.423</v>
      </c>
      <c r="O4711" s="12">
        <v>16.343</v>
      </c>
      <c r="P4711" s="12">
        <v>0</v>
      </c>
      <c r="Q4711" s="12">
        <v>0</v>
      </c>
      <c r="R4711" s="12">
        <v>1</v>
      </c>
    </row>
    <row r="4712" spans="1:18" ht="43" customHeight="1" x14ac:dyDescent="0.15">
      <c r="A4712" s="8" t="s">
        <v>25469</v>
      </c>
      <c r="B4712" s="9" t="s">
        <v>25470</v>
      </c>
      <c r="C4712" s="8" t="s">
        <v>25471</v>
      </c>
      <c r="D4712" s="8" t="s">
        <v>25471</v>
      </c>
      <c r="E4712" s="8" t="s">
        <v>25472</v>
      </c>
      <c r="F4712" s="8" t="s">
        <v>25466</v>
      </c>
      <c r="G4712" s="8" t="s">
        <v>25473</v>
      </c>
      <c r="H4712" s="8" t="s">
        <v>25474</v>
      </c>
      <c r="I4712" s="8" t="str">
        <f>HYPERLINK("http://monicachic.it/","monicachic.it")</f>
        <v>monicachic.it</v>
      </c>
      <c r="J4712" s="10">
        <v>54.32</v>
      </c>
      <c r="K4712" s="10">
        <v>54.32</v>
      </c>
      <c r="L4712" s="10">
        <v>58.790999999999997</v>
      </c>
      <c r="M4712" s="10">
        <v>1.3029999999999999</v>
      </c>
      <c r="N4712" s="10">
        <v>1.3029999999999999</v>
      </c>
      <c r="O4712" s="10">
        <v>16.335000000000001</v>
      </c>
      <c r="P4712" s="10">
        <v>1</v>
      </c>
      <c r="Q4712" s="10">
        <v>1</v>
      </c>
      <c r="R4712" s="10">
        <v>1</v>
      </c>
    </row>
    <row r="4713" spans="1:18" ht="17" customHeight="1" x14ac:dyDescent="0.15">
      <c r="A4713" s="11" t="s">
        <v>25475</v>
      </c>
      <c r="B4713" s="1" t="s">
        <v>25476</v>
      </c>
      <c r="C4713" s="11" t="s">
        <v>25477</v>
      </c>
      <c r="D4713" s="11" t="s">
        <v>25477</v>
      </c>
      <c r="E4713" s="11" t="s">
        <v>25478</v>
      </c>
      <c r="F4713" s="11" t="s">
        <v>25454</v>
      </c>
      <c r="G4713" s="11" t="s">
        <v>25479</v>
      </c>
      <c r="H4713" s="11" t="s">
        <v>25480</v>
      </c>
      <c r="I4713" s="11" t="str">
        <f>HYPERLINK("http://www.demodesrl.it/","www.demodesrl.it")</f>
        <v>www.demodesrl.it</v>
      </c>
      <c r="J4713" s="12">
        <v>32.841000000000001</v>
      </c>
      <c r="K4713" s="12">
        <v>32.841000000000001</v>
      </c>
      <c r="L4713" s="13">
        <v>58.555</v>
      </c>
      <c r="M4713" s="12">
        <v>-2.6680000000000001</v>
      </c>
      <c r="N4713" s="12">
        <v>-2.6680000000000001</v>
      </c>
      <c r="O4713" s="12">
        <v>0.56399999999999995</v>
      </c>
      <c r="P4713" s="12">
        <v>0</v>
      </c>
      <c r="Q4713" s="12">
        <v>0</v>
      </c>
      <c r="R4713" s="14" t="s">
        <v>25455</v>
      </c>
    </row>
    <row r="4714" spans="1:18" ht="17" customHeight="1" x14ac:dyDescent="0.15">
      <c r="A4714" s="8" t="s">
        <v>25481</v>
      </c>
      <c r="B4714" s="9" t="s">
        <v>25482</v>
      </c>
      <c r="C4714" s="8" t="s">
        <v>25483</v>
      </c>
      <c r="D4714" s="8" t="s">
        <v>25483</v>
      </c>
      <c r="E4714" s="8" t="s">
        <v>25484</v>
      </c>
      <c r="F4714" s="8" t="s">
        <v>25485</v>
      </c>
      <c r="G4714" s="8" t="s">
        <v>25486</v>
      </c>
      <c r="H4714" s="8" t="s">
        <v>25487</v>
      </c>
      <c r="I4714" s="8" t="str">
        <f>HYPERLINK("http://www.blu-style.com/","www.blu-style.com")</f>
        <v>www.blu-style.com</v>
      </c>
      <c r="J4714" s="10">
        <v>51.366</v>
      </c>
      <c r="K4714" s="10">
        <v>51.366</v>
      </c>
      <c r="L4714" s="10">
        <v>58.343000000000004</v>
      </c>
      <c r="M4714" s="10">
        <v>1.0649999999999999</v>
      </c>
      <c r="N4714" s="10">
        <v>1.0649999999999999</v>
      </c>
      <c r="O4714" s="10">
        <v>2.4489999999999998</v>
      </c>
      <c r="P4714" s="15" t="s">
        <v>25455</v>
      </c>
      <c r="Q4714" s="15" t="s">
        <v>25455</v>
      </c>
      <c r="R4714" s="15" t="s">
        <v>25455</v>
      </c>
    </row>
    <row r="4715" spans="1:18" ht="17" customHeight="1" x14ac:dyDescent="0.15">
      <c r="A4715" s="11" t="s">
        <v>25488</v>
      </c>
      <c r="B4715" s="1" t="s">
        <v>25489</v>
      </c>
      <c r="C4715" s="11" t="s">
        <v>25490</v>
      </c>
      <c r="D4715" s="11" t="s">
        <v>25490</v>
      </c>
      <c r="E4715" s="11" t="s">
        <v>25491</v>
      </c>
      <c r="F4715" s="11" t="s">
        <v>25466</v>
      </c>
      <c r="G4715" s="11" t="s">
        <v>25492</v>
      </c>
      <c r="H4715" s="11" t="s">
        <v>25474</v>
      </c>
      <c r="I4715" s="11" t="str">
        <f>HYPERLINK("http://www.filiamo.it/","www.filiamo.it")</f>
        <v>www.filiamo.it</v>
      </c>
      <c r="J4715" s="12">
        <v>113.324</v>
      </c>
      <c r="K4715" s="12">
        <v>113.324</v>
      </c>
      <c r="L4715" s="13">
        <v>57.921999999999997</v>
      </c>
      <c r="M4715" s="12">
        <v>0.57399999999999995</v>
      </c>
      <c r="N4715" s="12">
        <v>0.57399999999999995</v>
      </c>
      <c r="O4715" s="12">
        <v>7.093</v>
      </c>
      <c r="P4715" s="14" t="s">
        <v>25455</v>
      </c>
      <c r="Q4715" s="14" t="s">
        <v>25455</v>
      </c>
      <c r="R4715" s="12">
        <v>0</v>
      </c>
    </row>
    <row r="4716" spans="1:18" ht="17" customHeight="1" x14ac:dyDescent="0.15">
      <c r="A4716" s="8" t="s">
        <v>25493</v>
      </c>
      <c r="B4716" s="9" t="s">
        <v>25494</v>
      </c>
      <c r="C4716" s="8" t="s">
        <v>25495</v>
      </c>
      <c r="D4716" s="8" t="s">
        <v>25495</v>
      </c>
      <c r="E4716" s="8" t="s">
        <v>25496</v>
      </c>
      <c r="F4716" s="8" t="s">
        <v>25466</v>
      </c>
      <c r="G4716" s="8" t="s">
        <v>25497</v>
      </c>
      <c r="H4716" s="8" t="s">
        <v>25498</v>
      </c>
      <c r="I4716" s="8" t="str">
        <f>HYPERLINK("http://www.tuamisura.it/","www.tuamisura.it")</f>
        <v>www.tuamisura.it</v>
      </c>
      <c r="J4716" s="10">
        <v>41.533000000000001</v>
      </c>
      <c r="K4716" s="10">
        <v>41.533000000000001</v>
      </c>
      <c r="L4716" s="10">
        <v>57.625</v>
      </c>
      <c r="M4716" s="10">
        <v>1.4279999999999999</v>
      </c>
      <c r="N4716" s="10">
        <v>1.4279999999999999</v>
      </c>
      <c r="O4716" s="10">
        <v>0.26600000000000001</v>
      </c>
      <c r="P4716" s="10">
        <v>2</v>
      </c>
      <c r="Q4716" s="10">
        <v>2</v>
      </c>
      <c r="R4716" s="10">
        <v>3</v>
      </c>
    </row>
    <row r="4717" spans="1:18" ht="17" customHeight="1" x14ac:dyDescent="0.15">
      <c r="A4717" s="11" t="s">
        <v>25499</v>
      </c>
      <c r="B4717" s="1" t="s">
        <v>25500</v>
      </c>
      <c r="C4717" s="11" t="s">
        <v>25501</v>
      </c>
      <c r="D4717" s="11" t="s">
        <v>25501</v>
      </c>
      <c r="E4717" s="11" t="s">
        <v>25502</v>
      </c>
      <c r="F4717" s="11" t="s">
        <v>25440</v>
      </c>
      <c r="G4717" s="11" t="s">
        <v>25503</v>
      </c>
      <c r="H4717" s="11" t="s">
        <v>25504</v>
      </c>
      <c r="I4717" s="11" t="str">
        <f>HYPERLINK("http://www.ferdiam.it/","http://www.ferdiam.it")</f>
        <v>http://www.ferdiam.it</v>
      </c>
      <c r="J4717" s="12">
        <v>36.07</v>
      </c>
      <c r="K4717" s="12">
        <v>36.07</v>
      </c>
      <c r="L4717" s="13">
        <v>57.457000000000001</v>
      </c>
      <c r="M4717" s="12">
        <v>-158.398</v>
      </c>
      <c r="N4717" s="12">
        <v>-158.398</v>
      </c>
      <c r="O4717" s="12">
        <v>-160.96</v>
      </c>
      <c r="P4717" s="12">
        <v>3</v>
      </c>
      <c r="Q4717" s="12">
        <v>3</v>
      </c>
      <c r="R4717" s="12">
        <v>3</v>
      </c>
    </row>
    <row r="4718" spans="1:18" ht="17" customHeight="1" x14ac:dyDescent="0.15">
      <c r="A4718" s="8" t="s">
        <v>25505</v>
      </c>
      <c r="B4718" s="9" t="s">
        <v>25506</v>
      </c>
      <c r="C4718" s="8" t="s">
        <v>25507</v>
      </c>
      <c r="D4718" s="8" t="s">
        <v>25507</v>
      </c>
      <c r="E4718" s="8" t="s">
        <v>25508</v>
      </c>
      <c r="F4718" s="8" t="s">
        <v>25460</v>
      </c>
      <c r="G4718" s="8" t="s">
        <v>25509</v>
      </c>
      <c r="H4718" s="8" t="s">
        <v>25480</v>
      </c>
      <c r="I4718" s="8" t="str">
        <f>HYPERLINK("http://www.talitaflorencewear.com/","www.talitaflorencewear.com")</f>
        <v>www.talitaflorencewear.com</v>
      </c>
      <c r="J4718" s="10">
        <v>221.404</v>
      </c>
      <c r="K4718" s="10">
        <v>221.404</v>
      </c>
      <c r="L4718" s="10">
        <v>56.975000000000001</v>
      </c>
      <c r="M4718" s="10">
        <v>13.391999999999999</v>
      </c>
      <c r="N4718" s="10">
        <v>13.391999999999999</v>
      </c>
      <c r="O4718" s="10">
        <v>2.8690000000000002</v>
      </c>
      <c r="P4718" s="10">
        <v>11</v>
      </c>
      <c r="Q4718" s="10">
        <v>11</v>
      </c>
      <c r="R4718" s="10">
        <v>10</v>
      </c>
    </row>
    <row r="4719" spans="1:18" ht="17" customHeight="1" x14ac:dyDescent="0.15">
      <c r="A4719" s="11" t="s">
        <v>25510</v>
      </c>
      <c r="B4719" s="1" t="s">
        <v>25511</v>
      </c>
      <c r="C4719" s="11" t="s">
        <v>25512</v>
      </c>
      <c r="D4719" s="11" t="s">
        <v>25512</v>
      </c>
      <c r="E4719" s="11" t="s">
        <v>25513</v>
      </c>
      <c r="F4719" s="11" t="s">
        <v>25485</v>
      </c>
      <c r="G4719" s="11" t="s">
        <v>25503</v>
      </c>
      <c r="H4719" s="11" t="s">
        <v>25504</v>
      </c>
      <c r="I4719" s="11" t="str">
        <f>HYPERLINK("http://www.cp1963.com/","www.cp1963.com")</f>
        <v>www.cp1963.com</v>
      </c>
      <c r="J4719" s="12">
        <v>17.106999999999999</v>
      </c>
      <c r="K4719" s="12">
        <v>32.552</v>
      </c>
      <c r="L4719" s="13">
        <v>55.039000000000001</v>
      </c>
      <c r="M4719" s="12">
        <v>-2.5000000000000001E-2</v>
      </c>
      <c r="N4719" s="12">
        <v>1.7729999999999999</v>
      </c>
      <c r="O4719" s="12">
        <v>1.0580000000000001</v>
      </c>
      <c r="P4719" s="14" t="s">
        <v>25455</v>
      </c>
      <c r="Q4719" s="12">
        <v>0</v>
      </c>
      <c r="R4719" s="14" t="s">
        <v>25455</v>
      </c>
    </row>
    <row r="4720" spans="1:18" ht="29.5" customHeight="1" x14ac:dyDescent="0.15">
      <c r="A4720" s="8" t="s">
        <v>25514</v>
      </c>
      <c r="B4720" s="9" t="s">
        <v>25515</v>
      </c>
      <c r="C4720" s="8" t="s">
        <v>25516</v>
      </c>
      <c r="D4720" s="8" t="s">
        <v>25516</v>
      </c>
      <c r="E4720" s="8" t="s">
        <v>25517</v>
      </c>
      <c r="F4720" s="8" t="s">
        <v>25485</v>
      </c>
      <c r="G4720" s="8" t="s">
        <v>25497</v>
      </c>
      <c r="H4720" s="8" t="s">
        <v>25498</v>
      </c>
      <c r="I4720" s="8" t="str">
        <f>HYPERLINK("http://www.marcelmartillo.it/","www.marcelmartillo.it")</f>
        <v>www.marcelmartillo.it</v>
      </c>
      <c r="J4720" s="10">
        <v>54.164999999999999</v>
      </c>
      <c r="K4720" s="15" t="s">
        <v>25455</v>
      </c>
      <c r="L4720" s="10">
        <v>54.164999999999999</v>
      </c>
      <c r="M4720" s="10">
        <v>18.254000000000001</v>
      </c>
      <c r="N4720" s="15" t="s">
        <v>25455</v>
      </c>
      <c r="O4720" s="10">
        <v>18.254000000000001</v>
      </c>
      <c r="P4720" s="10">
        <v>0</v>
      </c>
      <c r="Q4720" s="15" t="s">
        <v>25455</v>
      </c>
      <c r="R4720" s="10">
        <v>0</v>
      </c>
    </row>
    <row r="4721" spans="1:18" ht="17" customHeight="1" x14ac:dyDescent="0.15">
      <c r="A4721" s="11" t="s">
        <v>25518</v>
      </c>
      <c r="B4721" s="1" t="s">
        <v>25519</v>
      </c>
      <c r="C4721" s="11" t="s">
        <v>25520</v>
      </c>
      <c r="D4721" s="11" t="s">
        <v>25520</v>
      </c>
      <c r="E4721" s="11" t="s">
        <v>25521</v>
      </c>
      <c r="F4721" s="11" t="s">
        <v>25447</v>
      </c>
      <c r="G4721" s="11" t="s">
        <v>25522</v>
      </c>
      <c r="H4721" s="11" t="s">
        <v>25468</v>
      </c>
      <c r="I4721" s="11" t="str">
        <f>HYPERLINK("http://www.stgabriel.it/","www.stgabriel.it")</f>
        <v>www.stgabriel.it</v>
      </c>
      <c r="J4721" s="12">
        <v>228.56800000000001</v>
      </c>
      <c r="K4721" s="12">
        <v>184.60599999999999</v>
      </c>
      <c r="L4721" s="13">
        <v>54.139000000000003</v>
      </c>
      <c r="M4721" s="12">
        <v>-223.66300000000001</v>
      </c>
      <c r="N4721" s="12">
        <v>-228.20699999999999</v>
      </c>
      <c r="O4721" s="12">
        <v>-170.43899999999999</v>
      </c>
      <c r="P4721" s="14" t="s">
        <v>25455</v>
      </c>
      <c r="Q4721" s="12">
        <v>4</v>
      </c>
      <c r="R4721" s="12">
        <v>3</v>
      </c>
    </row>
    <row r="4722" spans="1:18" ht="17" customHeight="1" x14ac:dyDescent="0.15">
      <c r="A4722" s="8" t="s">
        <v>25523</v>
      </c>
      <c r="B4722" s="9" t="s">
        <v>25524</v>
      </c>
      <c r="C4722" s="8" t="s">
        <v>25525</v>
      </c>
      <c r="D4722" s="8" t="s">
        <v>25525</v>
      </c>
      <c r="E4722" s="8" t="s">
        <v>25526</v>
      </c>
      <c r="F4722" s="8" t="s">
        <v>25440</v>
      </c>
      <c r="G4722" s="8" t="s">
        <v>25509</v>
      </c>
      <c r="H4722" s="8" t="s">
        <v>25480</v>
      </c>
      <c r="I4722" s="8" t="str">
        <f>HYPERLINK("http://caftanii.it/","caftanii.it")</f>
        <v>caftanii.it</v>
      </c>
      <c r="J4722" s="10">
        <v>47.857999999999997</v>
      </c>
      <c r="K4722" s="10">
        <v>47.857999999999997</v>
      </c>
      <c r="L4722" s="10">
        <v>54.067999999999998</v>
      </c>
      <c r="M4722" s="10">
        <v>-48.856999999999999</v>
      </c>
      <c r="N4722" s="10">
        <v>-48.856999999999999</v>
      </c>
      <c r="O4722" s="10">
        <v>-28.536999999999999</v>
      </c>
      <c r="P4722" s="10">
        <v>0</v>
      </c>
      <c r="Q4722" s="10">
        <v>0</v>
      </c>
      <c r="R4722" s="10">
        <v>0</v>
      </c>
    </row>
    <row r="4723" spans="1:18" ht="17" customHeight="1" x14ac:dyDescent="0.15">
      <c r="A4723" s="11" t="s">
        <v>25527</v>
      </c>
      <c r="B4723" s="1" t="s">
        <v>25528</v>
      </c>
      <c r="C4723" s="11" t="s">
        <v>25529</v>
      </c>
      <c r="D4723" s="11" t="s">
        <v>25529</v>
      </c>
      <c r="E4723" s="11" t="s">
        <v>25530</v>
      </c>
      <c r="F4723" s="11" t="s">
        <v>25460</v>
      </c>
      <c r="G4723" s="11" t="s">
        <v>25467</v>
      </c>
      <c r="H4723" s="11" t="s">
        <v>25468</v>
      </c>
      <c r="I4723" s="11" t="str">
        <f>HYPERLINK("http://www.birilab.com/","www.birilab.com")</f>
        <v>www.birilab.com</v>
      </c>
      <c r="J4723" s="12">
        <v>53.924999999999997</v>
      </c>
      <c r="K4723" s="14" t="s">
        <v>25455</v>
      </c>
      <c r="L4723" s="13">
        <v>53.924999999999997</v>
      </c>
      <c r="M4723" s="12">
        <v>-22.760999999999999</v>
      </c>
      <c r="N4723" s="14" t="s">
        <v>25455</v>
      </c>
      <c r="O4723" s="12">
        <v>-22.760999999999999</v>
      </c>
      <c r="P4723" s="12">
        <v>1</v>
      </c>
      <c r="Q4723" s="14" t="s">
        <v>25455</v>
      </c>
      <c r="R4723" s="12">
        <v>1</v>
      </c>
    </row>
    <row r="4724" spans="1:18" ht="17" customHeight="1" x14ac:dyDescent="0.15">
      <c r="A4724" s="8" t="s">
        <v>25531</v>
      </c>
      <c r="B4724" s="9" t="s">
        <v>25532</v>
      </c>
      <c r="C4724" s="8" t="s">
        <v>25533</v>
      </c>
      <c r="D4724" s="8" t="s">
        <v>25533</v>
      </c>
      <c r="E4724" s="8" t="s">
        <v>25534</v>
      </c>
      <c r="F4724" s="8" t="s">
        <v>25485</v>
      </c>
      <c r="G4724" s="8" t="s">
        <v>25535</v>
      </c>
      <c r="H4724" s="8" t="s">
        <v>25428</v>
      </c>
      <c r="I4724" s="8" t="str">
        <f>HYPERLINK("http://www.fedorami.com/","www.fedorami.com")</f>
        <v>www.fedorami.com</v>
      </c>
      <c r="J4724" s="10">
        <v>43.594000000000001</v>
      </c>
      <c r="K4724" s="10">
        <v>43.594000000000001</v>
      </c>
      <c r="L4724" s="10">
        <v>53.91</v>
      </c>
      <c r="M4724" s="10">
        <v>3.73</v>
      </c>
      <c r="N4724" s="10">
        <v>3.73</v>
      </c>
      <c r="O4724" s="10">
        <v>2.5249999999999999</v>
      </c>
      <c r="P4724" s="10">
        <v>0</v>
      </c>
      <c r="Q4724" s="10">
        <v>0</v>
      </c>
      <c r="R4724" s="10">
        <v>0</v>
      </c>
    </row>
    <row r="4725" spans="1:18" ht="17" customHeight="1" x14ac:dyDescent="0.15">
      <c r="A4725" s="11" t="s">
        <v>25536</v>
      </c>
      <c r="B4725" s="1" t="s">
        <v>25537</v>
      </c>
      <c r="C4725" s="11" t="s">
        <v>25538</v>
      </c>
      <c r="D4725" s="11" t="s">
        <v>25538</v>
      </c>
      <c r="E4725" s="11" t="s">
        <v>25539</v>
      </c>
      <c r="F4725" s="11" t="s">
        <v>25540</v>
      </c>
      <c r="G4725" s="11" t="s">
        <v>25479</v>
      </c>
      <c r="H4725" s="11" t="s">
        <v>25480</v>
      </c>
      <c r="I4725" s="11" t="str">
        <f>HYPERLINK("http://orialifirenze.com/","orialifirenze.com")</f>
        <v>orialifirenze.com</v>
      </c>
      <c r="J4725" s="12">
        <v>19.984000000000002</v>
      </c>
      <c r="K4725" s="12">
        <v>19.984000000000002</v>
      </c>
      <c r="L4725" s="13">
        <v>53.744999999999997</v>
      </c>
      <c r="M4725" s="12">
        <v>-2.4729999999999999</v>
      </c>
      <c r="N4725" s="12">
        <v>-2.4729999999999999</v>
      </c>
      <c r="O4725" s="12">
        <v>2.548</v>
      </c>
      <c r="P4725" s="12">
        <v>0</v>
      </c>
      <c r="Q4725" s="12">
        <v>0</v>
      </c>
      <c r="R4725" s="12">
        <v>0</v>
      </c>
    </row>
    <row r="4726" spans="1:18" ht="17" customHeight="1" x14ac:dyDescent="0.15">
      <c r="A4726" s="8" t="s">
        <v>25541</v>
      </c>
      <c r="B4726" s="9" t="s">
        <v>25542</v>
      </c>
      <c r="C4726" s="8" t="s">
        <v>25543</v>
      </c>
      <c r="D4726" s="8" t="s">
        <v>25543</v>
      </c>
      <c r="E4726" s="8" t="s">
        <v>25544</v>
      </c>
      <c r="F4726" s="8" t="s">
        <v>25466</v>
      </c>
      <c r="G4726" s="8" t="s">
        <v>25545</v>
      </c>
      <c r="H4726" s="8" t="s">
        <v>25428</v>
      </c>
      <c r="I4726" s="8" t="str">
        <f>HYPERLINK("http://www.barbaramontagnoli.it/","www.barbaramontagnoli.it")</f>
        <v>www.barbaramontagnoli.it</v>
      </c>
      <c r="J4726" s="10">
        <v>44.14</v>
      </c>
      <c r="K4726" s="10">
        <v>44.14</v>
      </c>
      <c r="L4726" s="10">
        <v>53.185000000000002</v>
      </c>
      <c r="M4726" s="10">
        <v>-8.1940000000000008</v>
      </c>
      <c r="N4726" s="10">
        <v>-8.1940000000000008</v>
      </c>
      <c r="O4726" s="10">
        <v>-0.504</v>
      </c>
      <c r="P4726" s="10">
        <v>1</v>
      </c>
      <c r="Q4726" s="10">
        <v>1</v>
      </c>
      <c r="R4726" s="10">
        <v>1</v>
      </c>
    </row>
    <row r="4727" spans="1:18" ht="17" customHeight="1" x14ac:dyDescent="0.15">
      <c r="A4727" s="11" t="s">
        <v>25546</v>
      </c>
      <c r="B4727" s="1" t="s">
        <v>25547</v>
      </c>
      <c r="C4727" s="11" t="s">
        <v>25548</v>
      </c>
      <c r="D4727" s="11" t="s">
        <v>25548</v>
      </c>
      <c r="E4727" s="11" t="s">
        <v>25549</v>
      </c>
      <c r="F4727" s="11" t="s">
        <v>25485</v>
      </c>
      <c r="G4727" s="11" t="s">
        <v>25535</v>
      </c>
      <c r="H4727" s="11" t="s">
        <v>25428</v>
      </c>
      <c r="I4727" s="11" t="str">
        <f>HYPERLINK("http://t-ycon.it/","t-ycon.it")</f>
        <v>t-ycon.it</v>
      </c>
      <c r="J4727" s="12">
        <v>84.480999999999995</v>
      </c>
      <c r="K4727" s="12">
        <v>84.480999999999995</v>
      </c>
      <c r="L4727" s="13">
        <v>52.613</v>
      </c>
      <c r="M4727" s="12">
        <v>-110.506</v>
      </c>
      <c r="N4727" s="12">
        <v>-110.506</v>
      </c>
      <c r="O4727" s="12">
        <v>-155.345</v>
      </c>
      <c r="P4727" s="12">
        <v>3</v>
      </c>
      <c r="Q4727" s="12">
        <v>3</v>
      </c>
      <c r="R4727" s="12">
        <v>2</v>
      </c>
    </row>
    <row r="4728" spans="1:18" ht="17" customHeight="1" x14ac:dyDescent="0.15">
      <c r="A4728" s="8" t="s">
        <v>25550</v>
      </c>
      <c r="B4728" s="9" t="s">
        <v>25551</v>
      </c>
      <c r="C4728" s="8" t="s">
        <v>25552</v>
      </c>
      <c r="D4728" s="8" t="s">
        <v>25552</v>
      </c>
      <c r="E4728" s="8" t="s">
        <v>25553</v>
      </c>
      <c r="F4728" s="8" t="s">
        <v>25440</v>
      </c>
      <c r="G4728" s="8" t="s">
        <v>25554</v>
      </c>
      <c r="H4728" s="8" t="s">
        <v>25428</v>
      </c>
      <c r="I4728" s="8" t="str">
        <f>HYPERLINK("http://www.labolsina.com/","www.labolsina.com")</f>
        <v>www.labolsina.com</v>
      </c>
      <c r="J4728" s="10">
        <v>60.292999999999999</v>
      </c>
      <c r="K4728" s="10">
        <v>60.292999999999999</v>
      </c>
      <c r="L4728" s="10">
        <v>52.554000000000002</v>
      </c>
      <c r="M4728" s="10">
        <v>-8.85</v>
      </c>
      <c r="N4728" s="10">
        <v>-8.85</v>
      </c>
      <c r="O4728" s="10">
        <v>-7.2140000000000004</v>
      </c>
      <c r="P4728" s="10">
        <v>0</v>
      </c>
      <c r="Q4728" s="10">
        <v>0</v>
      </c>
      <c r="R4728" s="10">
        <v>0</v>
      </c>
    </row>
    <row r="4729" spans="1:18" ht="17" customHeight="1" x14ac:dyDescent="0.15">
      <c r="A4729" s="11" t="s">
        <v>25555</v>
      </c>
      <c r="B4729" s="1" t="s">
        <v>25556</v>
      </c>
      <c r="C4729" s="11" t="s">
        <v>25557</v>
      </c>
      <c r="D4729" s="11" t="s">
        <v>25557</v>
      </c>
      <c r="E4729" s="11" t="s">
        <v>25558</v>
      </c>
      <c r="F4729" s="11" t="s">
        <v>25485</v>
      </c>
      <c r="G4729" s="11" t="s">
        <v>25535</v>
      </c>
      <c r="H4729" s="11" t="s">
        <v>25428</v>
      </c>
      <c r="I4729" s="11" t="str">
        <f>HYPERLINK("http://www.lotyere.com/","www.lotyere.com")</f>
        <v>www.lotyere.com</v>
      </c>
      <c r="J4729" s="12">
        <v>55.482999999999997</v>
      </c>
      <c r="K4729" s="12">
        <v>55.482999999999997</v>
      </c>
      <c r="L4729" s="13">
        <v>51.744999999999997</v>
      </c>
      <c r="M4729" s="12">
        <v>14.537000000000001</v>
      </c>
      <c r="N4729" s="12">
        <v>14.537000000000001</v>
      </c>
      <c r="O4729" s="12">
        <v>20.515999999999998</v>
      </c>
      <c r="P4729" s="12">
        <v>0</v>
      </c>
      <c r="Q4729" s="12">
        <v>0</v>
      </c>
      <c r="R4729" s="12">
        <v>0</v>
      </c>
    </row>
    <row r="4730" spans="1:18" ht="17" customHeight="1" x14ac:dyDescent="0.15">
      <c r="A4730" s="8" t="s">
        <v>25559</v>
      </c>
      <c r="B4730" s="9" t="s">
        <v>25560</v>
      </c>
      <c r="C4730" s="8" t="s">
        <v>25561</v>
      </c>
      <c r="D4730" s="8" t="s">
        <v>25561</v>
      </c>
      <c r="E4730" s="8" t="s">
        <v>25562</v>
      </c>
      <c r="F4730" s="8" t="s">
        <v>25460</v>
      </c>
      <c r="G4730" s="8" t="s">
        <v>25503</v>
      </c>
      <c r="H4730" s="8" t="s">
        <v>25504</v>
      </c>
      <c r="I4730" s="8" t="str">
        <f>HYPERLINK("http://www.invertika.it/","www.invertika.it")</f>
        <v>www.invertika.it</v>
      </c>
      <c r="J4730" s="10">
        <v>142.804</v>
      </c>
      <c r="K4730" s="10">
        <v>49.018999999999998</v>
      </c>
      <c r="L4730" s="10">
        <v>51.414000000000001</v>
      </c>
      <c r="M4730" s="10">
        <v>-12.946999999999999</v>
      </c>
      <c r="N4730" s="10">
        <v>3.1389999999999998</v>
      </c>
      <c r="O4730" s="10">
        <v>-19.451000000000001</v>
      </c>
      <c r="P4730" s="10">
        <v>1</v>
      </c>
      <c r="Q4730" s="10">
        <v>0</v>
      </c>
      <c r="R4730" s="10">
        <v>0</v>
      </c>
    </row>
    <row r="4731" spans="1:18" ht="17" customHeight="1" x14ac:dyDescent="0.15">
      <c r="A4731" s="11" t="s">
        <v>25563</v>
      </c>
      <c r="B4731" s="1" t="s">
        <v>25564</v>
      </c>
      <c r="C4731" s="11" t="s">
        <v>25565</v>
      </c>
      <c r="D4731" s="11" t="s">
        <v>25565</v>
      </c>
      <c r="E4731" s="11" t="s">
        <v>25566</v>
      </c>
      <c r="F4731" s="11" t="s">
        <v>25466</v>
      </c>
      <c r="G4731" s="11" t="s">
        <v>25567</v>
      </c>
      <c r="H4731" s="11" t="s">
        <v>25498</v>
      </c>
      <c r="I4731" s="11" t="str">
        <f>HYPERLINK("http://www.craftroom.it/","www.craftroom.it")</f>
        <v>www.craftroom.it</v>
      </c>
      <c r="J4731" s="12">
        <v>53.424999999999997</v>
      </c>
      <c r="K4731" s="12">
        <v>53.424999999999997</v>
      </c>
      <c r="L4731" s="13">
        <v>51.292000000000002</v>
      </c>
      <c r="M4731" s="12">
        <v>-10.715999999999999</v>
      </c>
      <c r="N4731" s="12">
        <v>-10.715999999999999</v>
      </c>
      <c r="O4731" s="12">
        <v>-2.4900000000000002</v>
      </c>
      <c r="P4731" s="12">
        <v>3</v>
      </c>
      <c r="Q4731" s="12">
        <v>3</v>
      </c>
      <c r="R4731" s="12">
        <v>3</v>
      </c>
    </row>
    <row r="4732" spans="1:18" ht="17" customHeight="1" x14ac:dyDescent="0.15">
      <c r="A4732" s="8" t="s">
        <v>25568</v>
      </c>
      <c r="B4732" s="9" t="s">
        <v>25569</v>
      </c>
      <c r="C4732" s="8" t="s">
        <v>25570</v>
      </c>
      <c r="D4732" s="8" t="s">
        <v>25570</v>
      </c>
      <c r="E4732" s="8" t="s">
        <v>25571</v>
      </c>
      <c r="F4732" s="8" t="s">
        <v>25447</v>
      </c>
      <c r="G4732" s="8" t="s">
        <v>25441</v>
      </c>
      <c r="H4732" s="8" t="s">
        <v>25442</v>
      </c>
      <c r="I4732" s="8" t="str">
        <f>HYPERLINK("http://www.parlocinese.it/","www.parlocinese.it")</f>
        <v>www.parlocinese.it</v>
      </c>
      <c r="J4732" s="10">
        <v>111.82</v>
      </c>
      <c r="K4732" s="10">
        <v>111.82</v>
      </c>
      <c r="L4732" s="10">
        <v>50.402999999999999</v>
      </c>
      <c r="M4732" s="10">
        <v>11.138</v>
      </c>
      <c r="N4732" s="10">
        <v>11.138</v>
      </c>
      <c r="O4732" s="10">
        <v>6.6340000000000003</v>
      </c>
      <c r="P4732" s="15" t="s">
        <v>25455</v>
      </c>
      <c r="Q4732" s="15" t="s">
        <v>25455</v>
      </c>
      <c r="R4732" s="15" t="s">
        <v>25455</v>
      </c>
    </row>
    <row r="4733" spans="1:18" ht="29.5" customHeight="1" x14ac:dyDescent="0.15">
      <c r="A4733" s="11" t="s">
        <v>25572</v>
      </c>
      <c r="B4733" s="1" t="s">
        <v>25573</v>
      </c>
      <c r="C4733" s="11" t="s">
        <v>25574</v>
      </c>
      <c r="D4733" s="11" t="s">
        <v>25574</v>
      </c>
      <c r="E4733" s="11" t="s">
        <v>25575</v>
      </c>
      <c r="F4733" s="11" t="s">
        <v>25466</v>
      </c>
      <c r="G4733" s="11" t="s">
        <v>25441</v>
      </c>
      <c r="H4733" s="11" t="s">
        <v>25442</v>
      </c>
      <c r="I4733" s="11" t="str">
        <f>HYPERLINK("http://www.pettorinevela.it/","www.pettorinevela.it")</f>
        <v>www.pettorinevela.it</v>
      </c>
      <c r="J4733" s="12">
        <v>50.354999999999997</v>
      </c>
      <c r="K4733" s="14" t="s">
        <v>25455</v>
      </c>
      <c r="L4733" s="13">
        <v>50.354999999999997</v>
      </c>
      <c r="M4733" s="12">
        <v>0.92200000000000004</v>
      </c>
      <c r="N4733" s="14" t="s">
        <v>25455</v>
      </c>
      <c r="O4733" s="12">
        <v>0.92200000000000004</v>
      </c>
      <c r="P4733" s="12">
        <v>0</v>
      </c>
      <c r="Q4733" s="14" t="s">
        <v>25455</v>
      </c>
      <c r="R4733" s="12">
        <v>0</v>
      </c>
    </row>
    <row r="4734" spans="1:18" ht="17" customHeight="1" x14ac:dyDescent="0.15">
      <c r="A4734" s="8" t="s">
        <v>25576</v>
      </c>
      <c r="B4734" s="9" t="s">
        <v>25577</v>
      </c>
      <c r="C4734" s="8" t="s">
        <v>25578</v>
      </c>
      <c r="D4734" s="8" t="s">
        <v>25578</v>
      </c>
      <c r="E4734" s="8" t="s">
        <v>25579</v>
      </c>
      <c r="F4734" s="8" t="s">
        <v>25485</v>
      </c>
      <c r="G4734" s="8" t="s">
        <v>25522</v>
      </c>
      <c r="H4734" s="8" t="s">
        <v>25468</v>
      </c>
      <c r="I4734" s="8" t="str">
        <f>HYPERLINK("http://www.atechccavo.it/","www.atechccavo.it")</f>
        <v>www.atechccavo.it</v>
      </c>
      <c r="J4734" s="10">
        <v>11.25</v>
      </c>
      <c r="K4734" s="10">
        <v>11.25</v>
      </c>
      <c r="L4734" s="10">
        <v>50.33</v>
      </c>
      <c r="M4734" s="10">
        <v>-44.942</v>
      </c>
      <c r="N4734" s="10">
        <v>-44.942</v>
      </c>
      <c r="O4734" s="10">
        <v>-14.371</v>
      </c>
      <c r="P4734" s="10">
        <v>0</v>
      </c>
      <c r="Q4734" s="10">
        <v>0</v>
      </c>
      <c r="R4734" s="10">
        <v>0</v>
      </c>
    </row>
    <row r="4735" spans="1:18" ht="17" customHeight="1" x14ac:dyDescent="0.15">
      <c r="A4735" s="11" t="s">
        <v>25580</v>
      </c>
      <c r="B4735" s="1" t="s">
        <v>25581</v>
      </c>
      <c r="C4735" s="11" t="s">
        <v>25582</v>
      </c>
      <c r="D4735" s="11" t="s">
        <v>25582</v>
      </c>
      <c r="E4735" s="11" t="s">
        <v>25583</v>
      </c>
      <c r="F4735" s="11" t="s">
        <v>25584</v>
      </c>
      <c r="G4735" s="11" t="s">
        <v>25585</v>
      </c>
      <c r="H4735" s="11" t="s">
        <v>25449</v>
      </c>
      <c r="I4735" s="11" t="str">
        <f>HYPERLINK("http://www.uric.it/","www.uric.it")</f>
        <v>www.uric.it</v>
      </c>
      <c r="J4735" s="12">
        <v>44.228999999999999</v>
      </c>
      <c r="K4735" s="12">
        <v>44.228999999999999</v>
      </c>
      <c r="L4735" s="13">
        <v>50.078000000000003</v>
      </c>
      <c r="M4735" s="12">
        <v>3.0259999999999998</v>
      </c>
      <c r="N4735" s="12">
        <v>3.0259999999999998</v>
      </c>
      <c r="O4735" s="12">
        <v>3.4409999999999998</v>
      </c>
      <c r="P4735" s="12">
        <v>1</v>
      </c>
      <c r="Q4735" s="12">
        <v>1</v>
      </c>
      <c r="R4735" s="12">
        <v>1</v>
      </c>
    </row>
    <row r="4736" spans="1:18" ht="17" customHeight="1" x14ac:dyDescent="0.15">
      <c r="A4736" s="8" t="s">
        <v>25586</v>
      </c>
      <c r="B4736" s="9" t="s">
        <v>25587</v>
      </c>
      <c r="C4736" s="8" t="s">
        <v>25588</v>
      </c>
      <c r="D4736" s="8" t="s">
        <v>25588</v>
      </c>
      <c r="E4736" s="8" t="s">
        <v>25589</v>
      </c>
      <c r="F4736" s="8" t="s">
        <v>25433</v>
      </c>
      <c r="G4736" s="8" t="s">
        <v>25590</v>
      </c>
      <c r="H4736" s="8" t="s">
        <v>25480</v>
      </c>
      <c r="I4736" s="8" t="str">
        <f>HYPERLINK("http://www.lucanencioni.it/","www.lucanencioni.it")</f>
        <v>www.lucanencioni.it</v>
      </c>
      <c r="J4736" s="10">
        <v>29.768000000000001</v>
      </c>
      <c r="K4736" s="10">
        <v>29.768000000000001</v>
      </c>
      <c r="L4736" s="10">
        <v>49.296999999999997</v>
      </c>
      <c r="M4736" s="10">
        <v>7.3</v>
      </c>
      <c r="N4736" s="10">
        <v>7.3</v>
      </c>
      <c r="O4736" s="10">
        <v>10.888</v>
      </c>
      <c r="P4736" s="10">
        <v>0</v>
      </c>
      <c r="Q4736" s="10">
        <v>0</v>
      </c>
      <c r="R4736" s="15" t="s">
        <v>25455</v>
      </c>
    </row>
    <row r="4737" spans="1:18" ht="17" customHeight="1" x14ac:dyDescent="0.15">
      <c r="A4737" s="11" t="s">
        <v>25591</v>
      </c>
      <c r="B4737" s="1" t="s">
        <v>25592</v>
      </c>
      <c r="C4737" s="11" t="s">
        <v>25593</v>
      </c>
      <c r="D4737" s="11" t="s">
        <v>25593</v>
      </c>
      <c r="E4737" s="11" t="s">
        <v>25594</v>
      </c>
      <c r="F4737" s="11" t="s">
        <v>25595</v>
      </c>
      <c r="G4737" s="11" t="s">
        <v>25596</v>
      </c>
      <c r="H4737" s="11" t="s">
        <v>25597</v>
      </c>
      <c r="I4737" s="11" t="str">
        <f>HYPERLINK("http://www.tharrosworld.com/","www.tharrosworld.com")</f>
        <v>www.tharrosworld.com</v>
      </c>
      <c r="J4737" s="12">
        <v>58.658000000000001</v>
      </c>
      <c r="K4737" s="12">
        <v>58.658000000000001</v>
      </c>
      <c r="L4737" s="13">
        <v>49.058999999999997</v>
      </c>
      <c r="M4737" s="12">
        <v>-31.228999999999999</v>
      </c>
      <c r="N4737" s="12">
        <v>-31.228999999999999</v>
      </c>
      <c r="O4737" s="12">
        <v>-56.459000000000003</v>
      </c>
      <c r="P4737" s="14" t="s">
        <v>25598</v>
      </c>
      <c r="Q4737" s="14" t="s">
        <v>25598</v>
      </c>
      <c r="R4737" s="12">
        <v>0</v>
      </c>
    </row>
    <row r="4738" spans="1:18" ht="17" customHeight="1" x14ac:dyDescent="0.15">
      <c r="A4738" s="8" t="s">
        <v>25599</v>
      </c>
      <c r="B4738" s="9" t="s">
        <v>25600</v>
      </c>
      <c r="C4738" s="8" t="s">
        <v>25601</v>
      </c>
      <c r="D4738" s="8" t="s">
        <v>25601</v>
      </c>
      <c r="E4738" s="8" t="s">
        <v>25602</v>
      </c>
      <c r="F4738" s="8" t="s">
        <v>25603</v>
      </c>
      <c r="G4738" s="8" t="s">
        <v>25604</v>
      </c>
      <c r="H4738" s="8" t="s">
        <v>25605</v>
      </c>
      <c r="I4738" s="8" t="str">
        <f>HYPERLINK("http://www.francogiazzi.com/","www.francogiazzi.com")</f>
        <v>www.francogiazzi.com</v>
      </c>
      <c r="J4738" s="10">
        <v>89.822000000000003</v>
      </c>
      <c r="K4738" s="10">
        <v>89.822000000000003</v>
      </c>
      <c r="L4738" s="10">
        <v>49.042000000000002</v>
      </c>
      <c r="M4738" s="10">
        <v>8.2110000000000003</v>
      </c>
      <c r="N4738" s="10">
        <v>8.2110000000000003</v>
      </c>
      <c r="O4738" s="10">
        <v>-9.9369999999999994</v>
      </c>
      <c r="P4738" s="10">
        <v>0</v>
      </c>
      <c r="Q4738" s="10">
        <v>0</v>
      </c>
      <c r="R4738" s="10">
        <v>0</v>
      </c>
    </row>
    <row r="4739" spans="1:18" ht="43" customHeight="1" x14ac:dyDescent="0.15">
      <c r="A4739" s="11" t="s">
        <v>25606</v>
      </c>
      <c r="B4739" s="1" t="s">
        <v>25607</v>
      </c>
      <c r="C4739" s="11" t="s">
        <v>25608</v>
      </c>
      <c r="D4739" s="11" t="s">
        <v>25608</v>
      </c>
      <c r="E4739" s="11" t="s">
        <v>25609</v>
      </c>
      <c r="F4739" s="11" t="s">
        <v>25610</v>
      </c>
      <c r="G4739" s="11" t="s">
        <v>25611</v>
      </c>
      <c r="H4739" s="11" t="s">
        <v>25612</v>
      </c>
      <c r="I4739" s="11" t="str">
        <f>HYPERLINK("http://mascherinesubito.it/","mascherinesubito.it")</f>
        <v>mascherinesubito.it</v>
      </c>
      <c r="J4739" s="12">
        <v>15.992000000000001</v>
      </c>
      <c r="K4739" s="12">
        <v>15.992000000000001</v>
      </c>
      <c r="L4739" s="13">
        <v>48.152000000000001</v>
      </c>
      <c r="M4739" s="12">
        <v>-18.010000000000002</v>
      </c>
      <c r="N4739" s="12">
        <v>-18.010000000000002</v>
      </c>
      <c r="O4739" s="12">
        <v>8.4130000000000003</v>
      </c>
      <c r="P4739" s="14" t="s">
        <v>25598</v>
      </c>
      <c r="Q4739" s="14" t="s">
        <v>25598</v>
      </c>
      <c r="R4739" s="12">
        <v>0</v>
      </c>
    </row>
    <row r="4740" spans="1:18" ht="17" customHeight="1" x14ac:dyDescent="0.15">
      <c r="A4740" s="8" t="s">
        <v>25613</v>
      </c>
      <c r="B4740" s="9" t="s">
        <v>25614</v>
      </c>
      <c r="C4740" s="8" t="s">
        <v>25615</v>
      </c>
      <c r="D4740" s="8" t="s">
        <v>25615</v>
      </c>
      <c r="E4740" s="8" t="s">
        <v>25616</v>
      </c>
      <c r="F4740" s="8" t="s">
        <v>25617</v>
      </c>
      <c r="G4740" s="8" t="s">
        <v>25618</v>
      </c>
      <c r="H4740" s="8" t="s">
        <v>25612</v>
      </c>
      <c r="I4740" s="8" t="str">
        <f>HYPERLINK("http://www.artemenko.it/","www.artemenko.it")</f>
        <v>www.artemenko.it</v>
      </c>
      <c r="J4740" s="10">
        <v>48.017000000000003</v>
      </c>
      <c r="K4740" s="15" t="s">
        <v>25598</v>
      </c>
      <c r="L4740" s="10">
        <v>48.017000000000003</v>
      </c>
      <c r="M4740" s="10">
        <v>-65.637</v>
      </c>
      <c r="N4740" s="15" t="s">
        <v>25598</v>
      </c>
      <c r="O4740" s="10">
        <v>-65.637</v>
      </c>
      <c r="P4740" s="10">
        <v>5</v>
      </c>
      <c r="Q4740" s="15" t="s">
        <v>25598</v>
      </c>
      <c r="R4740" s="10">
        <v>5</v>
      </c>
    </row>
    <row r="4741" spans="1:18" ht="17" customHeight="1" x14ac:dyDescent="0.15">
      <c r="A4741" s="11" t="s">
        <v>25619</v>
      </c>
      <c r="B4741" s="1" t="s">
        <v>25620</v>
      </c>
      <c r="C4741" s="11" t="s">
        <v>25621</v>
      </c>
      <c r="D4741" s="11" t="s">
        <v>25621</v>
      </c>
      <c r="E4741" s="11" t="s">
        <v>25622</v>
      </c>
      <c r="F4741" s="11" t="s">
        <v>25603</v>
      </c>
      <c r="G4741" s="11" t="s">
        <v>25623</v>
      </c>
      <c r="H4741" s="11" t="s">
        <v>25597</v>
      </c>
      <c r="I4741" s="11" t="str">
        <f>HYPERLINK("http://www.aeapelletteria.it/","www.aeapelletteria.it")</f>
        <v>www.aeapelletteria.it</v>
      </c>
      <c r="J4741" s="12">
        <v>42.122999999999998</v>
      </c>
      <c r="K4741" s="12">
        <v>42.122999999999998</v>
      </c>
      <c r="L4741" s="13">
        <v>47.933999999999997</v>
      </c>
      <c r="M4741" s="12">
        <v>3.3769999999999998</v>
      </c>
      <c r="N4741" s="12">
        <v>3.3769999999999998</v>
      </c>
      <c r="O4741" s="12">
        <v>7.3760000000000003</v>
      </c>
      <c r="P4741" s="12">
        <v>1</v>
      </c>
      <c r="Q4741" s="12">
        <v>1</v>
      </c>
      <c r="R4741" s="12">
        <v>1</v>
      </c>
    </row>
    <row r="4742" spans="1:18" ht="17" customHeight="1" x14ac:dyDescent="0.15">
      <c r="A4742" s="8" t="s">
        <v>25624</v>
      </c>
      <c r="B4742" s="9" t="s">
        <v>25625</v>
      </c>
      <c r="C4742" s="8" t="s">
        <v>25626</v>
      </c>
      <c r="D4742" s="8" t="s">
        <v>25626</v>
      </c>
      <c r="E4742" s="8" t="s">
        <v>25627</v>
      </c>
      <c r="F4742" s="8" t="s">
        <v>25628</v>
      </c>
      <c r="G4742" s="8" t="s">
        <v>25629</v>
      </c>
      <c r="H4742" s="8" t="s">
        <v>25612</v>
      </c>
      <c r="I4742" s="8" t="str">
        <f>HYPERLINK("http://www.cantalupobespoke.it/","www.cantalupobespoke.it")</f>
        <v>www.cantalupobespoke.it</v>
      </c>
      <c r="J4742" s="10">
        <v>47.286999999999999</v>
      </c>
      <c r="K4742" s="15" t="s">
        <v>25598</v>
      </c>
      <c r="L4742" s="10">
        <v>47.286999999999999</v>
      </c>
      <c r="M4742" s="10">
        <v>9.4009999999999998</v>
      </c>
      <c r="N4742" s="15" t="s">
        <v>25598</v>
      </c>
      <c r="O4742" s="10">
        <v>9.4009999999999998</v>
      </c>
      <c r="P4742" s="10">
        <v>0</v>
      </c>
      <c r="Q4742" s="15" t="s">
        <v>25598</v>
      </c>
      <c r="R4742" s="10">
        <v>0</v>
      </c>
    </row>
    <row r="4743" spans="1:18" ht="29.5" customHeight="1" x14ac:dyDescent="0.15">
      <c r="A4743" s="11" t="s">
        <v>25630</v>
      </c>
      <c r="B4743" s="1" t="s">
        <v>25631</v>
      </c>
      <c r="C4743" s="11" t="s">
        <v>25632</v>
      </c>
      <c r="D4743" s="11" t="s">
        <v>25632</v>
      </c>
      <c r="E4743" s="11" t="s">
        <v>25633</v>
      </c>
      <c r="F4743" s="11" t="s">
        <v>25634</v>
      </c>
      <c r="G4743" s="11" t="s">
        <v>25604</v>
      </c>
      <c r="H4743" s="11" t="s">
        <v>25605</v>
      </c>
      <c r="I4743" s="11" t="str">
        <f>HYPERLINK("http://bisenzio8.com/","bisenzio8.com")</f>
        <v>bisenzio8.com</v>
      </c>
      <c r="J4743" s="12">
        <v>17.38</v>
      </c>
      <c r="K4743" s="12">
        <v>17.38</v>
      </c>
      <c r="L4743" s="13">
        <v>47.137999999999998</v>
      </c>
      <c r="M4743" s="12">
        <v>-12.504</v>
      </c>
      <c r="N4743" s="12">
        <v>-12.504</v>
      </c>
      <c r="O4743" s="12">
        <v>-23.324000000000002</v>
      </c>
      <c r="P4743" s="12">
        <v>0</v>
      </c>
      <c r="Q4743" s="12">
        <v>0</v>
      </c>
      <c r="R4743" s="12">
        <v>0</v>
      </c>
    </row>
    <row r="4744" spans="1:18" ht="17" customHeight="1" x14ac:dyDescent="0.15">
      <c r="A4744" s="8" t="s">
        <v>25635</v>
      </c>
      <c r="B4744" s="9" t="s">
        <v>25636</v>
      </c>
      <c r="C4744" s="8" t="s">
        <v>25637</v>
      </c>
      <c r="D4744" s="8" t="s">
        <v>25637</v>
      </c>
      <c r="E4744" s="8" t="s">
        <v>25638</v>
      </c>
      <c r="F4744" s="8" t="s">
        <v>25610</v>
      </c>
      <c r="G4744" s="8" t="s">
        <v>25639</v>
      </c>
      <c r="H4744" s="8" t="s">
        <v>25640</v>
      </c>
      <c r="I4744" s="8" t="str">
        <f>HYPERLINK("http://les-italiennes.it/","les-italiennes.it")</f>
        <v>les-italiennes.it</v>
      </c>
      <c r="J4744" s="10">
        <v>170.26400000000001</v>
      </c>
      <c r="K4744" s="10">
        <v>170.26400000000001</v>
      </c>
      <c r="L4744" s="10">
        <v>46.997999999999998</v>
      </c>
      <c r="M4744" s="10">
        <v>2.4740000000000002</v>
      </c>
      <c r="N4744" s="10">
        <v>2.4740000000000002</v>
      </c>
      <c r="O4744" s="10">
        <v>0.58699999999999997</v>
      </c>
      <c r="P4744" s="15" t="s">
        <v>25598</v>
      </c>
      <c r="Q4744" s="15" t="s">
        <v>25598</v>
      </c>
      <c r="R4744" s="10">
        <v>0</v>
      </c>
    </row>
    <row r="4745" spans="1:18" ht="17" customHeight="1" x14ac:dyDescent="0.15">
      <c r="A4745" s="11" t="s">
        <v>25641</v>
      </c>
      <c r="B4745" s="1" t="s">
        <v>25642</v>
      </c>
      <c r="C4745" s="11" t="s">
        <v>25643</v>
      </c>
      <c r="D4745" s="11" t="s">
        <v>25643</v>
      </c>
      <c r="E4745" s="11" t="s">
        <v>25644</v>
      </c>
      <c r="F4745" s="11" t="s">
        <v>25610</v>
      </c>
      <c r="G4745" s="11" t="s">
        <v>25645</v>
      </c>
      <c r="H4745" s="11" t="s">
        <v>25646</v>
      </c>
      <c r="I4745" s="11" t="str">
        <f>HYPERLINK("http://trenta7.com/","trenta7.com")</f>
        <v>trenta7.com</v>
      </c>
      <c r="J4745" s="12">
        <v>44.225000000000001</v>
      </c>
      <c r="K4745" s="12">
        <v>44.225000000000001</v>
      </c>
      <c r="L4745" s="13">
        <v>46.378999999999998</v>
      </c>
      <c r="M4745" s="12">
        <v>1.1240000000000001</v>
      </c>
      <c r="N4745" s="12">
        <v>1.1240000000000001</v>
      </c>
      <c r="O4745" s="12">
        <v>0.98799999999999999</v>
      </c>
      <c r="P4745" s="12">
        <v>0</v>
      </c>
      <c r="Q4745" s="12">
        <v>0</v>
      </c>
      <c r="R4745" s="12">
        <v>0</v>
      </c>
    </row>
    <row r="4746" spans="1:18" ht="43" customHeight="1" x14ac:dyDescent="0.15">
      <c r="A4746" s="8" t="s">
        <v>25647</v>
      </c>
      <c r="B4746" s="9" t="s">
        <v>25648</v>
      </c>
      <c r="C4746" s="8" t="s">
        <v>25649</v>
      </c>
      <c r="D4746" s="8" t="s">
        <v>25649</v>
      </c>
      <c r="E4746" s="8" t="s">
        <v>25650</v>
      </c>
      <c r="F4746" s="8" t="s">
        <v>25651</v>
      </c>
      <c r="G4746" s="8" t="s">
        <v>25618</v>
      </c>
      <c r="H4746" s="8" t="s">
        <v>25612</v>
      </c>
      <c r="I4746" s="8" t="str">
        <f>HYPERLINK("http://michelangelocollezioni.it/","michelangelocollezioni.it")</f>
        <v>michelangelocollezioni.it</v>
      </c>
      <c r="J4746" s="10">
        <v>18.579999999999998</v>
      </c>
      <c r="K4746" s="10">
        <v>18.579999999999998</v>
      </c>
      <c r="L4746" s="10">
        <v>46.378</v>
      </c>
      <c r="M4746" s="10">
        <v>5.2949999999999999</v>
      </c>
      <c r="N4746" s="10">
        <v>5.2949999999999999</v>
      </c>
      <c r="O4746" s="10">
        <v>4.47</v>
      </c>
      <c r="P4746" s="10">
        <v>1</v>
      </c>
      <c r="Q4746" s="10">
        <v>1</v>
      </c>
      <c r="R4746" s="15" t="s">
        <v>25598</v>
      </c>
    </row>
    <row r="4747" spans="1:18" ht="17" customHeight="1" x14ac:dyDescent="0.15">
      <c r="A4747" s="11" t="s">
        <v>25652</v>
      </c>
      <c r="B4747" s="1" t="s">
        <v>25653</v>
      </c>
      <c r="C4747" s="11" t="s">
        <v>25654</v>
      </c>
      <c r="D4747" s="11" t="s">
        <v>25654</v>
      </c>
      <c r="E4747" s="11" t="s">
        <v>25655</v>
      </c>
      <c r="F4747" s="11" t="s">
        <v>25634</v>
      </c>
      <c r="G4747" s="11" t="s">
        <v>25604</v>
      </c>
      <c r="H4747" s="11" t="s">
        <v>25605</v>
      </c>
      <c r="I4747" s="11" t="str">
        <f>HYPERLINK("http://gamashop.it/","gamashop.it")</f>
        <v>gamashop.it</v>
      </c>
      <c r="J4747" s="12">
        <v>61.389000000000003</v>
      </c>
      <c r="K4747" s="12">
        <v>61.389000000000003</v>
      </c>
      <c r="L4747" s="13">
        <v>46.186999999999998</v>
      </c>
      <c r="M4747" s="12">
        <v>8.01</v>
      </c>
      <c r="N4747" s="12">
        <v>8.01</v>
      </c>
      <c r="O4747" s="12">
        <v>-5.508</v>
      </c>
      <c r="P4747" s="12">
        <v>0</v>
      </c>
      <c r="Q4747" s="12">
        <v>0</v>
      </c>
      <c r="R4747" s="12">
        <v>0</v>
      </c>
    </row>
    <row r="4748" spans="1:18" ht="17" customHeight="1" x14ac:dyDescent="0.15">
      <c r="A4748" s="8" t="s">
        <v>25656</v>
      </c>
      <c r="B4748" s="9" t="s">
        <v>25657</v>
      </c>
      <c r="C4748" s="8" t="s">
        <v>25658</v>
      </c>
      <c r="D4748" s="8" t="s">
        <v>25658</v>
      </c>
      <c r="E4748" s="8" t="s">
        <v>25659</v>
      </c>
      <c r="F4748" s="8" t="s">
        <v>25595</v>
      </c>
      <c r="G4748" s="8" t="s">
        <v>25660</v>
      </c>
      <c r="H4748" s="8" t="s">
        <v>25612</v>
      </c>
      <c r="I4748" s="8" t="str">
        <f>HYPERLINK("http://www.blkoriginal.it/","www.blkoriginal.it")</f>
        <v>www.blkoriginal.it</v>
      </c>
      <c r="J4748" s="10">
        <v>23.838999999999999</v>
      </c>
      <c r="K4748" s="10">
        <v>23.838999999999999</v>
      </c>
      <c r="L4748" s="10">
        <v>46.215000000000003</v>
      </c>
      <c r="M4748" s="10">
        <v>3.5259999999999998</v>
      </c>
      <c r="N4748" s="10">
        <v>3.5259999999999998</v>
      </c>
      <c r="O4748" s="10">
        <v>4.8929999999999998</v>
      </c>
      <c r="P4748" s="10">
        <v>0</v>
      </c>
      <c r="Q4748" s="10">
        <v>0</v>
      </c>
      <c r="R4748" s="10">
        <v>0</v>
      </c>
    </row>
    <row r="4749" spans="1:18" ht="17" customHeight="1" x14ac:dyDescent="0.15">
      <c r="A4749" s="11" t="s">
        <v>25661</v>
      </c>
      <c r="B4749" s="1" t="s">
        <v>25662</v>
      </c>
      <c r="C4749" s="11" t="s">
        <v>25663</v>
      </c>
      <c r="D4749" s="11" t="s">
        <v>25663</v>
      </c>
      <c r="E4749" s="11" t="s">
        <v>25664</v>
      </c>
      <c r="F4749" s="11" t="s">
        <v>25665</v>
      </c>
      <c r="G4749" s="11" t="s">
        <v>25666</v>
      </c>
      <c r="H4749" s="11" t="s">
        <v>25667</v>
      </c>
      <c r="I4749" s="11" t="str">
        <f>HYPERLINK("http://www.giacomobacci.com/","www.giacomobacci.com")</f>
        <v>www.giacomobacci.com</v>
      </c>
      <c r="J4749" s="12">
        <v>40.052</v>
      </c>
      <c r="K4749" s="12">
        <v>40.052</v>
      </c>
      <c r="L4749" s="13">
        <v>45.850999999999999</v>
      </c>
      <c r="M4749" s="12">
        <v>1.7549999999999999</v>
      </c>
      <c r="N4749" s="12">
        <v>1.7549999999999999</v>
      </c>
      <c r="O4749" s="12">
        <v>0.99199999999999999</v>
      </c>
      <c r="P4749" s="12">
        <v>0</v>
      </c>
      <c r="Q4749" s="12">
        <v>0</v>
      </c>
      <c r="R4749" s="12">
        <v>0</v>
      </c>
    </row>
    <row r="4750" spans="1:18" ht="17" customHeight="1" x14ac:dyDescent="0.15">
      <c r="A4750" s="8" t="s">
        <v>25668</v>
      </c>
      <c r="B4750" s="9" t="s">
        <v>25669</v>
      </c>
      <c r="C4750" s="8" t="s">
        <v>25670</v>
      </c>
      <c r="D4750" s="8" t="s">
        <v>25670</v>
      </c>
      <c r="E4750" s="8" t="s">
        <v>25671</v>
      </c>
      <c r="F4750" s="8" t="s">
        <v>25672</v>
      </c>
      <c r="G4750" s="8" t="s">
        <v>25673</v>
      </c>
      <c r="H4750" s="8" t="s">
        <v>25640</v>
      </c>
      <c r="I4750" s="8" t="str">
        <f>HYPERLINK("http://www.magiorpigiami.it/","www.magiorpigiami.it")</f>
        <v>www.magiorpigiami.it</v>
      </c>
      <c r="J4750" s="10">
        <v>45.783999999999999</v>
      </c>
      <c r="K4750" s="15" t="s">
        <v>25598</v>
      </c>
      <c r="L4750" s="10">
        <v>45.783999999999999</v>
      </c>
      <c r="M4750" s="10">
        <v>-305.89999999999998</v>
      </c>
      <c r="N4750" s="15" t="s">
        <v>25598</v>
      </c>
      <c r="O4750" s="10">
        <v>-305.89999999999998</v>
      </c>
      <c r="P4750" s="10">
        <v>0</v>
      </c>
      <c r="Q4750" s="15" t="s">
        <v>25598</v>
      </c>
      <c r="R4750" s="10">
        <v>0</v>
      </c>
    </row>
    <row r="4751" spans="1:18" ht="17" customHeight="1" x14ac:dyDescent="0.15">
      <c r="A4751" s="11" t="s">
        <v>25674</v>
      </c>
      <c r="B4751" s="1" t="s">
        <v>25675</v>
      </c>
      <c r="C4751" s="11" t="s">
        <v>25676</v>
      </c>
      <c r="D4751" s="11" t="s">
        <v>25676</v>
      </c>
      <c r="E4751" s="11" t="s">
        <v>25677</v>
      </c>
      <c r="F4751" s="11" t="s">
        <v>25678</v>
      </c>
      <c r="G4751" s="11" t="s">
        <v>25679</v>
      </c>
      <c r="H4751" s="11" t="s">
        <v>25605</v>
      </c>
      <c r="I4751" s="11" t="str">
        <f>HYPERLINK("http://www.fashion-hunter.it/","www.fashion-hunter.it")</f>
        <v>www.fashion-hunter.it</v>
      </c>
      <c r="J4751" s="12">
        <v>45.5</v>
      </c>
      <c r="K4751" s="14" t="s">
        <v>25598</v>
      </c>
      <c r="L4751" s="13">
        <v>45.5</v>
      </c>
      <c r="M4751" s="12">
        <v>-1.3819999999999999</v>
      </c>
      <c r="N4751" s="14" t="s">
        <v>25598</v>
      </c>
      <c r="O4751" s="12">
        <v>-1.3819999999999999</v>
      </c>
      <c r="P4751" s="12">
        <v>0</v>
      </c>
      <c r="Q4751" s="14" t="s">
        <v>25598</v>
      </c>
      <c r="R4751" s="12">
        <v>0</v>
      </c>
    </row>
    <row r="4752" spans="1:18" ht="17" customHeight="1" x14ac:dyDescent="0.15">
      <c r="A4752" s="8" t="s">
        <v>25680</v>
      </c>
      <c r="B4752" s="9" t="s">
        <v>25681</v>
      </c>
      <c r="C4752" s="8" t="s">
        <v>25682</v>
      </c>
      <c r="D4752" s="8" t="s">
        <v>25682</v>
      </c>
      <c r="E4752" s="8" t="s">
        <v>25683</v>
      </c>
      <c r="F4752" s="8" t="s">
        <v>25603</v>
      </c>
      <c r="G4752" s="8" t="s">
        <v>25684</v>
      </c>
      <c r="H4752" s="8" t="s">
        <v>25685</v>
      </c>
      <c r="I4752" s="8" t="str">
        <f>HYPERLINK("http://www.tooitaly.it/","www.tooitaly.it")</f>
        <v>www.tooitaly.it</v>
      </c>
      <c r="J4752" s="10">
        <v>49.087000000000003</v>
      </c>
      <c r="K4752" s="10">
        <v>49.087000000000003</v>
      </c>
      <c r="L4752" s="10">
        <v>45.307000000000002</v>
      </c>
      <c r="M4752" s="10">
        <v>5.9340000000000002</v>
      </c>
      <c r="N4752" s="10">
        <v>5.9340000000000002</v>
      </c>
      <c r="O4752" s="10">
        <v>1.1180000000000001</v>
      </c>
      <c r="P4752" s="10">
        <v>2</v>
      </c>
      <c r="Q4752" s="10">
        <v>2</v>
      </c>
      <c r="R4752" s="10">
        <v>0</v>
      </c>
    </row>
    <row r="4753" spans="1:18" ht="17" customHeight="1" x14ac:dyDescent="0.15">
      <c r="A4753" s="11" t="s">
        <v>25686</v>
      </c>
      <c r="B4753" s="1" t="s">
        <v>25687</v>
      </c>
      <c r="C4753" s="11" t="s">
        <v>25688</v>
      </c>
      <c r="D4753" s="11" t="s">
        <v>25688</v>
      </c>
      <c r="E4753" s="11" t="s">
        <v>25689</v>
      </c>
      <c r="F4753" s="11" t="s">
        <v>25690</v>
      </c>
      <c r="G4753" s="11" t="s">
        <v>25666</v>
      </c>
      <c r="H4753" s="11" t="s">
        <v>25667</v>
      </c>
      <c r="I4753" s="11" t="str">
        <f>HYPERLINK("http://www.bellagambi.it/","www.bellagambi.it")</f>
        <v>www.bellagambi.it</v>
      </c>
      <c r="J4753" s="12">
        <v>59.36</v>
      </c>
      <c r="K4753" s="12">
        <v>59.36</v>
      </c>
      <c r="L4753" s="13">
        <v>45.23</v>
      </c>
      <c r="M4753" s="12">
        <v>-2.8000000000000001E-2</v>
      </c>
      <c r="N4753" s="12">
        <v>-2.8000000000000001E-2</v>
      </c>
      <c r="O4753" s="12">
        <v>-0.29599999999999999</v>
      </c>
      <c r="P4753" s="12">
        <v>2</v>
      </c>
      <c r="Q4753" s="12">
        <v>2</v>
      </c>
      <c r="R4753" s="12">
        <v>2</v>
      </c>
    </row>
    <row r="4754" spans="1:18" ht="29.5" customHeight="1" x14ac:dyDescent="0.15">
      <c r="A4754" s="8" t="s">
        <v>25691</v>
      </c>
      <c r="B4754" s="9" t="s">
        <v>25692</v>
      </c>
      <c r="C4754" s="8" t="s">
        <v>25693</v>
      </c>
      <c r="D4754" s="8" t="s">
        <v>25693</v>
      </c>
      <c r="E4754" s="8" t="s">
        <v>25694</v>
      </c>
      <c r="F4754" s="8" t="s">
        <v>25665</v>
      </c>
      <c r="G4754" s="8" t="s">
        <v>25695</v>
      </c>
      <c r="H4754" s="8" t="s">
        <v>25696</v>
      </c>
      <c r="I4754" s="8" t="str">
        <f>HYPERLINK("http://www.ricospose.it/","www.ricospose.it")</f>
        <v>www.ricospose.it</v>
      </c>
      <c r="J4754" s="10">
        <v>45.167000000000002</v>
      </c>
      <c r="K4754" s="15" t="s">
        <v>25598</v>
      </c>
      <c r="L4754" s="10">
        <v>45.167000000000002</v>
      </c>
      <c r="M4754" s="10">
        <v>2.8029999999999999</v>
      </c>
      <c r="N4754" s="15" t="s">
        <v>25598</v>
      </c>
      <c r="O4754" s="10">
        <v>2.8029999999999999</v>
      </c>
      <c r="P4754" s="10">
        <v>1</v>
      </c>
      <c r="Q4754" s="15" t="s">
        <v>25598</v>
      </c>
      <c r="R4754" s="10">
        <v>1</v>
      </c>
    </row>
    <row r="4755" spans="1:18" ht="29.5" customHeight="1" x14ac:dyDescent="0.15">
      <c r="A4755" s="11" t="s">
        <v>25697</v>
      </c>
      <c r="B4755" s="1" t="s">
        <v>25698</v>
      </c>
      <c r="C4755" s="11" t="s">
        <v>25699</v>
      </c>
      <c r="D4755" s="11" t="s">
        <v>25699</v>
      </c>
      <c r="E4755" s="11" t="s">
        <v>25700</v>
      </c>
      <c r="F4755" s="11" t="s">
        <v>25595</v>
      </c>
      <c r="G4755" s="11" t="s">
        <v>25596</v>
      </c>
      <c r="H4755" s="11" t="s">
        <v>25597</v>
      </c>
      <c r="I4755" s="11" t="str">
        <f>HYPERLINK("http://www.corpettipercani.it/","www.corpettipercani.it")</f>
        <v>www.corpettipercani.it</v>
      </c>
      <c r="J4755" s="12">
        <v>67.069000000000003</v>
      </c>
      <c r="K4755" s="12">
        <v>67.069000000000003</v>
      </c>
      <c r="L4755" s="13">
        <v>44.698999999999998</v>
      </c>
      <c r="M4755" s="12">
        <v>-2.56</v>
      </c>
      <c r="N4755" s="12">
        <v>-2.56</v>
      </c>
      <c r="O4755" s="12">
        <v>5.4450000000000003</v>
      </c>
      <c r="P4755" s="12">
        <v>2</v>
      </c>
      <c r="Q4755" s="12">
        <v>2</v>
      </c>
      <c r="R4755" s="12">
        <v>0</v>
      </c>
    </row>
    <row r="4756" spans="1:18" ht="17" customHeight="1" x14ac:dyDescent="0.15">
      <c r="A4756" s="8" t="s">
        <v>25701</v>
      </c>
      <c r="B4756" s="9" t="s">
        <v>25702</v>
      </c>
      <c r="C4756" s="8" t="s">
        <v>25703</v>
      </c>
      <c r="D4756" s="8" t="s">
        <v>25703</v>
      </c>
      <c r="E4756" s="8" t="s">
        <v>25704</v>
      </c>
      <c r="F4756" s="8" t="s">
        <v>25705</v>
      </c>
      <c r="G4756" s="8" t="s">
        <v>25673</v>
      </c>
      <c r="H4756" s="8" t="s">
        <v>25640</v>
      </c>
      <c r="I4756" s="8" t="str">
        <f>HYPERLINK("http://www.bruniana.com/","www.bruniana.com")</f>
        <v>www.bruniana.com</v>
      </c>
      <c r="J4756" s="10">
        <v>52.347999999999999</v>
      </c>
      <c r="K4756" s="10">
        <v>52.347999999999999</v>
      </c>
      <c r="L4756" s="10">
        <v>44.624000000000002</v>
      </c>
      <c r="M4756" s="10">
        <v>0.79</v>
      </c>
      <c r="N4756" s="10">
        <v>0.79</v>
      </c>
      <c r="O4756" s="10">
        <v>-3.4140000000000001</v>
      </c>
      <c r="P4756" s="15" t="s">
        <v>25598</v>
      </c>
      <c r="Q4756" s="15" t="s">
        <v>25598</v>
      </c>
      <c r="R4756" s="10">
        <v>2</v>
      </c>
    </row>
    <row r="4757" spans="1:18" ht="17" customHeight="1" x14ac:dyDescent="0.15">
      <c r="A4757" s="11" t="s">
        <v>25706</v>
      </c>
      <c r="B4757" s="1" t="s">
        <v>25707</v>
      </c>
      <c r="C4757" s="11" t="s">
        <v>25708</v>
      </c>
      <c r="D4757" s="11" t="s">
        <v>25708</v>
      </c>
      <c r="E4757" s="11" t="s">
        <v>25709</v>
      </c>
      <c r="F4757" s="11" t="s">
        <v>25672</v>
      </c>
      <c r="G4757" s="11" t="s">
        <v>25710</v>
      </c>
      <c r="H4757" s="11" t="s">
        <v>25667</v>
      </c>
      <c r="I4757" s="11" t="str">
        <f>HYPERLINK("http://www.minervasrlitalia.it/","www.minervasrlitalia.it")</f>
        <v>www.minervasrlitalia.it</v>
      </c>
      <c r="J4757" s="12">
        <v>80.402000000000001</v>
      </c>
      <c r="K4757" s="12">
        <v>80.402000000000001</v>
      </c>
      <c r="L4757" s="13">
        <v>43.456000000000003</v>
      </c>
      <c r="M4757" s="12">
        <v>2.044</v>
      </c>
      <c r="N4757" s="12">
        <v>2.044</v>
      </c>
      <c r="O4757" s="12">
        <v>-12.622999999999999</v>
      </c>
      <c r="P4757" s="12">
        <v>0</v>
      </c>
      <c r="Q4757" s="12">
        <v>0</v>
      </c>
      <c r="R4757" s="12">
        <v>0</v>
      </c>
    </row>
    <row r="4758" spans="1:18" ht="17" customHeight="1" x14ac:dyDescent="0.15">
      <c r="A4758" s="8" t="s">
        <v>25711</v>
      </c>
      <c r="B4758" s="9" t="s">
        <v>25712</v>
      </c>
      <c r="C4758" s="8" t="s">
        <v>25713</v>
      </c>
      <c r="D4758" s="8" t="s">
        <v>25713</v>
      </c>
      <c r="E4758" s="8" t="s">
        <v>25714</v>
      </c>
      <c r="F4758" s="8" t="s">
        <v>25678</v>
      </c>
      <c r="G4758" s="8" t="s">
        <v>25639</v>
      </c>
      <c r="H4758" s="8" t="s">
        <v>25640</v>
      </c>
      <c r="I4758" s="8" t="str">
        <f>HYPERLINK("http://www.naked-clothing.it/","www.naked-clothing.it")</f>
        <v>www.naked-clothing.it</v>
      </c>
      <c r="J4758" s="10">
        <v>40.512999999999998</v>
      </c>
      <c r="K4758" s="10">
        <v>40.512999999999998</v>
      </c>
      <c r="L4758" s="10">
        <v>43.545999999999999</v>
      </c>
      <c r="M4758" s="10">
        <v>-4.4329999999999998</v>
      </c>
      <c r="N4758" s="10">
        <v>-4.4329999999999998</v>
      </c>
      <c r="O4758" s="10">
        <v>-19.414000000000001</v>
      </c>
      <c r="P4758" s="10">
        <v>0</v>
      </c>
      <c r="Q4758" s="10">
        <v>0</v>
      </c>
      <c r="R4758" s="15" t="s">
        <v>25598</v>
      </c>
    </row>
    <row r="4759" spans="1:18" ht="17" customHeight="1" x14ac:dyDescent="0.15">
      <c r="A4759" s="11" t="s">
        <v>25715</v>
      </c>
      <c r="B4759" s="1" t="s">
        <v>25716</v>
      </c>
      <c r="C4759" s="11" t="s">
        <v>25717</v>
      </c>
      <c r="D4759" s="11" t="s">
        <v>25717</v>
      </c>
      <c r="E4759" s="11" t="s">
        <v>25718</v>
      </c>
      <c r="F4759" s="11" t="s">
        <v>25595</v>
      </c>
      <c r="G4759" s="11" t="s">
        <v>25666</v>
      </c>
      <c r="H4759" s="11" t="s">
        <v>25667</v>
      </c>
      <c r="I4759" s="11" t="str">
        <f>HYPERLINK("http://store.ecosum.it/","store.ecosum.it")</f>
        <v>store.ecosum.it</v>
      </c>
      <c r="J4759" s="12">
        <v>303.12599999999998</v>
      </c>
      <c r="K4759" s="12">
        <v>303.12599999999998</v>
      </c>
      <c r="L4759" s="13">
        <v>43.344999999999999</v>
      </c>
      <c r="M4759" s="12">
        <v>0.621</v>
      </c>
      <c r="N4759" s="12">
        <v>0.621</v>
      </c>
      <c r="O4759" s="12">
        <v>0.92100000000000004</v>
      </c>
      <c r="P4759" s="12">
        <v>3</v>
      </c>
      <c r="Q4759" s="12">
        <v>3</v>
      </c>
      <c r="R4759" s="12">
        <v>1</v>
      </c>
    </row>
    <row r="4760" spans="1:18" ht="17" customHeight="1" x14ac:dyDescent="0.15">
      <c r="A4760" s="8" t="s">
        <v>25719</v>
      </c>
      <c r="B4760" s="9" t="s">
        <v>25720</v>
      </c>
      <c r="C4760" s="8" t="s">
        <v>25721</v>
      </c>
      <c r="D4760" s="8" t="s">
        <v>25721</v>
      </c>
      <c r="E4760" s="8" t="s">
        <v>25722</v>
      </c>
      <c r="F4760" s="8" t="s">
        <v>25672</v>
      </c>
      <c r="G4760" s="8" t="s">
        <v>25723</v>
      </c>
      <c r="H4760" s="8" t="s">
        <v>25724</v>
      </c>
      <c r="I4760" s="8" t="str">
        <f>HYPERLINK("http://www.santillo1970.com/","www.santillo1970.com")</f>
        <v>www.santillo1970.com</v>
      </c>
      <c r="J4760" s="10">
        <v>45.642000000000003</v>
      </c>
      <c r="K4760" s="10">
        <v>45.642000000000003</v>
      </c>
      <c r="L4760" s="10">
        <v>42.994</v>
      </c>
      <c r="M4760" s="10">
        <v>0.64700000000000002</v>
      </c>
      <c r="N4760" s="10">
        <v>0.64700000000000002</v>
      </c>
      <c r="O4760" s="10">
        <v>0.28799999999999998</v>
      </c>
      <c r="P4760" s="10">
        <v>0</v>
      </c>
      <c r="Q4760" s="10">
        <v>0</v>
      </c>
      <c r="R4760" s="10">
        <v>0</v>
      </c>
    </row>
    <row r="4761" spans="1:18" ht="43" customHeight="1" x14ac:dyDescent="0.15">
      <c r="A4761" s="11" t="s">
        <v>25725</v>
      </c>
      <c r="B4761" s="1" t="s">
        <v>25726</v>
      </c>
      <c r="C4761" s="11" t="s">
        <v>25727</v>
      </c>
      <c r="D4761" s="11" t="s">
        <v>25727</v>
      </c>
      <c r="E4761" s="11" t="s">
        <v>25728</v>
      </c>
      <c r="F4761" s="11" t="s">
        <v>25729</v>
      </c>
      <c r="G4761" s="11" t="s">
        <v>25730</v>
      </c>
      <c r="H4761" s="11" t="s">
        <v>25605</v>
      </c>
      <c r="I4761" s="11" t="str">
        <f>HYPERLINK("http://www.imarinsol.it/","www.imarinsol.it")</f>
        <v>www.imarinsol.it</v>
      </c>
      <c r="J4761" s="12">
        <v>44.351999999999997</v>
      </c>
      <c r="K4761" s="12">
        <v>44.351999999999997</v>
      </c>
      <c r="L4761" s="13">
        <v>43.045999999999999</v>
      </c>
      <c r="M4761" s="12">
        <v>4.9809999999999999</v>
      </c>
      <c r="N4761" s="12">
        <v>4.9809999999999999</v>
      </c>
      <c r="O4761" s="12">
        <v>1.274</v>
      </c>
      <c r="P4761" s="12">
        <v>0</v>
      </c>
      <c r="Q4761" s="12">
        <v>0</v>
      </c>
      <c r="R4761" s="12">
        <v>0</v>
      </c>
    </row>
    <row r="4762" spans="1:18" ht="17" customHeight="1" x14ac:dyDescent="0.15">
      <c r="A4762" s="8" t="s">
        <v>25731</v>
      </c>
      <c r="B4762" s="9" t="s">
        <v>25732</v>
      </c>
      <c r="C4762" s="8" t="s">
        <v>25733</v>
      </c>
      <c r="D4762" s="8" t="s">
        <v>25733</v>
      </c>
      <c r="E4762" s="8" t="s">
        <v>25734</v>
      </c>
      <c r="F4762" s="8" t="s">
        <v>25595</v>
      </c>
      <c r="G4762" s="8" t="s">
        <v>25695</v>
      </c>
      <c r="H4762" s="8" t="s">
        <v>25696</v>
      </c>
      <c r="I4762" s="8" t="str">
        <f>HYPERLINK("http://www.nan-ku.com/","www.nan-ku.com")</f>
        <v>www.nan-ku.com</v>
      </c>
      <c r="J4762" s="10">
        <v>42.901000000000003</v>
      </c>
      <c r="K4762" s="15" t="s">
        <v>25598</v>
      </c>
      <c r="L4762" s="10">
        <v>42.901000000000003</v>
      </c>
      <c r="M4762" s="10">
        <v>0.316</v>
      </c>
      <c r="N4762" s="15" t="s">
        <v>25598</v>
      </c>
      <c r="O4762" s="10">
        <v>0.316</v>
      </c>
      <c r="P4762" s="10">
        <v>1</v>
      </c>
      <c r="Q4762" s="15" t="s">
        <v>25598</v>
      </c>
      <c r="R4762" s="10">
        <v>1</v>
      </c>
    </row>
    <row r="4763" spans="1:18" ht="17" customHeight="1" x14ac:dyDescent="0.15">
      <c r="A4763" s="11" t="s">
        <v>25735</v>
      </c>
      <c r="B4763" s="1" t="s">
        <v>25736</v>
      </c>
      <c r="C4763" s="11" t="s">
        <v>25737</v>
      </c>
      <c r="D4763" s="11" t="s">
        <v>25737</v>
      </c>
      <c r="E4763" s="11" t="s">
        <v>25738</v>
      </c>
      <c r="F4763" s="11" t="s">
        <v>25665</v>
      </c>
      <c r="G4763" s="11" t="s">
        <v>25645</v>
      </c>
      <c r="H4763" s="11" t="s">
        <v>25646</v>
      </c>
      <c r="I4763" s="11" t="str">
        <f>HYPERLINK("http://www.lecosartoria.com/","www.lecosartoria.com")</f>
        <v>www.lecosartoria.com</v>
      </c>
      <c r="J4763" s="12">
        <v>42.837000000000003</v>
      </c>
      <c r="K4763" s="14" t="s">
        <v>25598</v>
      </c>
      <c r="L4763" s="13">
        <v>42.837000000000003</v>
      </c>
      <c r="M4763" s="12">
        <v>-25.143999999999998</v>
      </c>
      <c r="N4763" s="14" t="s">
        <v>25598</v>
      </c>
      <c r="O4763" s="12">
        <v>-25.143999999999998</v>
      </c>
      <c r="P4763" s="12">
        <v>0</v>
      </c>
      <c r="Q4763" s="14" t="s">
        <v>25598</v>
      </c>
      <c r="R4763" s="12">
        <v>0</v>
      </c>
    </row>
    <row r="4764" spans="1:18" ht="17" customHeight="1" x14ac:dyDescent="0.15">
      <c r="A4764" s="8" t="s">
        <v>25739</v>
      </c>
      <c r="B4764" s="9" t="s">
        <v>25740</v>
      </c>
      <c r="C4764" s="8" t="s">
        <v>25741</v>
      </c>
      <c r="D4764" s="8" t="s">
        <v>25741</v>
      </c>
      <c r="E4764" s="8" t="s">
        <v>25742</v>
      </c>
      <c r="F4764" s="8" t="s">
        <v>25678</v>
      </c>
      <c r="G4764" s="8" t="s">
        <v>25604</v>
      </c>
      <c r="H4764" s="8" t="s">
        <v>25605</v>
      </c>
      <c r="I4764" s="8" t="str">
        <f>HYPERLINK("http://www.comvert.com/","www.comvert.com")</f>
        <v>www.comvert.com</v>
      </c>
      <c r="J4764" s="10">
        <v>27.155000000000001</v>
      </c>
      <c r="K4764" s="10">
        <v>27.155000000000001</v>
      </c>
      <c r="L4764" s="10">
        <v>42.808999999999997</v>
      </c>
      <c r="M4764" s="10">
        <v>-82.063000000000002</v>
      </c>
      <c r="N4764" s="10">
        <v>-82.063000000000002</v>
      </c>
      <c r="O4764" s="10">
        <v>-75.114999999999995</v>
      </c>
      <c r="P4764" s="10">
        <v>3</v>
      </c>
      <c r="Q4764" s="10">
        <v>3</v>
      </c>
      <c r="R4764" s="10">
        <v>3</v>
      </c>
    </row>
    <row r="4765" spans="1:18" ht="17" customHeight="1" x14ac:dyDescent="0.15">
      <c r="A4765" s="11" t="s">
        <v>25743</v>
      </c>
      <c r="B4765" s="1" t="s">
        <v>25744</v>
      </c>
      <c r="C4765" s="11" t="s">
        <v>25745</v>
      </c>
      <c r="D4765" s="11" t="s">
        <v>25745</v>
      </c>
      <c r="E4765" s="11" t="s">
        <v>25746</v>
      </c>
      <c r="F4765" s="11" t="s">
        <v>25705</v>
      </c>
      <c r="G4765" s="11" t="s">
        <v>25645</v>
      </c>
      <c r="H4765" s="11" t="s">
        <v>25646</v>
      </c>
      <c r="I4765" s="11" t="str">
        <f>HYPERLINK("http://www.elisacatini.com/","www.elisacatini.com")</f>
        <v>www.elisacatini.com</v>
      </c>
      <c r="J4765" s="12">
        <v>45.536000000000001</v>
      </c>
      <c r="K4765" s="12">
        <v>45.536000000000001</v>
      </c>
      <c r="L4765" s="13">
        <v>42.627000000000002</v>
      </c>
      <c r="M4765" s="12">
        <v>9.9280000000000008</v>
      </c>
      <c r="N4765" s="12">
        <v>9.9280000000000008</v>
      </c>
      <c r="O4765" s="12">
        <v>-0.81499999999999995</v>
      </c>
      <c r="P4765" s="14" t="s">
        <v>25598</v>
      </c>
      <c r="Q4765" s="14" t="s">
        <v>25598</v>
      </c>
      <c r="R4765" s="12">
        <v>2</v>
      </c>
    </row>
    <row r="4766" spans="1:18" ht="55.75" customHeight="1" x14ac:dyDescent="0.15">
      <c r="A4766" s="8" t="s">
        <v>25747</v>
      </c>
      <c r="B4766" s="9" t="s">
        <v>25748</v>
      </c>
      <c r="C4766" s="8" t="s">
        <v>25749</v>
      </c>
      <c r="D4766" s="8" t="s">
        <v>25749</v>
      </c>
      <c r="E4766" s="8" t="s">
        <v>25750</v>
      </c>
      <c r="F4766" s="8" t="s">
        <v>25595</v>
      </c>
      <c r="G4766" s="8" t="s">
        <v>25660</v>
      </c>
      <c r="H4766" s="8" t="s">
        <v>25612</v>
      </c>
      <c r="I4766" s="8" t="str">
        <f>HYPERLINK("http://www.endero.it/","www.endero.it")</f>
        <v>www.endero.it</v>
      </c>
      <c r="J4766" s="10">
        <v>60.322000000000003</v>
      </c>
      <c r="K4766" s="10">
        <v>60.322000000000003</v>
      </c>
      <c r="L4766" s="10">
        <v>42.152999999999999</v>
      </c>
      <c r="M4766" s="10">
        <v>2.92</v>
      </c>
      <c r="N4766" s="10">
        <v>2.92</v>
      </c>
      <c r="O4766" s="10">
        <v>2.698</v>
      </c>
      <c r="P4766" s="10">
        <v>1</v>
      </c>
      <c r="Q4766" s="10">
        <v>1</v>
      </c>
      <c r="R4766" s="10">
        <v>1</v>
      </c>
    </row>
    <row r="4767" spans="1:18" ht="29.5" customHeight="1" x14ac:dyDescent="0.15">
      <c r="A4767" s="11" t="s">
        <v>25751</v>
      </c>
      <c r="B4767" s="1" t="s">
        <v>25752</v>
      </c>
      <c r="C4767" s="11" t="s">
        <v>25753</v>
      </c>
      <c r="D4767" s="11" t="s">
        <v>25753</v>
      </c>
      <c r="E4767" s="11" t="s">
        <v>25754</v>
      </c>
      <c r="F4767" s="11" t="s">
        <v>25603</v>
      </c>
      <c r="G4767" s="11" t="s">
        <v>25755</v>
      </c>
      <c r="H4767" s="11" t="s">
        <v>25756</v>
      </c>
      <c r="I4767" s="11" t="str">
        <f>HYPERLINK("http://www.agavesartoriaetica.it/","www.agavesartoriaetica.it")</f>
        <v>www.agavesartoriaetica.it</v>
      </c>
      <c r="J4767" s="12">
        <v>42.183</v>
      </c>
      <c r="K4767" s="14" t="s">
        <v>25598</v>
      </c>
      <c r="L4767" s="13">
        <v>42.183</v>
      </c>
      <c r="M4767" s="12">
        <v>-35.819000000000003</v>
      </c>
      <c r="N4767" s="14" t="s">
        <v>25598</v>
      </c>
      <c r="O4767" s="12">
        <v>-35.819000000000003</v>
      </c>
      <c r="P4767" s="12">
        <v>4</v>
      </c>
      <c r="Q4767" s="14" t="s">
        <v>25598</v>
      </c>
      <c r="R4767" s="12">
        <v>4</v>
      </c>
    </row>
    <row r="4768" spans="1:18" ht="17" customHeight="1" x14ac:dyDescent="0.15">
      <c r="A4768" s="8" t="s">
        <v>25757</v>
      </c>
      <c r="B4768" s="9" t="s">
        <v>25758</v>
      </c>
      <c r="C4768" s="8" t="s">
        <v>25759</v>
      </c>
      <c r="D4768" s="8" t="s">
        <v>25759</v>
      </c>
      <c r="E4768" s="8" t="s">
        <v>25760</v>
      </c>
      <c r="F4768" s="8" t="s">
        <v>25595</v>
      </c>
      <c r="G4768" s="8" t="s">
        <v>25761</v>
      </c>
      <c r="H4768" s="8" t="s">
        <v>25667</v>
      </c>
      <c r="I4768" s="8" t="str">
        <f>HYPERLINK("http://www.luceflex.it/","www.luceflex.it")</f>
        <v>www.luceflex.it</v>
      </c>
      <c r="J4768" s="10">
        <v>38.621000000000002</v>
      </c>
      <c r="K4768" s="10">
        <v>38.621000000000002</v>
      </c>
      <c r="L4768" s="10">
        <v>42</v>
      </c>
      <c r="M4768" s="10">
        <v>-3.1320000000000001</v>
      </c>
      <c r="N4768" s="10">
        <v>-3.1320000000000001</v>
      </c>
      <c r="O4768" s="10">
        <v>1.401</v>
      </c>
      <c r="P4768" s="15" t="s">
        <v>25598</v>
      </c>
      <c r="Q4768" s="15" t="s">
        <v>25598</v>
      </c>
      <c r="R4768" s="15" t="s">
        <v>25598</v>
      </c>
    </row>
    <row r="4769" spans="1:18" ht="17" customHeight="1" x14ac:dyDescent="0.15">
      <c r="A4769" s="11" t="s">
        <v>25762</v>
      </c>
      <c r="B4769" s="1" t="s">
        <v>25763</v>
      </c>
      <c r="C4769" s="11" t="s">
        <v>25764</v>
      </c>
      <c r="D4769" s="11" t="s">
        <v>25764</v>
      </c>
      <c r="E4769" s="11" t="s">
        <v>25765</v>
      </c>
      <c r="F4769" s="11" t="s">
        <v>25766</v>
      </c>
      <c r="G4769" s="11" t="s">
        <v>25767</v>
      </c>
      <c r="H4769" s="11" t="s">
        <v>25768</v>
      </c>
      <c r="I4769" s="11" t="str">
        <f>HYPERLINK("http://atdsupply.com/","atdsupply.com")</f>
        <v>atdsupply.com</v>
      </c>
      <c r="J4769" s="12">
        <v>41.874000000000002</v>
      </c>
      <c r="K4769" s="14" t="s">
        <v>25769</v>
      </c>
      <c r="L4769" s="13">
        <v>41.874000000000002</v>
      </c>
      <c r="M4769" s="12">
        <v>6.827</v>
      </c>
      <c r="N4769" s="14" t="s">
        <v>25769</v>
      </c>
      <c r="O4769" s="12">
        <v>6.827</v>
      </c>
      <c r="P4769" s="12">
        <v>0</v>
      </c>
      <c r="Q4769" s="14" t="s">
        <v>25769</v>
      </c>
      <c r="R4769" s="12">
        <v>0</v>
      </c>
    </row>
    <row r="4770" spans="1:18" ht="17" customHeight="1" x14ac:dyDescent="0.15">
      <c r="A4770" s="8" t="s">
        <v>25770</v>
      </c>
      <c r="B4770" s="9" t="s">
        <v>25771</v>
      </c>
      <c r="C4770" s="8" t="s">
        <v>25772</v>
      </c>
      <c r="D4770" s="8" t="s">
        <v>25772</v>
      </c>
      <c r="E4770" s="8" t="s">
        <v>25773</v>
      </c>
      <c r="F4770" s="8" t="s">
        <v>25774</v>
      </c>
      <c r="G4770" s="8" t="s">
        <v>25775</v>
      </c>
      <c r="H4770" s="8" t="s">
        <v>25776</v>
      </c>
      <c r="I4770" s="8" t="str">
        <f>HYPERLINK("http://www.conceriasaturnia.it/","www.conceriasaturnia.it")</f>
        <v>www.conceriasaturnia.it</v>
      </c>
      <c r="J4770" s="10">
        <v>0</v>
      </c>
      <c r="K4770" s="10">
        <v>0</v>
      </c>
      <c r="L4770" s="10">
        <v>41.274999999999999</v>
      </c>
      <c r="M4770" s="10">
        <v>-38.154000000000003</v>
      </c>
      <c r="N4770" s="10">
        <v>-38.154000000000003</v>
      </c>
      <c r="O4770" s="10">
        <v>-1566.7270000000001</v>
      </c>
      <c r="P4770" s="10">
        <v>0</v>
      </c>
      <c r="Q4770" s="10">
        <v>0</v>
      </c>
      <c r="R4770" s="10">
        <v>0</v>
      </c>
    </row>
    <row r="4771" spans="1:18" ht="55.75" customHeight="1" x14ac:dyDescent="0.15">
      <c r="A4771" s="11" t="s">
        <v>25777</v>
      </c>
      <c r="B4771" s="1" t="s">
        <v>25778</v>
      </c>
      <c r="C4771" s="11" t="s">
        <v>25779</v>
      </c>
      <c r="D4771" s="11" t="s">
        <v>25779</v>
      </c>
      <c r="E4771" s="11" t="s">
        <v>25780</v>
      </c>
      <c r="F4771" s="11" t="s">
        <v>25781</v>
      </c>
      <c r="G4771" s="11" t="s">
        <v>25782</v>
      </c>
      <c r="H4771" s="11" t="s">
        <v>25783</v>
      </c>
      <c r="I4771" s="11" t="str">
        <f>HYPERLINK("http://www.serimintimo.it/","www.serimintimo.it")</f>
        <v>www.serimintimo.it</v>
      </c>
      <c r="J4771" s="12">
        <v>50.033999999999999</v>
      </c>
      <c r="K4771" s="12">
        <v>50.033999999999999</v>
      </c>
      <c r="L4771" s="13">
        <v>40.978999999999999</v>
      </c>
      <c r="M4771" s="12">
        <v>-0.27</v>
      </c>
      <c r="N4771" s="12">
        <v>-0.27</v>
      </c>
      <c r="O4771" s="12">
        <v>1.3009999999999999</v>
      </c>
      <c r="P4771" s="12">
        <v>2</v>
      </c>
      <c r="Q4771" s="12">
        <v>2</v>
      </c>
      <c r="R4771" s="12">
        <v>2</v>
      </c>
    </row>
    <row r="4772" spans="1:18" ht="17" customHeight="1" x14ac:dyDescent="0.15">
      <c r="A4772" s="8" t="s">
        <v>25784</v>
      </c>
      <c r="B4772" s="9" t="s">
        <v>25785</v>
      </c>
      <c r="C4772" s="8" t="s">
        <v>25786</v>
      </c>
      <c r="D4772" s="8" t="s">
        <v>25786</v>
      </c>
      <c r="E4772" s="8" t="s">
        <v>25787</v>
      </c>
      <c r="F4772" s="8" t="s">
        <v>25788</v>
      </c>
      <c r="G4772" s="8" t="s">
        <v>25767</v>
      </c>
      <c r="H4772" s="8" t="s">
        <v>25768</v>
      </c>
      <c r="I4772" s="8" t="str">
        <f>HYPERLINK("http://www.eyeletmilano.com/","www.eyeletmilano.com")</f>
        <v>www.eyeletmilano.com</v>
      </c>
      <c r="J4772" s="10">
        <v>1.5820000000000001</v>
      </c>
      <c r="K4772" s="10">
        <v>1.5820000000000001</v>
      </c>
      <c r="L4772" s="10">
        <v>40.204999999999998</v>
      </c>
      <c r="M4772" s="10">
        <v>-31.396999999999998</v>
      </c>
      <c r="N4772" s="10">
        <v>-31.396999999999998</v>
      </c>
      <c r="O4772" s="10">
        <v>4.577</v>
      </c>
      <c r="P4772" s="10">
        <v>0</v>
      </c>
      <c r="Q4772" s="10">
        <v>0</v>
      </c>
      <c r="R4772" s="10">
        <v>0</v>
      </c>
    </row>
    <row r="4773" spans="1:18" ht="17" customHeight="1" x14ac:dyDescent="0.15">
      <c r="A4773" s="11" t="s">
        <v>25789</v>
      </c>
      <c r="B4773" s="1" t="s">
        <v>25790</v>
      </c>
      <c r="C4773" s="11" t="s">
        <v>25791</v>
      </c>
      <c r="D4773" s="11" t="s">
        <v>25791</v>
      </c>
      <c r="E4773" s="11" t="s">
        <v>25792</v>
      </c>
      <c r="F4773" s="11" t="s">
        <v>25793</v>
      </c>
      <c r="G4773" s="11" t="s">
        <v>25794</v>
      </c>
      <c r="H4773" s="11" t="s">
        <v>25795</v>
      </c>
      <c r="I4773" s="11" t="str">
        <f>HYPERLINK("http://www.martinab.it/","www.martinab.it")</f>
        <v>www.martinab.it</v>
      </c>
      <c r="J4773" s="12">
        <v>39.591000000000001</v>
      </c>
      <c r="K4773" s="12">
        <v>39.591000000000001</v>
      </c>
      <c r="L4773" s="13">
        <v>40.082999999999998</v>
      </c>
      <c r="M4773" s="12">
        <v>-133.59</v>
      </c>
      <c r="N4773" s="12">
        <v>-133.59</v>
      </c>
      <c r="O4773" s="12">
        <v>-14.624000000000001</v>
      </c>
      <c r="P4773" s="12">
        <v>0</v>
      </c>
      <c r="Q4773" s="12">
        <v>0</v>
      </c>
      <c r="R4773" s="12">
        <v>0</v>
      </c>
    </row>
    <row r="4774" spans="1:18" ht="17" customHeight="1" x14ac:dyDescent="0.15">
      <c r="A4774" s="8" t="s">
        <v>25796</v>
      </c>
      <c r="B4774" s="9" t="s">
        <v>25797</v>
      </c>
      <c r="C4774" s="8" t="s">
        <v>25798</v>
      </c>
      <c r="D4774" s="8" t="s">
        <v>25798</v>
      </c>
      <c r="E4774" s="8" t="s">
        <v>25799</v>
      </c>
      <c r="F4774" s="8" t="s">
        <v>25800</v>
      </c>
      <c r="G4774" s="8" t="s">
        <v>25767</v>
      </c>
      <c r="H4774" s="8" t="s">
        <v>25768</v>
      </c>
      <c r="I4774" s="8" t="str">
        <f>HYPERLINK("http://www.giocolletto.it/","www.giocolletto.it")</f>
        <v>www.giocolletto.it</v>
      </c>
      <c r="J4774" s="10">
        <v>21.901</v>
      </c>
      <c r="K4774" s="10">
        <v>21.901</v>
      </c>
      <c r="L4774" s="10">
        <v>39.805999999999997</v>
      </c>
      <c r="M4774" s="10">
        <v>-13.98</v>
      </c>
      <c r="N4774" s="10">
        <v>-13.98</v>
      </c>
      <c r="O4774" s="10">
        <v>-30.221</v>
      </c>
      <c r="P4774" s="10">
        <v>0</v>
      </c>
      <c r="Q4774" s="10">
        <v>0</v>
      </c>
      <c r="R4774" s="10">
        <v>0</v>
      </c>
    </row>
    <row r="4775" spans="1:18" ht="17" customHeight="1" x14ac:dyDescent="0.15">
      <c r="A4775" s="11" t="s">
        <v>25801</v>
      </c>
      <c r="B4775" s="1" t="s">
        <v>25802</v>
      </c>
      <c r="C4775" s="11" t="s">
        <v>25803</v>
      </c>
      <c r="D4775" s="11" t="s">
        <v>25803</v>
      </c>
      <c r="E4775" s="11" t="s">
        <v>25804</v>
      </c>
      <c r="F4775" s="11" t="s">
        <v>25793</v>
      </c>
      <c r="G4775" s="11" t="s">
        <v>25805</v>
      </c>
      <c r="H4775" s="11" t="s">
        <v>25795</v>
      </c>
      <c r="I4775" s="11" t="str">
        <f>HYPERLINK("http://www.planetshoes.it/","www.planetshoes.it")</f>
        <v>www.planetshoes.it</v>
      </c>
      <c r="J4775" s="12">
        <v>16.821999999999999</v>
      </c>
      <c r="K4775" s="12">
        <v>16.821999999999999</v>
      </c>
      <c r="L4775" s="13">
        <v>39.563000000000002</v>
      </c>
      <c r="M4775" s="12">
        <v>-5.5730000000000004</v>
      </c>
      <c r="N4775" s="12">
        <v>-5.5730000000000004</v>
      </c>
      <c r="O4775" s="12">
        <v>-0.33600000000000002</v>
      </c>
      <c r="P4775" s="12">
        <v>0</v>
      </c>
      <c r="Q4775" s="12">
        <v>0</v>
      </c>
      <c r="R4775" s="12">
        <v>0</v>
      </c>
    </row>
    <row r="4776" spans="1:18" ht="43" customHeight="1" x14ac:dyDescent="0.15">
      <c r="A4776" s="8" t="s">
        <v>25806</v>
      </c>
      <c r="B4776" s="9" t="s">
        <v>25807</v>
      </c>
      <c r="C4776" s="8" t="s">
        <v>25808</v>
      </c>
      <c r="D4776" s="8" t="s">
        <v>25808</v>
      </c>
      <c r="E4776" s="8" t="s">
        <v>25809</v>
      </c>
      <c r="F4776" s="8" t="s">
        <v>25766</v>
      </c>
      <c r="G4776" s="8" t="s">
        <v>25810</v>
      </c>
      <c r="H4776" s="8" t="s">
        <v>25811</v>
      </c>
      <c r="I4776" s="8" t="str">
        <f>HYPERLINK("http://www.photoalbumdesigner.it/","www.photoalbumdesigner.it")</f>
        <v>www.photoalbumdesigner.it</v>
      </c>
      <c r="J4776" s="10">
        <v>61.244999999999997</v>
      </c>
      <c r="K4776" s="10">
        <v>79.861999999999995</v>
      </c>
      <c r="L4776" s="10">
        <v>39.185000000000002</v>
      </c>
      <c r="M4776" s="10">
        <v>0.78400000000000003</v>
      </c>
      <c r="N4776" s="10">
        <v>9.6050000000000004</v>
      </c>
      <c r="O4776" s="10">
        <v>-24.844000000000001</v>
      </c>
      <c r="P4776" s="10">
        <v>2</v>
      </c>
      <c r="Q4776" s="10">
        <v>2</v>
      </c>
      <c r="R4776" s="10">
        <v>2</v>
      </c>
    </row>
    <row r="4777" spans="1:18" ht="17" customHeight="1" x14ac:dyDescent="0.15">
      <c r="A4777" s="11" t="s">
        <v>25812</v>
      </c>
      <c r="B4777" s="1" t="s">
        <v>25813</v>
      </c>
      <c r="C4777" s="11" t="s">
        <v>25814</v>
      </c>
      <c r="D4777" s="11" t="s">
        <v>25814</v>
      </c>
      <c r="E4777" s="11" t="s">
        <v>25815</v>
      </c>
      <c r="F4777" s="11" t="s">
        <v>25781</v>
      </c>
      <c r="G4777" s="11" t="s">
        <v>25816</v>
      </c>
      <c r="H4777" s="11" t="s">
        <v>25811</v>
      </c>
      <c r="I4777" s="11" t="str">
        <f>HYPERLINK("http://nisicamicie.it/","nisicamicie.it")</f>
        <v>nisicamicie.it</v>
      </c>
      <c r="J4777" s="12">
        <v>39.072000000000003</v>
      </c>
      <c r="K4777" s="14" t="s">
        <v>25769</v>
      </c>
      <c r="L4777" s="13">
        <v>39.072000000000003</v>
      </c>
      <c r="M4777" s="12">
        <v>-0.74199999999999999</v>
      </c>
      <c r="N4777" s="14" t="s">
        <v>25769</v>
      </c>
      <c r="O4777" s="12">
        <v>-0.74199999999999999</v>
      </c>
      <c r="P4777" s="12">
        <v>3</v>
      </c>
      <c r="Q4777" s="14" t="s">
        <v>25769</v>
      </c>
      <c r="R4777" s="12">
        <v>3</v>
      </c>
    </row>
    <row r="4778" spans="1:18" ht="17" customHeight="1" x14ac:dyDescent="0.15">
      <c r="A4778" s="8" t="s">
        <v>25817</v>
      </c>
      <c r="B4778" s="9" t="s">
        <v>25818</v>
      </c>
      <c r="C4778" s="8" t="s">
        <v>25819</v>
      </c>
      <c r="D4778" s="8" t="s">
        <v>25819</v>
      </c>
      <c r="E4778" s="8" t="s">
        <v>25820</v>
      </c>
      <c r="F4778" s="8" t="s">
        <v>25821</v>
      </c>
      <c r="G4778" s="8" t="s">
        <v>25822</v>
      </c>
      <c r="H4778" s="8" t="s">
        <v>25823</v>
      </c>
      <c r="I4778" s="8" t="str">
        <f>HYPERLINK("http://www.exclusivesport.it/","www.exclusivesport.it")</f>
        <v>www.exclusivesport.it</v>
      </c>
      <c r="J4778" s="10">
        <v>16.372</v>
      </c>
      <c r="K4778" s="10">
        <v>16.372</v>
      </c>
      <c r="L4778" s="10">
        <v>37.988</v>
      </c>
      <c r="M4778" s="10">
        <v>-6.1550000000000002</v>
      </c>
      <c r="N4778" s="10">
        <v>-6.1550000000000002</v>
      </c>
      <c r="O4778" s="10">
        <v>0.32500000000000001</v>
      </c>
      <c r="P4778" s="10">
        <v>0</v>
      </c>
      <c r="Q4778" s="10">
        <v>0</v>
      </c>
      <c r="R4778" s="10">
        <v>1</v>
      </c>
    </row>
    <row r="4779" spans="1:18" ht="17" customHeight="1" x14ac:dyDescent="0.15">
      <c r="A4779" s="11" t="s">
        <v>25824</v>
      </c>
      <c r="B4779" s="1" t="s">
        <v>25825</v>
      </c>
      <c r="C4779" s="11" t="s">
        <v>25826</v>
      </c>
      <c r="D4779" s="11" t="s">
        <v>25826</v>
      </c>
      <c r="E4779" s="11" t="s">
        <v>25827</v>
      </c>
      <c r="F4779" s="11" t="s">
        <v>25793</v>
      </c>
      <c r="G4779" s="11" t="s">
        <v>25828</v>
      </c>
      <c r="H4779" s="11" t="s">
        <v>25768</v>
      </c>
      <c r="I4779" s="11" t="str">
        <f>HYPERLINK("http://www.trendesit.it/","www.trendesit.it")</f>
        <v>www.trendesit.it</v>
      </c>
      <c r="J4779" s="12">
        <v>41.078000000000003</v>
      </c>
      <c r="K4779" s="12">
        <v>41.078000000000003</v>
      </c>
      <c r="L4779" s="13">
        <v>37.872</v>
      </c>
      <c r="M4779" s="12">
        <v>-13.263</v>
      </c>
      <c r="N4779" s="12">
        <v>-13.263</v>
      </c>
      <c r="O4779" s="12">
        <v>-32.692</v>
      </c>
      <c r="P4779" s="12">
        <v>0</v>
      </c>
      <c r="Q4779" s="12">
        <v>0</v>
      </c>
      <c r="R4779" s="12">
        <v>0</v>
      </c>
    </row>
    <row r="4780" spans="1:18" ht="17" customHeight="1" x14ac:dyDescent="0.15">
      <c r="A4780" s="8" t="s">
        <v>25829</v>
      </c>
      <c r="B4780" s="9" t="s">
        <v>25830</v>
      </c>
      <c r="C4780" s="8" t="s">
        <v>25831</v>
      </c>
      <c r="D4780" s="8" t="s">
        <v>25831</v>
      </c>
      <c r="E4780" s="8" t="s">
        <v>25832</v>
      </c>
      <c r="F4780" s="8" t="s">
        <v>25833</v>
      </c>
      <c r="G4780" s="8" t="s">
        <v>25834</v>
      </c>
      <c r="H4780" s="8" t="s">
        <v>25835</v>
      </c>
      <c r="I4780" s="8" t="str">
        <f>HYPERLINK("http://clashingcrabs.com/","clashingcrabs.com")</f>
        <v>clashingcrabs.com</v>
      </c>
      <c r="J4780" s="10">
        <v>89.51</v>
      </c>
      <c r="K4780" s="10">
        <v>89.51</v>
      </c>
      <c r="L4780" s="10">
        <v>37.814999999999998</v>
      </c>
      <c r="M4780" s="10">
        <v>1.585</v>
      </c>
      <c r="N4780" s="10">
        <v>1.585</v>
      </c>
      <c r="O4780" s="10">
        <v>0.67300000000000004</v>
      </c>
      <c r="P4780" s="10">
        <v>0</v>
      </c>
      <c r="Q4780" s="10">
        <v>0</v>
      </c>
      <c r="R4780" s="10">
        <v>0</v>
      </c>
    </row>
    <row r="4781" spans="1:18" ht="17" customHeight="1" x14ac:dyDescent="0.15">
      <c r="A4781" s="11" t="s">
        <v>25836</v>
      </c>
      <c r="B4781" s="1" t="s">
        <v>25837</v>
      </c>
      <c r="C4781" s="11" t="s">
        <v>25838</v>
      </c>
      <c r="D4781" s="11" t="s">
        <v>25838</v>
      </c>
      <c r="E4781" s="11" t="s">
        <v>25839</v>
      </c>
      <c r="F4781" s="11" t="s">
        <v>25766</v>
      </c>
      <c r="G4781" s="11" t="s">
        <v>25840</v>
      </c>
      <c r="H4781" s="11" t="s">
        <v>25776</v>
      </c>
      <c r="I4781" s="11" t="str">
        <f>HYPERLINK("http://biaborse.it/","biaborse.it")</f>
        <v>biaborse.it</v>
      </c>
      <c r="J4781" s="12">
        <v>62.6</v>
      </c>
      <c r="K4781" s="12">
        <v>62.6</v>
      </c>
      <c r="L4781" s="13">
        <v>37.113</v>
      </c>
      <c r="M4781" s="12">
        <v>19.937999999999999</v>
      </c>
      <c r="N4781" s="12">
        <v>19.937999999999999</v>
      </c>
      <c r="O4781" s="12">
        <v>2.1040000000000001</v>
      </c>
      <c r="P4781" s="12">
        <v>1</v>
      </c>
      <c r="Q4781" s="12">
        <v>1</v>
      </c>
      <c r="R4781" s="12">
        <v>1</v>
      </c>
    </row>
    <row r="4782" spans="1:18" ht="17" customHeight="1" x14ac:dyDescent="0.15">
      <c r="A4782" s="8" t="s">
        <v>25841</v>
      </c>
      <c r="B4782" s="9" t="s">
        <v>25842</v>
      </c>
      <c r="C4782" s="8" t="s">
        <v>25843</v>
      </c>
      <c r="D4782" s="8" t="s">
        <v>25843</v>
      </c>
      <c r="E4782" s="8" t="s">
        <v>25844</v>
      </c>
      <c r="F4782" s="8" t="s">
        <v>25793</v>
      </c>
      <c r="G4782" s="8" t="s">
        <v>25845</v>
      </c>
      <c r="H4782" s="8" t="s">
        <v>25846</v>
      </c>
      <c r="I4782" s="8" t="str">
        <f>HYPERLINK("http://xsalmon.it/","xsalmon.it")</f>
        <v>xsalmon.it</v>
      </c>
      <c r="J4782" s="10">
        <v>28.152999999999999</v>
      </c>
      <c r="K4782" s="10">
        <v>28.152999999999999</v>
      </c>
      <c r="L4782" s="10">
        <v>37.015999999999998</v>
      </c>
      <c r="M4782" s="10">
        <v>-116.11</v>
      </c>
      <c r="N4782" s="10">
        <v>-116.11</v>
      </c>
      <c r="O4782" s="10">
        <v>-97.837999999999994</v>
      </c>
      <c r="P4782" s="15" t="s">
        <v>25769</v>
      </c>
      <c r="Q4782" s="15" t="s">
        <v>25769</v>
      </c>
      <c r="R4782" s="10">
        <v>0</v>
      </c>
    </row>
    <row r="4783" spans="1:18" ht="17" customHeight="1" x14ac:dyDescent="0.15">
      <c r="A4783" s="11" t="s">
        <v>25847</v>
      </c>
      <c r="B4783" s="1" t="s">
        <v>25848</v>
      </c>
      <c r="C4783" s="11" t="s">
        <v>25849</v>
      </c>
      <c r="D4783" s="11" t="s">
        <v>25849</v>
      </c>
      <c r="E4783" s="11" t="s">
        <v>25850</v>
      </c>
      <c r="F4783" s="11" t="s">
        <v>25851</v>
      </c>
      <c r="G4783" s="11" t="s">
        <v>25852</v>
      </c>
      <c r="H4783" s="11" t="s">
        <v>25846</v>
      </c>
      <c r="I4783" s="11" t="str">
        <f>HYPERLINK("http://www.cittadellapieve.com/","www.cittadellapieve.com")</f>
        <v>www.cittadellapieve.com</v>
      </c>
      <c r="J4783" s="12">
        <v>36.433</v>
      </c>
      <c r="K4783" s="14" t="s">
        <v>25769</v>
      </c>
      <c r="L4783" s="13">
        <v>36.433</v>
      </c>
      <c r="M4783" s="12">
        <v>-26.422000000000001</v>
      </c>
      <c r="N4783" s="14" t="s">
        <v>25769</v>
      </c>
      <c r="O4783" s="12">
        <v>-26.422000000000001</v>
      </c>
      <c r="P4783" s="12">
        <v>2</v>
      </c>
      <c r="Q4783" s="14" t="s">
        <v>25769</v>
      </c>
      <c r="R4783" s="12">
        <v>2</v>
      </c>
    </row>
    <row r="4784" spans="1:18" ht="29.5" customHeight="1" x14ac:dyDescent="0.15">
      <c r="A4784" s="8" t="s">
        <v>25853</v>
      </c>
      <c r="B4784" s="9" t="s">
        <v>25854</v>
      </c>
      <c r="C4784" s="8" t="s">
        <v>25855</v>
      </c>
      <c r="D4784" s="8" t="s">
        <v>25855</v>
      </c>
      <c r="E4784" s="8" t="s">
        <v>25856</v>
      </c>
      <c r="F4784" s="8" t="s">
        <v>25788</v>
      </c>
      <c r="G4784" s="8" t="s">
        <v>25857</v>
      </c>
      <c r="H4784" s="8" t="s">
        <v>25823</v>
      </c>
      <c r="I4784" s="8" t="str">
        <f>HYPERLINK("http://www.annamarchetti.it/","www.annamarchetti.it")</f>
        <v>www.annamarchetti.it</v>
      </c>
      <c r="J4784" s="10">
        <v>24.934999999999999</v>
      </c>
      <c r="K4784" s="10">
        <v>24.934999999999999</v>
      </c>
      <c r="L4784" s="10">
        <v>36.159999999999997</v>
      </c>
      <c r="M4784" s="10">
        <v>0.30099999999999999</v>
      </c>
      <c r="N4784" s="10">
        <v>0.30099999999999999</v>
      </c>
      <c r="O4784" s="10">
        <v>1.6779999999999999</v>
      </c>
      <c r="P4784" s="10">
        <v>0</v>
      </c>
      <c r="Q4784" s="10">
        <v>0</v>
      </c>
      <c r="R4784" s="10">
        <v>0</v>
      </c>
    </row>
    <row r="4785" spans="1:18" ht="17" customHeight="1" x14ac:dyDescent="0.15">
      <c r="A4785" s="11" t="s">
        <v>25858</v>
      </c>
      <c r="B4785" s="1" t="s">
        <v>25859</v>
      </c>
      <c r="C4785" s="11" t="s">
        <v>25860</v>
      </c>
      <c r="D4785" s="11" t="s">
        <v>25860</v>
      </c>
      <c r="E4785" s="11" t="s">
        <v>25861</v>
      </c>
      <c r="F4785" s="11" t="s">
        <v>25788</v>
      </c>
      <c r="G4785" s="11" t="s">
        <v>25862</v>
      </c>
      <c r="H4785" s="11" t="s">
        <v>25863</v>
      </c>
      <c r="I4785" s="11" t="str">
        <f>HYPERLINK("http://www.maisoncelestino.com/","www.maisoncelestino.com")</f>
        <v>www.maisoncelestino.com</v>
      </c>
      <c r="J4785" s="12">
        <v>33.406999999999996</v>
      </c>
      <c r="K4785" s="12">
        <v>33.406999999999996</v>
      </c>
      <c r="L4785" s="13">
        <v>35.902999999999999</v>
      </c>
      <c r="M4785" s="12">
        <v>-9.7200000000000006</v>
      </c>
      <c r="N4785" s="12">
        <v>-9.7200000000000006</v>
      </c>
      <c r="O4785" s="12">
        <v>-22.635999999999999</v>
      </c>
      <c r="P4785" s="12">
        <v>0</v>
      </c>
      <c r="Q4785" s="12">
        <v>0</v>
      </c>
      <c r="R4785" s="12">
        <v>0</v>
      </c>
    </row>
    <row r="4786" spans="1:18" ht="17" customHeight="1" x14ac:dyDescent="0.15">
      <c r="A4786" s="8" t="s">
        <v>25864</v>
      </c>
      <c r="B4786" s="9" t="s">
        <v>25865</v>
      </c>
      <c r="C4786" s="8" t="s">
        <v>25866</v>
      </c>
      <c r="D4786" s="8" t="s">
        <v>25866</v>
      </c>
      <c r="E4786" s="8" t="s">
        <v>25867</v>
      </c>
      <c r="F4786" s="8" t="s">
        <v>25851</v>
      </c>
      <c r="G4786" s="8" t="s">
        <v>25868</v>
      </c>
      <c r="H4786" s="8" t="s">
        <v>25776</v>
      </c>
      <c r="I4786" s="8" t="str">
        <f>HYPERLINK("http://sartoriasassoli.com/","sartoriasassoli.com/")</f>
        <v>sartoriasassoli.com/</v>
      </c>
      <c r="J4786" s="10">
        <v>49.27</v>
      </c>
      <c r="K4786" s="10">
        <v>50.424999999999997</v>
      </c>
      <c r="L4786" s="10">
        <v>35.206000000000003</v>
      </c>
      <c r="M4786" s="10">
        <v>4.0350000000000001</v>
      </c>
      <c r="N4786" s="10">
        <v>5.548</v>
      </c>
      <c r="O4786" s="10">
        <v>6.5149999999999997</v>
      </c>
      <c r="P4786" s="15" t="s">
        <v>25769</v>
      </c>
      <c r="Q4786" s="15" t="s">
        <v>25769</v>
      </c>
      <c r="R4786" s="15" t="s">
        <v>25769</v>
      </c>
    </row>
    <row r="4787" spans="1:18" ht="17" customHeight="1" x14ac:dyDescent="0.15">
      <c r="A4787" s="11" t="s">
        <v>25869</v>
      </c>
      <c r="B4787" s="1" t="s">
        <v>25870</v>
      </c>
      <c r="C4787" s="11" t="s">
        <v>25871</v>
      </c>
      <c r="D4787" s="11" t="s">
        <v>25871</v>
      </c>
      <c r="E4787" s="11" t="s">
        <v>25872</v>
      </c>
      <c r="F4787" s="11" t="s">
        <v>25873</v>
      </c>
      <c r="G4787" s="11" t="s">
        <v>25794</v>
      </c>
      <c r="H4787" s="11" t="s">
        <v>25795</v>
      </c>
      <c r="I4787" s="11" t="str">
        <f>HYPERLINK("http://www.rosapetrelliatelier.com/","www.rosapetrelliatelier.com")</f>
        <v>www.rosapetrelliatelier.com</v>
      </c>
      <c r="J4787" s="12">
        <v>57.951000000000001</v>
      </c>
      <c r="K4787" s="12">
        <v>57.951000000000001</v>
      </c>
      <c r="L4787" s="13">
        <v>35.122999999999998</v>
      </c>
      <c r="M4787" s="12">
        <v>3.1680000000000001</v>
      </c>
      <c r="N4787" s="12">
        <v>3.1680000000000001</v>
      </c>
      <c r="O4787" s="12">
        <v>-18.709</v>
      </c>
      <c r="P4787" s="14" t="s">
        <v>25769</v>
      </c>
      <c r="Q4787" s="14" t="s">
        <v>25769</v>
      </c>
      <c r="R4787" s="12">
        <v>2</v>
      </c>
    </row>
    <row r="4788" spans="1:18" ht="17" customHeight="1" x14ac:dyDescent="0.15">
      <c r="A4788" s="8" t="s">
        <v>25874</v>
      </c>
      <c r="B4788" s="9" t="s">
        <v>25875</v>
      </c>
      <c r="C4788" s="8" t="s">
        <v>25876</v>
      </c>
      <c r="D4788" s="8" t="s">
        <v>25876</v>
      </c>
      <c r="E4788" s="8" t="s">
        <v>25877</v>
      </c>
      <c r="F4788" s="8" t="s">
        <v>25833</v>
      </c>
      <c r="G4788" s="8" t="s">
        <v>25857</v>
      </c>
      <c r="H4788" s="8" t="s">
        <v>25823</v>
      </c>
      <c r="I4788" s="8" t="str">
        <f>HYPERLINK("http://www.messori.it/","http://www.messori.it/")</f>
        <v>http://www.messori.it/</v>
      </c>
      <c r="J4788" s="10">
        <v>35.79</v>
      </c>
      <c r="K4788" s="10">
        <v>35.79</v>
      </c>
      <c r="L4788" s="10">
        <v>34.999000000000002</v>
      </c>
      <c r="M4788" s="10">
        <v>23.170999999999999</v>
      </c>
      <c r="N4788" s="10">
        <v>23.170999999999999</v>
      </c>
      <c r="O4788" s="10">
        <v>40.063000000000002</v>
      </c>
      <c r="P4788" s="10">
        <v>0</v>
      </c>
      <c r="Q4788" s="10">
        <v>0</v>
      </c>
      <c r="R4788" s="10">
        <v>0</v>
      </c>
    </row>
    <row r="4789" spans="1:18" ht="17" customHeight="1" x14ac:dyDescent="0.15">
      <c r="A4789" s="11" t="s">
        <v>25878</v>
      </c>
      <c r="B4789" s="1" t="s">
        <v>25879</v>
      </c>
      <c r="C4789" s="11" t="s">
        <v>25880</v>
      </c>
      <c r="D4789" s="11" t="s">
        <v>25880</v>
      </c>
      <c r="E4789" s="11" t="s">
        <v>25881</v>
      </c>
      <c r="F4789" s="11" t="s">
        <v>25833</v>
      </c>
      <c r="G4789" s="11" t="s">
        <v>25882</v>
      </c>
      <c r="H4789" s="11" t="s">
        <v>25835</v>
      </c>
      <c r="I4789" s="11" t="str">
        <f>HYPERLINK("http://www.labottegadimemorys.com/","www.labottegadimemorys.com")</f>
        <v>www.labottegadimemorys.com</v>
      </c>
      <c r="J4789" s="12">
        <v>37.348999999999997</v>
      </c>
      <c r="K4789" s="12">
        <v>37.348999999999997</v>
      </c>
      <c r="L4789" s="13">
        <v>34.909999999999997</v>
      </c>
      <c r="M4789" s="12">
        <v>17.518000000000001</v>
      </c>
      <c r="N4789" s="12">
        <v>17.518000000000001</v>
      </c>
      <c r="O4789" s="12">
        <v>8.4930000000000003</v>
      </c>
      <c r="P4789" s="12">
        <v>0</v>
      </c>
      <c r="Q4789" s="12">
        <v>0</v>
      </c>
      <c r="R4789" s="12">
        <v>0</v>
      </c>
    </row>
    <row r="4790" spans="1:18" ht="17" customHeight="1" x14ac:dyDescent="0.15">
      <c r="A4790" s="8" t="s">
        <v>25883</v>
      </c>
      <c r="B4790" s="9" t="s">
        <v>25884</v>
      </c>
      <c r="C4790" s="8" t="s">
        <v>25885</v>
      </c>
      <c r="D4790" s="8" t="s">
        <v>25885</v>
      </c>
      <c r="E4790" s="8" t="s">
        <v>25886</v>
      </c>
      <c r="F4790" s="8" t="s">
        <v>25833</v>
      </c>
      <c r="G4790" s="8" t="s">
        <v>25852</v>
      </c>
      <c r="H4790" s="8" t="s">
        <v>25846</v>
      </c>
      <c r="I4790" s="8" t="str">
        <f>HYPERLINK("http://lumenetumbra.it/","lumenetumbra.it")</f>
        <v>lumenetumbra.it</v>
      </c>
      <c r="J4790" s="10">
        <v>28.844999999999999</v>
      </c>
      <c r="K4790" s="10">
        <v>28.844999999999999</v>
      </c>
      <c r="L4790" s="10">
        <v>34.942</v>
      </c>
      <c r="M4790" s="10">
        <v>-193.095</v>
      </c>
      <c r="N4790" s="10">
        <v>-193.095</v>
      </c>
      <c r="O4790" s="10">
        <v>1.167</v>
      </c>
      <c r="P4790" s="10">
        <v>0</v>
      </c>
      <c r="Q4790" s="10">
        <v>0</v>
      </c>
      <c r="R4790" s="10">
        <v>0</v>
      </c>
    </row>
    <row r="4791" spans="1:18" ht="17" customHeight="1" x14ac:dyDescent="0.15">
      <c r="A4791" s="11" t="s">
        <v>25887</v>
      </c>
      <c r="B4791" s="1" t="s">
        <v>25888</v>
      </c>
      <c r="C4791" s="11" t="s">
        <v>25889</v>
      </c>
      <c r="D4791" s="11" t="s">
        <v>25889</v>
      </c>
      <c r="E4791" s="11" t="s">
        <v>25890</v>
      </c>
      <c r="F4791" s="11" t="s">
        <v>25781</v>
      </c>
      <c r="G4791" s="11" t="s">
        <v>25767</v>
      </c>
      <c r="H4791" s="11" t="s">
        <v>25768</v>
      </c>
      <c r="I4791" s="11" t="str">
        <f>HYPERLINK("http://sleepwalkerworld.com/","sleepwalkerworld.com")</f>
        <v>sleepwalkerworld.com</v>
      </c>
      <c r="J4791" s="12">
        <v>8.2279999999999998</v>
      </c>
      <c r="K4791" s="12">
        <v>8.2279999999999998</v>
      </c>
      <c r="L4791" s="13">
        <v>34.186</v>
      </c>
      <c r="M4791" s="12">
        <v>-3.347</v>
      </c>
      <c r="N4791" s="12">
        <v>-3.347</v>
      </c>
      <c r="O4791" s="12">
        <v>-12.994</v>
      </c>
      <c r="P4791" s="12">
        <v>0</v>
      </c>
      <c r="Q4791" s="12">
        <v>0</v>
      </c>
      <c r="R4791" s="12">
        <v>0</v>
      </c>
    </row>
    <row r="4792" spans="1:18" ht="17" customHeight="1" x14ac:dyDescent="0.15">
      <c r="A4792" s="8" t="s">
        <v>25891</v>
      </c>
      <c r="B4792" s="9" t="s">
        <v>25892</v>
      </c>
      <c r="C4792" s="8" t="s">
        <v>25893</v>
      </c>
      <c r="D4792" s="8" t="s">
        <v>25893</v>
      </c>
      <c r="E4792" s="8" t="s">
        <v>25894</v>
      </c>
      <c r="F4792" s="8" t="s">
        <v>25766</v>
      </c>
      <c r="G4792" s="8" t="s">
        <v>25895</v>
      </c>
      <c r="H4792" s="8" t="s">
        <v>25896</v>
      </c>
      <c r="I4792" s="8" t="str">
        <f>HYPERLINK("http://kilesa.fashion/","kilesa.fashion")</f>
        <v>kilesa.fashion</v>
      </c>
      <c r="J4792" s="10">
        <v>33.732999999999997</v>
      </c>
      <c r="K4792" s="10">
        <v>33.732999999999997</v>
      </c>
      <c r="L4792" s="10">
        <v>33.732999999999997</v>
      </c>
      <c r="M4792" s="10">
        <v>3.75</v>
      </c>
      <c r="N4792" s="10">
        <v>3.75</v>
      </c>
      <c r="O4792" s="10">
        <v>3.75</v>
      </c>
      <c r="P4792" s="10">
        <v>2</v>
      </c>
      <c r="Q4792" s="10">
        <v>2</v>
      </c>
      <c r="R4792" s="10">
        <v>1</v>
      </c>
    </row>
    <row r="4793" spans="1:18" ht="43" customHeight="1" x14ac:dyDescent="0.15">
      <c r="A4793" s="11" t="s">
        <v>25897</v>
      </c>
      <c r="B4793" s="1" t="s">
        <v>25898</v>
      </c>
      <c r="C4793" s="11" t="s">
        <v>25899</v>
      </c>
      <c r="D4793" s="11" t="s">
        <v>25899</v>
      </c>
      <c r="E4793" s="11" t="s">
        <v>25900</v>
      </c>
      <c r="F4793" s="11" t="s">
        <v>25833</v>
      </c>
      <c r="G4793" s="11" t="s">
        <v>25901</v>
      </c>
      <c r="H4793" s="11" t="s">
        <v>25768</v>
      </c>
      <c r="I4793" s="11" t="str">
        <f>HYPERLINK("http://www.origamisenzanome.com/","www.origamisenzanome.com")</f>
        <v>www.origamisenzanome.com</v>
      </c>
      <c r="J4793" s="12">
        <v>30.396000000000001</v>
      </c>
      <c r="K4793" s="12">
        <v>30.396000000000001</v>
      </c>
      <c r="L4793" s="13">
        <v>33.152000000000001</v>
      </c>
      <c r="M4793" s="12">
        <v>0.752</v>
      </c>
      <c r="N4793" s="12">
        <v>0.752</v>
      </c>
      <c r="O4793" s="12">
        <v>-1.111</v>
      </c>
      <c r="P4793" s="12">
        <v>0</v>
      </c>
      <c r="Q4793" s="12">
        <v>0</v>
      </c>
      <c r="R4793" s="12">
        <v>0</v>
      </c>
    </row>
    <row r="4794" spans="1:18" ht="29.5" customHeight="1" x14ac:dyDescent="0.15">
      <c r="A4794" s="8" t="s">
        <v>25902</v>
      </c>
      <c r="B4794" s="9" t="s">
        <v>25903</v>
      </c>
      <c r="C4794" s="8" t="s">
        <v>25904</v>
      </c>
      <c r="D4794" s="8" t="s">
        <v>25905</v>
      </c>
      <c r="E4794" s="8" t="s">
        <v>25906</v>
      </c>
      <c r="F4794" s="8" t="s">
        <v>25851</v>
      </c>
      <c r="G4794" s="8" t="s">
        <v>25852</v>
      </c>
      <c r="H4794" s="8" t="s">
        <v>25846</v>
      </c>
      <c r="I4794" s="8" t="str">
        <f>HYPERLINK("http://tommyegiuliocaraceni.com/","tommyegiuliocaraceni.com")</f>
        <v>tommyegiuliocaraceni.com</v>
      </c>
      <c r="J4794" s="10">
        <v>595.24699999999996</v>
      </c>
      <c r="K4794" s="10">
        <v>595.24699999999996</v>
      </c>
      <c r="L4794" s="10">
        <v>33</v>
      </c>
      <c r="M4794" s="10">
        <v>30.832000000000001</v>
      </c>
      <c r="N4794" s="10">
        <v>30.832000000000001</v>
      </c>
      <c r="O4794" s="10">
        <v>6.7039999999999997</v>
      </c>
      <c r="P4794" s="10">
        <v>14</v>
      </c>
      <c r="Q4794" s="10">
        <v>14</v>
      </c>
      <c r="R4794" s="10">
        <v>0</v>
      </c>
    </row>
    <row r="4795" spans="1:18" ht="17" customHeight="1" x14ac:dyDescent="0.15">
      <c r="A4795" s="11" t="s">
        <v>25907</v>
      </c>
      <c r="B4795" s="1" t="s">
        <v>25908</v>
      </c>
      <c r="C4795" s="11" t="s">
        <v>25909</v>
      </c>
      <c r="D4795" s="11" t="s">
        <v>25909</v>
      </c>
      <c r="E4795" s="11" t="s">
        <v>25910</v>
      </c>
      <c r="F4795" s="11" t="s">
        <v>25793</v>
      </c>
      <c r="G4795" s="11" t="s">
        <v>25911</v>
      </c>
      <c r="H4795" s="11" t="s">
        <v>25912</v>
      </c>
      <c r="I4795" s="11" t="str">
        <f>HYPERLINK("http://www.nottinghamshoes.it/","www.nottinghamshoes.it")</f>
        <v>www.nottinghamshoes.it</v>
      </c>
      <c r="J4795" s="12">
        <v>30.372</v>
      </c>
      <c r="K4795" s="12">
        <v>30.372</v>
      </c>
      <c r="L4795" s="13">
        <v>32.783999999999999</v>
      </c>
      <c r="M4795" s="12">
        <v>0.96799999999999997</v>
      </c>
      <c r="N4795" s="12">
        <v>0.96799999999999997</v>
      </c>
      <c r="O4795" s="12">
        <v>2.3029999999999999</v>
      </c>
      <c r="P4795" s="12">
        <v>0</v>
      </c>
      <c r="Q4795" s="12">
        <v>0</v>
      </c>
      <c r="R4795" s="12">
        <v>1</v>
      </c>
    </row>
    <row r="4796" spans="1:18" ht="17" customHeight="1" x14ac:dyDescent="0.15">
      <c r="A4796" s="8" t="s">
        <v>25913</v>
      </c>
      <c r="B4796" s="9" t="s">
        <v>25914</v>
      </c>
      <c r="C4796" s="8" t="s">
        <v>25915</v>
      </c>
      <c r="D4796" s="8" t="s">
        <v>25915</v>
      </c>
      <c r="E4796" s="8" t="s">
        <v>25916</v>
      </c>
      <c r="F4796" s="8" t="s">
        <v>25800</v>
      </c>
      <c r="G4796" s="8" t="s">
        <v>25917</v>
      </c>
      <c r="H4796" s="8" t="s">
        <v>25918</v>
      </c>
      <c r="I4796" s="8" t="str">
        <f>HYPERLINK("http://www.genevievesposa.it/","www.genevievesposa.it")</f>
        <v>www.genevievesposa.it</v>
      </c>
      <c r="J4796" s="10">
        <v>19.611999999999998</v>
      </c>
      <c r="K4796" s="10">
        <v>19.611999999999998</v>
      </c>
      <c r="L4796" s="10">
        <v>32.814999999999998</v>
      </c>
      <c r="M4796" s="10">
        <v>-1.554</v>
      </c>
      <c r="N4796" s="10">
        <v>-1.554</v>
      </c>
      <c r="O4796" s="10">
        <v>-1.9710000000000001</v>
      </c>
      <c r="P4796" s="10">
        <v>0</v>
      </c>
      <c r="Q4796" s="10">
        <v>0</v>
      </c>
      <c r="R4796" s="10">
        <v>0</v>
      </c>
    </row>
    <row r="4797" spans="1:18" ht="17" customHeight="1" x14ac:dyDescent="0.15">
      <c r="A4797" s="11" t="s">
        <v>25919</v>
      </c>
      <c r="B4797" s="1" t="s">
        <v>25920</v>
      </c>
      <c r="C4797" s="11" t="s">
        <v>25921</v>
      </c>
      <c r="D4797" s="11" t="s">
        <v>25921</v>
      </c>
      <c r="E4797" s="11" t="s">
        <v>25922</v>
      </c>
      <c r="F4797" s="11" t="s">
        <v>25788</v>
      </c>
      <c r="G4797" s="11" t="s">
        <v>25923</v>
      </c>
      <c r="H4797" s="11" t="s">
        <v>25795</v>
      </c>
      <c r="I4797" s="11" t="str">
        <f>HYPERLINK("http://www.rogialstie.it/","www.rogialstie.it")</f>
        <v>www.rogialstie.it</v>
      </c>
      <c r="J4797" s="12">
        <v>44.140999999999998</v>
      </c>
      <c r="K4797" s="12">
        <v>44.140999999999998</v>
      </c>
      <c r="L4797" s="13">
        <v>32.637</v>
      </c>
      <c r="M4797" s="12">
        <v>8.6649999999999991</v>
      </c>
      <c r="N4797" s="12">
        <v>8.6649999999999991</v>
      </c>
      <c r="O4797" s="12">
        <v>2.1720000000000002</v>
      </c>
      <c r="P4797" s="12">
        <v>0</v>
      </c>
      <c r="Q4797" s="12">
        <v>0</v>
      </c>
      <c r="R4797" s="12">
        <v>2</v>
      </c>
    </row>
    <row r="4798" spans="1:18" ht="17" customHeight="1" x14ac:dyDescent="0.15">
      <c r="A4798" s="8" t="s">
        <v>25924</v>
      </c>
      <c r="B4798" s="9" t="s">
        <v>25925</v>
      </c>
      <c r="C4798" s="8" t="s">
        <v>25926</v>
      </c>
      <c r="D4798" s="8" t="s">
        <v>25926</v>
      </c>
      <c r="E4798" s="8" t="s">
        <v>25927</v>
      </c>
      <c r="F4798" s="8" t="s">
        <v>25833</v>
      </c>
      <c r="G4798" s="8" t="s">
        <v>25857</v>
      </c>
      <c r="H4798" s="8" t="s">
        <v>25823</v>
      </c>
      <c r="I4798" s="8" t="str">
        <f>HYPERLINK("http://mariagraziadondi.com/","mariagraziadondi.com")</f>
        <v>mariagraziadondi.com</v>
      </c>
      <c r="J4798" s="10">
        <v>24.875</v>
      </c>
      <c r="K4798" s="10">
        <v>24.875</v>
      </c>
      <c r="L4798" s="10">
        <v>32.646000000000001</v>
      </c>
      <c r="M4798" s="10">
        <v>-2.5790000000000002</v>
      </c>
      <c r="N4798" s="10">
        <v>-2.5790000000000002</v>
      </c>
      <c r="O4798" s="10">
        <v>-6.0810000000000004</v>
      </c>
      <c r="P4798" s="10">
        <v>0</v>
      </c>
      <c r="Q4798" s="10">
        <v>0</v>
      </c>
      <c r="R4798" s="10">
        <v>0</v>
      </c>
    </row>
    <row r="4799" spans="1:18" ht="17" customHeight="1" x14ac:dyDescent="0.15">
      <c r="A4799" s="11" t="s">
        <v>25928</v>
      </c>
      <c r="B4799" s="1" t="s">
        <v>25929</v>
      </c>
      <c r="C4799" s="11" t="s">
        <v>25930</v>
      </c>
      <c r="D4799" s="11" t="s">
        <v>25930</v>
      </c>
      <c r="E4799" s="11" t="s">
        <v>25931</v>
      </c>
      <c r="F4799" s="11" t="s">
        <v>25932</v>
      </c>
      <c r="G4799" s="11" t="s">
        <v>25933</v>
      </c>
      <c r="H4799" s="11" t="s">
        <v>25934</v>
      </c>
      <c r="I4799" s="11" t="str">
        <f>HYPERLINK("http://www.chimar.it/","http://www.chimar.it")</f>
        <v>http://www.chimar.it</v>
      </c>
      <c r="J4799" s="12">
        <v>32.4</v>
      </c>
      <c r="K4799" s="12">
        <v>32.4</v>
      </c>
      <c r="L4799" s="13">
        <v>32.4</v>
      </c>
      <c r="M4799" s="12">
        <v>-31.157</v>
      </c>
      <c r="N4799" s="12">
        <v>-31.157</v>
      </c>
      <c r="O4799" s="12">
        <v>-28.286000000000001</v>
      </c>
      <c r="P4799" s="14" t="s">
        <v>25769</v>
      </c>
      <c r="Q4799" s="14" t="s">
        <v>25769</v>
      </c>
      <c r="R4799" s="14" t="s">
        <v>25769</v>
      </c>
    </row>
    <row r="4800" spans="1:18" ht="43" customHeight="1" x14ac:dyDescent="0.15">
      <c r="A4800" s="8" t="s">
        <v>25935</v>
      </c>
      <c r="B4800" s="9" t="s">
        <v>25936</v>
      </c>
      <c r="C4800" s="8" t="s">
        <v>25937</v>
      </c>
      <c r="D4800" s="8" t="s">
        <v>25937</v>
      </c>
      <c r="E4800" s="8" t="s">
        <v>25938</v>
      </c>
      <c r="F4800" s="8" t="s">
        <v>25766</v>
      </c>
      <c r="G4800" s="8" t="s">
        <v>25939</v>
      </c>
      <c r="H4800" s="8" t="s">
        <v>25912</v>
      </c>
      <c r="I4800" s="8" t="str">
        <f>HYPERLINK("http://eledor.shop/","eledor.shop")</f>
        <v>eledor.shop</v>
      </c>
      <c r="J4800" s="10">
        <v>46.204000000000001</v>
      </c>
      <c r="K4800" s="10">
        <v>46.204000000000001</v>
      </c>
      <c r="L4800" s="10">
        <v>32.281999999999996</v>
      </c>
      <c r="M4800" s="10">
        <v>-0.68200000000000005</v>
      </c>
      <c r="N4800" s="10">
        <v>-0.68200000000000005</v>
      </c>
      <c r="O4800" s="10">
        <v>-1.236</v>
      </c>
      <c r="P4800" s="10">
        <v>0</v>
      </c>
      <c r="Q4800" s="10">
        <v>0</v>
      </c>
      <c r="R4800" s="10">
        <v>0</v>
      </c>
    </row>
    <row r="4801" spans="1:18" ht="17" customHeight="1" x14ac:dyDescent="0.15">
      <c r="A4801" s="11" t="s">
        <v>25940</v>
      </c>
      <c r="B4801" s="1" t="s">
        <v>25941</v>
      </c>
      <c r="C4801" s="11" t="s">
        <v>25942</v>
      </c>
      <c r="D4801" s="11" t="s">
        <v>25942</v>
      </c>
      <c r="E4801" s="11" t="s">
        <v>25943</v>
      </c>
      <c r="F4801" s="11" t="s">
        <v>25944</v>
      </c>
      <c r="G4801" s="11" t="s">
        <v>25945</v>
      </c>
      <c r="H4801" s="11" t="s">
        <v>25946</v>
      </c>
      <c r="I4801" s="11" t="str">
        <f>HYPERLINK("http://www.massimilianogiangrossiatelier.it/","www.massimilianogiangrossiatelier.it")</f>
        <v>www.massimilianogiangrossiatelier.it</v>
      </c>
      <c r="J4801" s="12">
        <v>40.593000000000004</v>
      </c>
      <c r="K4801" s="12">
        <v>40.593000000000004</v>
      </c>
      <c r="L4801" s="13">
        <v>32.308999999999997</v>
      </c>
      <c r="M4801" s="12">
        <v>0.68700000000000006</v>
      </c>
      <c r="N4801" s="12">
        <v>0.68700000000000006</v>
      </c>
      <c r="O4801" s="12">
        <v>4.0270000000000001</v>
      </c>
      <c r="P4801" s="12">
        <v>1</v>
      </c>
      <c r="Q4801" s="12">
        <v>1</v>
      </c>
      <c r="R4801" s="12">
        <v>0</v>
      </c>
    </row>
    <row r="4802" spans="1:18" ht="29.5" customHeight="1" x14ac:dyDescent="0.15">
      <c r="A4802" s="8" t="s">
        <v>25947</v>
      </c>
      <c r="B4802" s="9" t="s">
        <v>25948</v>
      </c>
      <c r="C4802" s="8" t="s">
        <v>25949</v>
      </c>
      <c r="D4802" s="8" t="s">
        <v>25949</v>
      </c>
      <c r="E4802" s="8" t="s">
        <v>25950</v>
      </c>
      <c r="F4802" s="8" t="s">
        <v>25951</v>
      </c>
      <c r="G4802" s="8" t="s">
        <v>25952</v>
      </c>
      <c r="H4802" s="8" t="s">
        <v>25946</v>
      </c>
      <c r="I4802" s="8" t="str">
        <f>HYPERLINK("http://mengoni-angela-srl-01483770432.quantofattura.com/","mengoni-angela-srl-01483770432.quantofattura.com")</f>
        <v>mengoni-angela-srl-01483770432.quantofattura.com</v>
      </c>
      <c r="J4802" s="10">
        <v>31.25</v>
      </c>
      <c r="K4802" s="10">
        <v>31.25</v>
      </c>
      <c r="L4802" s="10">
        <v>32.012</v>
      </c>
      <c r="M4802" s="10">
        <v>-0.47</v>
      </c>
      <c r="N4802" s="10">
        <v>-0.47</v>
      </c>
      <c r="O4802" s="10">
        <v>2.093</v>
      </c>
      <c r="P4802" s="10">
        <v>0</v>
      </c>
      <c r="Q4802" s="10">
        <v>0</v>
      </c>
      <c r="R4802" s="10">
        <v>0</v>
      </c>
    </row>
    <row r="4803" spans="1:18" ht="17" customHeight="1" x14ac:dyDescent="0.15">
      <c r="A4803" s="11" t="s">
        <v>25953</v>
      </c>
      <c r="B4803" s="1" t="s">
        <v>25954</v>
      </c>
      <c r="C4803" s="11" t="s">
        <v>25955</v>
      </c>
      <c r="D4803" s="11" t="s">
        <v>25955</v>
      </c>
      <c r="E4803" s="11" t="s">
        <v>25956</v>
      </c>
      <c r="F4803" s="11" t="s">
        <v>25957</v>
      </c>
      <c r="G4803" s="11" t="s">
        <v>25958</v>
      </c>
      <c r="H4803" s="11" t="s">
        <v>25959</v>
      </c>
      <c r="I4803" s="11" t="str">
        <f>HYPERLINK("http://www.sartoriamelina.com/","www.sartoriamelina.com")</f>
        <v>www.sartoriamelina.com</v>
      </c>
      <c r="J4803" s="12">
        <v>73.55</v>
      </c>
      <c r="K4803" s="12">
        <v>73.55</v>
      </c>
      <c r="L4803" s="13">
        <v>31.454999999999998</v>
      </c>
      <c r="M4803" s="12">
        <v>6.7839999999999998</v>
      </c>
      <c r="N4803" s="12">
        <v>6.7839999999999998</v>
      </c>
      <c r="O4803" s="12">
        <v>-11.215</v>
      </c>
      <c r="P4803" s="12">
        <v>1</v>
      </c>
      <c r="Q4803" s="12">
        <v>1</v>
      </c>
      <c r="R4803" s="12">
        <v>1</v>
      </c>
    </row>
    <row r="4804" spans="1:18" ht="17" customHeight="1" x14ac:dyDescent="0.15">
      <c r="A4804" s="8" t="s">
        <v>25960</v>
      </c>
      <c r="B4804" s="9" t="s">
        <v>25961</v>
      </c>
      <c r="C4804" s="8" t="s">
        <v>25962</v>
      </c>
      <c r="D4804" s="8" t="s">
        <v>25962</v>
      </c>
      <c r="E4804" s="8" t="s">
        <v>25963</v>
      </c>
      <c r="F4804" s="8" t="s">
        <v>25944</v>
      </c>
      <c r="G4804" s="8" t="s">
        <v>25964</v>
      </c>
      <c r="H4804" s="8" t="s">
        <v>25965</v>
      </c>
      <c r="I4804" s="8" t="str">
        <f>HYPERLINK("http://www.sartorialaforense.it/","www.sartorialaforense.it")</f>
        <v>www.sartorialaforense.it</v>
      </c>
      <c r="J4804" s="10">
        <v>19.936</v>
      </c>
      <c r="K4804" s="10">
        <v>19.936</v>
      </c>
      <c r="L4804" s="10">
        <v>31.501000000000001</v>
      </c>
      <c r="M4804" s="10">
        <v>1.292</v>
      </c>
      <c r="N4804" s="10">
        <v>1.292</v>
      </c>
      <c r="O4804" s="10">
        <v>2.4609999999999999</v>
      </c>
      <c r="P4804" s="10">
        <v>0</v>
      </c>
      <c r="Q4804" s="10">
        <v>0</v>
      </c>
      <c r="R4804" s="10">
        <v>0</v>
      </c>
    </row>
    <row r="4805" spans="1:18" ht="43" customHeight="1" x14ac:dyDescent="0.15">
      <c r="A4805" s="11" t="s">
        <v>25966</v>
      </c>
      <c r="B4805" s="1" t="s">
        <v>25967</v>
      </c>
      <c r="C4805" s="11" t="s">
        <v>25968</v>
      </c>
      <c r="D4805" s="11" t="s">
        <v>25968</v>
      </c>
      <c r="E4805" s="11" t="s">
        <v>25969</v>
      </c>
      <c r="F4805" s="11" t="s">
        <v>25944</v>
      </c>
      <c r="G4805" s="11" t="s">
        <v>25970</v>
      </c>
      <c r="H4805" s="11" t="s">
        <v>25971</v>
      </c>
      <c r="I4805" s="11" t="str">
        <f>HYPERLINK("http://www.mariellagennarino.it/","www.mariellagennarino.it")</f>
        <v>www.mariellagennarino.it</v>
      </c>
      <c r="J4805" s="12">
        <v>33.683999999999997</v>
      </c>
      <c r="K4805" s="12">
        <v>33.683999999999997</v>
      </c>
      <c r="L4805" s="13">
        <v>31.393000000000001</v>
      </c>
      <c r="M4805" s="12">
        <v>-1.6910000000000001</v>
      </c>
      <c r="N4805" s="12">
        <v>-1.6910000000000001</v>
      </c>
      <c r="O4805" s="12">
        <v>-3.7450000000000001</v>
      </c>
      <c r="P4805" s="12">
        <v>0</v>
      </c>
      <c r="Q4805" s="12">
        <v>0</v>
      </c>
      <c r="R4805" s="12">
        <v>0</v>
      </c>
    </row>
    <row r="4806" spans="1:18" ht="43" customHeight="1" x14ac:dyDescent="0.15">
      <c r="A4806" s="8" t="s">
        <v>25972</v>
      </c>
      <c r="B4806" s="9" t="s">
        <v>25973</v>
      </c>
      <c r="C4806" s="8" t="s">
        <v>25974</v>
      </c>
      <c r="D4806" s="8" t="s">
        <v>25974</v>
      </c>
      <c r="E4806" s="8" t="s">
        <v>25975</v>
      </c>
      <c r="F4806" s="8" t="s">
        <v>25976</v>
      </c>
      <c r="G4806" s="8" t="s">
        <v>25977</v>
      </c>
      <c r="H4806" s="8" t="s">
        <v>25978</v>
      </c>
      <c r="I4806" s="8" t="str">
        <f>HYPERLINK("http://www.re49.it/","www.re49.it")</f>
        <v>www.re49.it</v>
      </c>
      <c r="J4806" s="10">
        <v>64.724999999999994</v>
      </c>
      <c r="K4806" s="10">
        <v>64.724999999999994</v>
      </c>
      <c r="L4806" s="10">
        <v>31.16</v>
      </c>
      <c r="M4806" s="10">
        <v>-27.062999999999999</v>
      </c>
      <c r="N4806" s="10">
        <v>-27.062999999999999</v>
      </c>
      <c r="O4806" s="10">
        <v>-91.816000000000003</v>
      </c>
      <c r="P4806" s="10">
        <v>0</v>
      </c>
      <c r="Q4806" s="10">
        <v>0</v>
      </c>
      <c r="R4806" s="10">
        <v>0</v>
      </c>
    </row>
    <row r="4807" spans="1:18" ht="17" customHeight="1" x14ac:dyDescent="0.15">
      <c r="A4807" s="11" t="s">
        <v>25979</v>
      </c>
      <c r="B4807" s="1" t="s">
        <v>25980</v>
      </c>
      <c r="C4807" s="11" t="s">
        <v>25981</v>
      </c>
      <c r="D4807" s="11" t="s">
        <v>25981</v>
      </c>
      <c r="E4807" s="11" t="s">
        <v>25982</v>
      </c>
      <c r="F4807" s="11" t="s">
        <v>25983</v>
      </c>
      <c r="G4807" s="11" t="s">
        <v>25984</v>
      </c>
      <c r="H4807" s="11" t="s">
        <v>25985</v>
      </c>
      <c r="I4807" s="11" t="str">
        <f>HYPERLINK("http://www.revivesrl.it/","www.revivesrl.it")</f>
        <v>www.revivesrl.it</v>
      </c>
      <c r="J4807" s="12">
        <v>25.805</v>
      </c>
      <c r="K4807" s="12">
        <v>25.805</v>
      </c>
      <c r="L4807" s="13">
        <v>31.1</v>
      </c>
      <c r="M4807" s="12">
        <v>0.192</v>
      </c>
      <c r="N4807" s="12">
        <v>0.192</v>
      </c>
      <c r="O4807" s="12">
        <v>0.81799999999999995</v>
      </c>
      <c r="P4807" s="12">
        <v>0</v>
      </c>
      <c r="Q4807" s="12">
        <v>0</v>
      </c>
      <c r="R4807" s="12">
        <v>0</v>
      </c>
    </row>
    <row r="4808" spans="1:18" ht="17" customHeight="1" x14ac:dyDescent="0.15">
      <c r="A4808" s="8" t="s">
        <v>25986</v>
      </c>
      <c r="B4808" s="9" t="s">
        <v>25987</v>
      </c>
      <c r="C4808" s="8" t="s">
        <v>25988</v>
      </c>
      <c r="D4808" s="8" t="s">
        <v>25988</v>
      </c>
      <c r="E4808" s="8" t="s">
        <v>25989</v>
      </c>
      <c r="F4808" s="8" t="s">
        <v>25990</v>
      </c>
      <c r="G4808" s="8" t="s">
        <v>25991</v>
      </c>
      <c r="H4808" s="8" t="s">
        <v>25992</v>
      </c>
      <c r="I4808" s="8" t="str">
        <f>HYPERLINK("http://www.cristinabonfanti.it/","www.cristinabonfanti.it")</f>
        <v>www.cristinabonfanti.it</v>
      </c>
      <c r="J4808" s="10">
        <v>23.827000000000002</v>
      </c>
      <c r="K4808" s="10">
        <v>23.827000000000002</v>
      </c>
      <c r="L4808" s="10">
        <v>30.2</v>
      </c>
      <c r="M4808" s="10">
        <v>8.609</v>
      </c>
      <c r="N4808" s="10">
        <v>8.609</v>
      </c>
      <c r="O4808" s="10">
        <v>-21.666</v>
      </c>
      <c r="P4808" s="10">
        <v>0</v>
      </c>
      <c r="Q4808" s="10">
        <v>0</v>
      </c>
      <c r="R4808" s="10">
        <v>0</v>
      </c>
    </row>
    <row r="4809" spans="1:18" ht="17" customHeight="1" x14ac:dyDescent="0.15">
      <c r="A4809" s="11" t="s">
        <v>25993</v>
      </c>
      <c r="B4809" s="1" t="s">
        <v>25994</v>
      </c>
      <c r="C4809" s="11" t="s">
        <v>25995</v>
      </c>
      <c r="D4809" s="11" t="s">
        <v>25995</v>
      </c>
      <c r="E4809" s="11" t="s">
        <v>25996</v>
      </c>
      <c r="F4809" s="11" t="s">
        <v>25997</v>
      </c>
      <c r="G4809" s="11" t="s">
        <v>25998</v>
      </c>
      <c r="H4809" s="11" t="s">
        <v>25999</v>
      </c>
      <c r="I4809" s="11" t="str">
        <f>HYPERLINK("http://www.acquaticaweb.com/","www.acquaticaweb.com")</f>
        <v>www.acquaticaweb.com</v>
      </c>
      <c r="J4809" s="12">
        <v>29.584</v>
      </c>
      <c r="K4809" s="14" t="s">
        <v>26000</v>
      </c>
      <c r="L4809" s="13">
        <v>29.584</v>
      </c>
      <c r="M4809" s="12">
        <v>-15.238</v>
      </c>
      <c r="N4809" s="14" t="s">
        <v>26000</v>
      </c>
      <c r="O4809" s="12">
        <v>-15.238</v>
      </c>
      <c r="P4809" s="14" t="s">
        <v>26000</v>
      </c>
      <c r="Q4809" s="14" t="s">
        <v>26000</v>
      </c>
      <c r="R4809" s="14" t="s">
        <v>26000</v>
      </c>
    </row>
    <row r="4810" spans="1:18" ht="17" customHeight="1" x14ac:dyDescent="0.15">
      <c r="A4810" s="8" t="s">
        <v>26001</v>
      </c>
      <c r="B4810" s="9" t="s">
        <v>26002</v>
      </c>
      <c r="C4810" s="8" t="s">
        <v>26003</v>
      </c>
      <c r="D4810" s="8" t="s">
        <v>26003</v>
      </c>
      <c r="E4810" s="8" t="s">
        <v>26004</v>
      </c>
      <c r="F4810" s="8" t="s">
        <v>26005</v>
      </c>
      <c r="G4810" s="8" t="s">
        <v>26006</v>
      </c>
      <c r="H4810" s="8" t="s">
        <v>25985</v>
      </c>
      <c r="I4810" s="8" t="str">
        <f>HYPERLINK("http://a-me.it/","a-me.it")</f>
        <v>a-me.it</v>
      </c>
      <c r="J4810" s="10">
        <v>107.968</v>
      </c>
      <c r="K4810" s="10">
        <v>107.968</v>
      </c>
      <c r="L4810" s="10">
        <v>29.437999999999999</v>
      </c>
      <c r="M4810" s="10">
        <v>2.391</v>
      </c>
      <c r="N4810" s="10">
        <v>2.391</v>
      </c>
      <c r="O4810" s="10">
        <v>1.3160000000000001</v>
      </c>
      <c r="P4810" s="10">
        <v>1</v>
      </c>
      <c r="Q4810" s="10">
        <v>1</v>
      </c>
      <c r="R4810" s="10">
        <v>1</v>
      </c>
    </row>
    <row r="4811" spans="1:18" ht="17" customHeight="1" x14ac:dyDescent="0.15">
      <c r="A4811" s="11" t="s">
        <v>26007</v>
      </c>
      <c r="B4811" s="1" t="s">
        <v>26008</v>
      </c>
      <c r="C4811" s="11" t="s">
        <v>26009</v>
      </c>
      <c r="D4811" s="11" t="s">
        <v>26009</v>
      </c>
      <c r="E4811" s="11" t="s">
        <v>26010</v>
      </c>
      <c r="F4811" s="11" t="s">
        <v>25983</v>
      </c>
      <c r="G4811" s="11" t="s">
        <v>25945</v>
      </c>
      <c r="H4811" s="11" t="s">
        <v>25946</v>
      </c>
      <c r="I4811" s="11" t="str">
        <f>HYPERLINK("http://www.artigianob2b.it/","www.artigianob2b.it")</f>
        <v>www.artigianob2b.it</v>
      </c>
      <c r="J4811" s="12">
        <v>61.924999999999997</v>
      </c>
      <c r="K4811" s="12">
        <v>61.924999999999997</v>
      </c>
      <c r="L4811" s="13">
        <v>29.209</v>
      </c>
      <c r="M4811" s="12">
        <v>2.8279999999999998</v>
      </c>
      <c r="N4811" s="12">
        <v>2.8279999999999998</v>
      </c>
      <c r="O4811" s="12">
        <v>0.39100000000000001</v>
      </c>
      <c r="P4811" s="12">
        <v>0</v>
      </c>
      <c r="Q4811" s="12">
        <v>0</v>
      </c>
      <c r="R4811" s="14" t="s">
        <v>26000</v>
      </c>
    </row>
    <row r="4812" spans="1:18" ht="43" customHeight="1" x14ac:dyDescent="0.15">
      <c r="A4812" s="8" t="s">
        <v>26011</v>
      </c>
      <c r="B4812" s="9" t="s">
        <v>26012</v>
      </c>
      <c r="C4812" s="8" t="s">
        <v>26013</v>
      </c>
      <c r="D4812" s="8" t="s">
        <v>26013</v>
      </c>
      <c r="E4812" s="8" t="s">
        <v>26014</v>
      </c>
      <c r="F4812" s="8" t="s">
        <v>26015</v>
      </c>
      <c r="G4812" s="8" t="s">
        <v>26016</v>
      </c>
      <c r="H4812" s="8" t="s">
        <v>26017</v>
      </c>
      <c r="I4812" s="8" t="str">
        <f>HYPERLINK("http://ritaglidig.com/","ritaglidig.com")</f>
        <v>ritaglidig.com</v>
      </c>
      <c r="J4812" s="10">
        <v>29.14</v>
      </c>
      <c r="K4812" s="15" t="s">
        <v>26000</v>
      </c>
      <c r="L4812" s="10">
        <v>29.14</v>
      </c>
      <c r="M4812" s="10">
        <v>1.1000000000000001</v>
      </c>
      <c r="N4812" s="15" t="s">
        <v>26000</v>
      </c>
      <c r="O4812" s="10">
        <v>1.1000000000000001</v>
      </c>
      <c r="P4812" s="10">
        <v>0</v>
      </c>
      <c r="Q4812" s="15" t="s">
        <v>26000</v>
      </c>
      <c r="R4812" s="10">
        <v>0</v>
      </c>
    </row>
    <row r="4813" spans="1:18" ht="17" customHeight="1" x14ac:dyDescent="0.15">
      <c r="A4813" s="11" t="s">
        <v>26018</v>
      </c>
      <c r="B4813" s="1" t="s">
        <v>26019</v>
      </c>
      <c r="C4813" s="11" t="s">
        <v>26020</v>
      </c>
      <c r="D4813" s="11" t="s">
        <v>26021</v>
      </c>
      <c r="E4813" s="11" t="s">
        <v>26022</v>
      </c>
      <c r="F4813" s="11" t="s">
        <v>25990</v>
      </c>
      <c r="G4813" s="11" t="s">
        <v>26023</v>
      </c>
      <c r="H4813" s="11" t="s">
        <v>25959</v>
      </c>
      <c r="I4813" s="11" t="str">
        <f>HYPERLINK("http://www.zadir.it/","www.zadir.it")</f>
        <v>www.zadir.it</v>
      </c>
      <c r="J4813" s="12">
        <v>23.681000000000001</v>
      </c>
      <c r="K4813" s="12">
        <v>23.681000000000001</v>
      </c>
      <c r="L4813" s="13">
        <v>28.937999999999999</v>
      </c>
      <c r="M4813" s="12">
        <v>5.9039999999999999</v>
      </c>
      <c r="N4813" s="12">
        <v>5.9039999999999999</v>
      </c>
      <c r="O4813" s="12">
        <v>7.5510000000000002</v>
      </c>
      <c r="P4813" s="14" t="s">
        <v>26000</v>
      </c>
      <c r="Q4813" s="14" t="s">
        <v>26000</v>
      </c>
      <c r="R4813" s="14" t="s">
        <v>26000</v>
      </c>
    </row>
    <row r="4814" spans="1:18" ht="17" customHeight="1" x14ac:dyDescent="0.15">
      <c r="A4814" s="8" t="s">
        <v>26024</v>
      </c>
      <c r="B4814" s="9" t="s">
        <v>26025</v>
      </c>
      <c r="C4814" s="8" t="s">
        <v>26026</v>
      </c>
      <c r="D4814" s="8" t="s">
        <v>26026</v>
      </c>
      <c r="E4814" s="8" t="s">
        <v>26027</v>
      </c>
      <c r="F4814" s="8" t="s">
        <v>25990</v>
      </c>
      <c r="G4814" s="8" t="s">
        <v>26028</v>
      </c>
      <c r="H4814" s="8" t="s">
        <v>25946</v>
      </c>
      <c r="I4814" s="8" t="str">
        <f>HYPERLINK("http://www.sailexp.it/","www.sailexp.it")</f>
        <v>www.sailexp.it</v>
      </c>
      <c r="J4814" s="10">
        <v>588.21299999999997</v>
      </c>
      <c r="K4814" s="10">
        <v>588.21299999999997</v>
      </c>
      <c r="L4814" s="10">
        <v>28.710999999999999</v>
      </c>
      <c r="M4814" s="10">
        <v>1.948</v>
      </c>
      <c r="N4814" s="10">
        <v>1.948</v>
      </c>
      <c r="O4814" s="10">
        <v>1.4890000000000001</v>
      </c>
      <c r="P4814" s="10">
        <v>0</v>
      </c>
      <c r="Q4814" s="10">
        <v>0</v>
      </c>
      <c r="R4814" s="10">
        <v>0</v>
      </c>
    </row>
    <row r="4815" spans="1:18" ht="43" customHeight="1" x14ac:dyDescent="0.15">
      <c r="A4815" s="11" t="s">
        <v>26029</v>
      </c>
      <c r="B4815" s="1" t="s">
        <v>26030</v>
      </c>
      <c r="C4815" s="11" t="s">
        <v>26031</v>
      </c>
      <c r="D4815" s="11" t="s">
        <v>26031</v>
      </c>
      <c r="E4815" s="11" t="s">
        <v>26032</v>
      </c>
      <c r="F4815" s="11" t="s">
        <v>25983</v>
      </c>
      <c r="G4815" s="11" t="s">
        <v>26033</v>
      </c>
      <c r="H4815" s="11" t="s">
        <v>26034</v>
      </c>
      <c r="I4815" s="11" t="str">
        <f>HYPERLINK("http://www.sine-timore.net/","www.sine-timore.net")</f>
        <v>www.sine-timore.net</v>
      </c>
      <c r="J4815" s="12">
        <v>48</v>
      </c>
      <c r="K4815" s="12">
        <v>48</v>
      </c>
      <c r="L4815" s="13">
        <v>28.5</v>
      </c>
      <c r="M4815" s="12">
        <v>1.3620000000000001</v>
      </c>
      <c r="N4815" s="12">
        <v>1.3620000000000001</v>
      </c>
      <c r="O4815" s="12">
        <v>1.06</v>
      </c>
      <c r="P4815" s="12">
        <v>0</v>
      </c>
      <c r="Q4815" s="12">
        <v>0</v>
      </c>
      <c r="R4815" s="14" t="s">
        <v>26000</v>
      </c>
    </row>
    <row r="4816" spans="1:18" ht="17" customHeight="1" x14ac:dyDescent="0.15">
      <c r="A4816" s="8" t="s">
        <v>26035</v>
      </c>
      <c r="B4816" s="9" t="s">
        <v>26036</v>
      </c>
      <c r="C4816" s="8" t="s">
        <v>26037</v>
      </c>
      <c r="D4816" s="8" t="s">
        <v>26037</v>
      </c>
      <c r="E4816" s="8" t="s">
        <v>26038</v>
      </c>
      <c r="F4816" s="8" t="s">
        <v>26039</v>
      </c>
      <c r="G4816" s="8" t="s">
        <v>26040</v>
      </c>
      <c r="H4816" s="8" t="s">
        <v>25959</v>
      </c>
      <c r="I4816" s="8" t="str">
        <f>HYPERLINK("http://www.luckyskins.it/","www.luckyskins.it")</f>
        <v>www.luckyskins.it</v>
      </c>
      <c r="J4816" s="10">
        <v>35.76</v>
      </c>
      <c r="K4816" s="10">
        <v>35.76</v>
      </c>
      <c r="L4816" s="10">
        <v>27.71</v>
      </c>
      <c r="M4816" s="10">
        <v>-21.625</v>
      </c>
      <c r="N4816" s="10">
        <v>-21.625</v>
      </c>
      <c r="O4816" s="10">
        <v>-11.71</v>
      </c>
      <c r="P4816" s="10">
        <v>0</v>
      </c>
      <c r="Q4816" s="10">
        <v>0</v>
      </c>
      <c r="R4816" s="10">
        <v>1</v>
      </c>
    </row>
    <row r="4817" spans="1:18" ht="43" customHeight="1" x14ac:dyDescent="0.15">
      <c r="A4817" s="11" t="s">
        <v>26041</v>
      </c>
      <c r="B4817" s="1" t="s">
        <v>26042</v>
      </c>
      <c r="C4817" s="11" t="s">
        <v>26043</v>
      </c>
      <c r="D4817" s="11" t="s">
        <v>26043</v>
      </c>
      <c r="E4817" s="11" t="s">
        <v>26044</v>
      </c>
      <c r="F4817" s="11" t="s">
        <v>25944</v>
      </c>
      <c r="G4817" s="11" t="s">
        <v>26045</v>
      </c>
      <c r="H4817" s="11" t="s">
        <v>25959</v>
      </c>
      <c r="I4817" s="11" t="str">
        <f>HYPERLINK("http://danzacreazioni.com/","danzacreazioni.com")</f>
        <v>danzacreazioni.com</v>
      </c>
      <c r="J4817" s="12">
        <v>91.756</v>
      </c>
      <c r="K4817" s="12">
        <v>91.756</v>
      </c>
      <c r="L4817" s="13">
        <v>27.513000000000002</v>
      </c>
      <c r="M4817" s="12">
        <v>10.698</v>
      </c>
      <c r="N4817" s="12">
        <v>10.698</v>
      </c>
      <c r="O4817" s="12">
        <v>-33.94</v>
      </c>
      <c r="P4817" s="14" t="s">
        <v>26000</v>
      </c>
      <c r="Q4817" s="14" t="s">
        <v>26000</v>
      </c>
      <c r="R4817" s="12">
        <v>1</v>
      </c>
    </row>
    <row r="4818" spans="1:18" ht="43" customHeight="1" x14ac:dyDescent="0.15">
      <c r="A4818" s="8" t="s">
        <v>26046</v>
      </c>
      <c r="B4818" s="9" t="s">
        <v>26047</v>
      </c>
      <c r="C4818" s="8" t="s">
        <v>26048</v>
      </c>
      <c r="D4818" s="8" t="s">
        <v>26048</v>
      </c>
      <c r="E4818" s="8" t="s">
        <v>26049</v>
      </c>
      <c r="F4818" s="8" t="s">
        <v>26005</v>
      </c>
      <c r="G4818" s="8" t="s">
        <v>26050</v>
      </c>
      <c r="H4818" s="8" t="s">
        <v>26034</v>
      </c>
      <c r="I4818" s="8" t="str">
        <f>HYPERLINK("http://susannablu.com/","susannablu.com")</f>
        <v>susannablu.com</v>
      </c>
      <c r="J4818" s="10">
        <v>154.24299999999999</v>
      </c>
      <c r="K4818" s="10">
        <v>154.24299999999999</v>
      </c>
      <c r="L4818" s="10">
        <v>26.914999999999999</v>
      </c>
      <c r="M4818" s="10">
        <v>1.0649999999999999</v>
      </c>
      <c r="N4818" s="10">
        <v>1.0649999999999999</v>
      </c>
      <c r="O4818" s="10">
        <v>7.101</v>
      </c>
      <c r="P4818" s="10">
        <v>0</v>
      </c>
      <c r="Q4818" s="10">
        <v>0</v>
      </c>
      <c r="R4818" s="10">
        <v>1</v>
      </c>
    </row>
    <row r="4819" spans="1:18" ht="17" customHeight="1" x14ac:dyDescent="0.15">
      <c r="A4819" s="11" t="s">
        <v>26051</v>
      </c>
      <c r="B4819" s="1" t="s">
        <v>26052</v>
      </c>
      <c r="C4819" s="11" t="s">
        <v>26053</v>
      </c>
      <c r="D4819" s="11" t="s">
        <v>26053</v>
      </c>
      <c r="E4819" s="11" t="s">
        <v>26054</v>
      </c>
      <c r="F4819" s="11" t="s">
        <v>26055</v>
      </c>
      <c r="G4819" s="11" t="s">
        <v>26056</v>
      </c>
      <c r="H4819" s="11" t="s">
        <v>26057</v>
      </c>
      <c r="I4819" s="11" t="str">
        <f>HYPERLINK("http://www.clarion-living.com/","www.clarion-living.com")</f>
        <v>www.clarion-living.com</v>
      </c>
      <c r="J4819" s="12">
        <v>1.7170000000000001</v>
      </c>
      <c r="K4819" s="12">
        <v>1.7170000000000001</v>
      </c>
      <c r="L4819" s="13">
        <v>26.698</v>
      </c>
      <c r="M4819" s="12">
        <v>-236.14500000000001</v>
      </c>
      <c r="N4819" s="12">
        <v>-236.14500000000001</v>
      </c>
      <c r="O4819" s="12">
        <v>-71.02</v>
      </c>
      <c r="P4819" s="12">
        <v>0</v>
      </c>
      <c r="Q4819" s="12">
        <v>0</v>
      </c>
      <c r="R4819" s="14" t="s">
        <v>26000</v>
      </c>
    </row>
    <row r="4820" spans="1:18" ht="17" customHeight="1" x14ac:dyDescent="0.15">
      <c r="A4820" s="8" t="s">
        <v>26058</v>
      </c>
      <c r="B4820" s="9" t="s">
        <v>26059</v>
      </c>
      <c r="C4820" s="8" t="s">
        <v>26060</v>
      </c>
      <c r="D4820" s="8" t="s">
        <v>26060</v>
      </c>
      <c r="E4820" s="8" t="s">
        <v>26061</v>
      </c>
      <c r="F4820" s="8" t="s">
        <v>25983</v>
      </c>
      <c r="G4820" s="8" t="s">
        <v>26062</v>
      </c>
      <c r="H4820" s="8" t="s">
        <v>26034</v>
      </c>
      <c r="I4820" s="8" t="str">
        <f>HYPERLINK("http://lnx.belmarconfezioni.it/","lnx.belmarconfezioni.it")</f>
        <v>lnx.belmarconfezioni.it</v>
      </c>
      <c r="J4820" s="10">
        <v>54.311</v>
      </c>
      <c r="K4820" s="10">
        <v>54.311</v>
      </c>
      <c r="L4820" s="10">
        <v>25.923999999999999</v>
      </c>
      <c r="M4820" s="10">
        <v>-4.5519999999999996</v>
      </c>
      <c r="N4820" s="10">
        <v>-4.5519999999999996</v>
      </c>
      <c r="O4820" s="10">
        <v>-16.611999999999998</v>
      </c>
      <c r="P4820" s="10">
        <v>0</v>
      </c>
      <c r="Q4820" s="10">
        <v>0</v>
      </c>
      <c r="R4820" s="10">
        <v>0</v>
      </c>
    </row>
    <row r="4821" spans="1:18" ht="17" customHeight="1" x14ac:dyDescent="0.15">
      <c r="A4821" s="11" t="s">
        <v>26063</v>
      </c>
      <c r="B4821" s="1" t="s">
        <v>26064</v>
      </c>
      <c r="C4821" s="11" t="s">
        <v>26065</v>
      </c>
      <c r="D4821" s="11" t="s">
        <v>26065</v>
      </c>
      <c r="E4821" s="11" t="s">
        <v>26066</v>
      </c>
      <c r="F4821" s="11" t="s">
        <v>26015</v>
      </c>
      <c r="G4821" s="11" t="s">
        <v>25964</v>
      </c>
      <c r="H4821" s="11" t="s">
        <v>25965</v>
      </c>
      <c r="I4821" s="11" t="str">
        <f>HYPERLINK("http://www.macrilia.it/","www.macrilia.it")</f>
        <v>www.macrilia.it</v>
      </c>
      <c r="J4821" s="12">
        <v>29.071999999999999</v>
      </c>
      <c r="K4821" s="12">
        <v>29.071999999999999</v>
      </c>
      <c r="L4821" s="13">
        <v>25.885000000000002</v>
      </c>
      <c r="M4821" s="12">
        <v>-0.496</v>
      </c>
      <c r="N4821" s="12">
        <v>-0.496</v>
      </c>
      <c r="O4821" s="12">
        <v>-2.9529999999999998</v>
      </c>
      <c r="P4821" s="12">
        <v>0</v>
      </c>
      <c r="Q4821" s="12">
        <v>0</v>
      </c>
      <c r="R4821" s="12">
        <v>0</v>
      </c>
    </row>
    <row r="4822" spans="1:18" ht="17" customHeight="1" x14ac:dyDescent="0.15">
      <c r="A4822" s="8" t="s">
        <v>26067</v>
      </c>
      <c r="B4822" s="9" t="s">
        <v>26068</v>
      </c>
      <c r="C4822" s="8" t="s">
        <v>26069</v>
      </c>
      <c r="D4822" s="8" t="s">
        <v>26069</v>
      </c>
      <c r="E4822" s="8" t="s">
        <v>26070</v>
      </c>
      <c r="F4822" s="8" t="s">
        <v>26015</v>
      </c>
      <c r="G4822" s="8" t="s">
        <v>26050</v>
      </c>
      <c r="H4822" s="8" t="s">
        <v>26034</v>
      </c>
      <c r="I4822" s="8" t="str">
        <f>HYPERLINK("http://www.giulianodedanieli.it/","www.giulianodedanieli.it")</f>
        <v>www.giulianodedanieli.it</v>
      </c>
      <c r="J4822" s="10">
        <v>20.919</v>
      </c>
      <c r="K4822" s="10">
        <v>20.919</v>
      </c>
      <c r="L4822" s="10">
        <v>25.32</v>
      </c>
      <c r="M4822" s="10">
        <v>-0.64</v>
      </c>
      <c r="N4822" s="10">
        <v>-0.64</v>
      </c>
      <c r="O4822" s="10">
        <v>-22.853999999999999</v>
      </c>
      <c r="P4822" s="10">
        <v>0</v>
      </c>
      <c r="Q4822" s="10">
        <v>0</v>
      </c>
      <c r="R4822" s="10">
        <v>0</v>
      </c>
    </row>
    <row r="4823" spans="1:18" ht="43" customHeight="1" x14ac:dyDescent="0.15">
      <c r="A4823" s="11" t="s">
        <v>26071</v>
      </c>
      <c r="B4823" s="1" t="s">
        <v>26072</v>
      </c>
      <c r="C4823" s="11" t="s">
        <v>26073</v>
      </c>
      <c r="D4823" s="11" t="s">
        <v>26073</v>
      </c>
      <c r="E4823" s="11" t="s">
        <v>26074</v>
      </c>
      <c r="F4823" s="11" t="s">
        <v>25944</v>
      </c>
      <c r="G4823" s="11" t="s">
        <v>25984</v>
      </c>
      <c r="H4823" s="11" t="s">
        <v>25985</v>
      </c>
      <c r="I4823" s="11" t="str">
        <f>HYPERLINK("http://www.claudiagi.it/","www.claudiagi.it")</f>
        <v>www.claudiagi.it</v>
      </c>
      <c r="J4823" s="12">
        <v>27.286999999999999</v>
      </c>
      <c r="K4823" s="12">
        <v>27.286999999999999</v>
      </c>
      <c r="L4823" s="13">
        <v>24.92</v>
      </c>
      <c r="M4823" s="12">
        <v>1.913</v>
      </c>
      <c r="N4823" s="12">
        <v>1.913</v>
      </c>
      <c r="O4823" s="12">
        <v>3.1040000000000001</v>
      </c>
      <c r="P4823" s="12">
        <v>0</v>
      </c>
      <c r="Q4823" s="12">
        <v>0</v>
      </c>
      <c r="R4823" s="12">
        <v>0</v>
      </c>
    </row>
    <row r="4824" spans="1:18" ht="17" customHeight="1" x14ac:dyDescent="0.15">
      <c r="A4824" s="8" t="s">
        <v>26075</v>
      </c>
      <c r="B4824" s="9" t="s">
        <v>26076</v>
      </c>
      <c r="C4824" s="8" t="s">
        <v>26077</v>
      </c>
      <c r="D4824" s="8" t="s">
        <v>26077</v>
      </c>
      <c r="E4824" s="8" t="s">
        <v>26078</v>
      </c>
      <c r="F4824" s="8" t="s">
        <v>25944</v>
      </c>
      <c r="G4824" s="8" t="s">
        <v>26079</v>
      </c>
      <c r="H4824" s="8" t="s">
        <v>26057</v>
      </c>
      <c r="I4824" s="8" t="str">
        <f>HYPERLINK("http://amisuraduomosartoria.it/","amisuraduomosartoria.it")</f>
        <v>amisuraduomosartoria.it</v>
      </c>
      <c r="J4824" s="10">
        <v>19.358000000000001</v>
      </c>
      <c r="K4824" s="10">
        <v>19.358000000000001</v>
      </c>
      <c r="L4824" s="10">
        <v>24.859000000000002</v>
      </c>
      <c r="M4824" s="10">
        <v>-5.2759999999999998</v>
      </c>
      <c r="N4824" s="10">
        <v>-5.2759999999999998</v>
      </c>
      <c r="O4824" s="10">
        <v>-4.8390000000000004</v>
      </c>
      <c r="P4824" s="10">
        <v>0</v>
      </c>
      <c r="Q4824" s="10">
        <v>0</v>
      </c>
      <c r="R4824" s="10">
        <v>1</v>
      </c>
    </row>
    <row r="4825" spans="1:18" ht="29.5" customHeight="1" x14ac:dyDescent="0.15">
      <c r="A4825" s="11" t="s">
        <v>26080</v>
      </c>
      <c r="B4825" s="1" t="s">
        <v>26081</v>
      </c>
      <c r="C4825" s="11" t="s">
        <v>26082</v>
      </c>
      <c r="D4825" s="11" t="s">
        <v>26082</v>
      </c>
      <c r="E4825" s="11" t="s">
        <v>26083</v>
      </c>
      <c r="F4825" s="11" t="s">
        <v>26015</v>
      </c>
      <c r="G4825" s="11" t="s">
        <v>26045</v>
      </c>
      <c r="H4825" s="11" t="s">
        <v>25959</v>
      </c>
      <c r="I4825" s="11" t="str">
        <f>HYPERLINK("http://www.mychoicebags.it/","www.mychoicebags.it")</f>
        <v>www.mychoicebags.it</v>
      </c>
      <c r="J4825" s="12">
        <v>0</v>
      </c>
      <c r="K4825" s="12">
        <v>0</v>
      </c>
      <c r="L4825" s="13">
        <v>24.614000000000001</v>
      </c>
      <c r="M4825" s="12">
        <v>44.728000000000002</v>
      </c>
      <c r="N4825" s="12">
        <v>44.728000000000002</v>
      </c>
      <c r="O4825" s="12">
        <v>-162.43</v>
      </c>
      <c r="P4825" s="12">
        <v>0</v>
      </c>
      <c r="Q4825" s="12">
        <v>0</v>
      </c>
      <c r="R4825" s="12">
        <v>0</v>
      </c>
    </row>
    <row r="4826" spans="1:18" ht="29.5" customHeight="1" x14ac:dyDescent="0.15">
      <c r="A4826" s="8" t="s">
        <v>26084</v>
      </c>
      <c r="B4826" s="9" t="s">
        <v>26085</v>
      </c>
      <c r="C4826" s="8" t="s">
        <v>26086</v>
      </c>
      <c r="D4826" s="8" t="s">
        <v>26086</v>
      </c>
      <c r="E4826" s="8" t="s">
        <v>26087</v>
      </c>
      <c r="F4826" s="8" t="s">
        <v>25957</v>
      </c>
      <c r="G4826" s="8" t="s">
        <v>25964</v>
      </c>
      <c r="H4826" s="8" t="s">
        <v>25965</v>
      </c>
      <c r="I4826" s="8" t="str">
        <f>HYPERLINK("http://valentinailardi.it/","valentinailardi.it")</f>
        <v>valentinailardi.it</v>
      </c>
      <c r="J4826" s="10">
        <v>95.497</v>
      </c>
      <c r="K4826" s="10">
        <v>95.497</v>
      </c>
      <c r="L4826" s="10">
        <v>23.411999999999999</v>
      </c>
      <c r="M4826" s="10">
        <v>1.847</v>
      </c>
      <c r="N4826" s="10">
        <v>1.847</v>
      </c>
      <c r="O4826" s="10">
        <v>-46.215000000000003</v>
      </c>
      <c r="P4826" s="10">
        <v>0</v>
      </c>
      <c r="Q4826" s="10">
        <v>0</v>
      </c>
      <c r="R4826" s="10">
        <v>0</v>
      </c>
    </row>
    <row r="4827" spans="1:18" ht="17" customHeight="1" x14ac:dyDescent="0.15">
      <c r="A4827" s="11" t="s">
        <v>26088</v>
      </c>
      <c r="B4827" s="1" t="s">
        <v>26089</v>
      </c>
      <c r="C4827" s="11" t="s">
        <v>26090</v>
      </c>
      <c r="D4827" s="11" t="s">
        <v>26090</v>
      </c>
      <c r="E4827" s="11" t="s">
        <v>26091</v>
      </c>
      <c r="F4827" s="11" t="s">
        <v>25976</v>
      </c>
      <c r="G4827" s="11" t="s">
        <v>26062</v>
      </c>
      <c r="H4827" s="11" t="s">
        <v>26034</v>
      </c>
      <c r="I4827" s="11" t="str">
        <f>HYPERLINK("http://tirogiro.it/","tirogiro.it")</f>
        <v>tirogiro.it</v>
      </c>
      <c r="J4827" s="12">
        <v>23.181999999999999</v>
      </c>
      <c r="K4827" s="12">
        <v>23.181999999999999</v>
      </c>
      <c r="L4827" s="13">
        <v>23.219000000000001</v>
      </c>
      <c r="M4827" s="12">
        <v>-38.912999999999997</v>
      </c>
      <c r="N4827" s="12">
        <v>-38.912999999999997</v>
      </c>
      <c r="O4827" s="12">
        <v>-20.928000000000001</v>
      </c>
      <c r="P4827" s="14" t="s">
        <v>26000</v>
      </c>
      <c r="Q4827" s="14" t="s">
        <v>26000</v>
      </c>
      <c r="R4827" s="14" t="s">
        <v>26000</v>
      </c>
    </row>
    <row r="4828" spans="1:18" ht="29.5" customHeight="1" x14ac:dyDescent="0.15">
      <c r="A4828" s="8" t="s">
        <v>26092</v>
      </c>
      <c r="B4828" s="9" t="s">
        <v>26093</v>
      </c>
      <c r="C4828" s="8" t="s">
        <v>26094</v>
      </c>
      <c r="D4828" s="8" t="s">
        <v>26094</v>
      </c>
      <c r="E4828" s="8" t="s">
        <v>26095</v>
      </c>
      <c r="F4828" s="8" t="s">
        <v>26015</v>
      </c>
      <c r="G4828" s="8" t="s">
        <v>25998</v>
      </c>
      <c r="H4828" s="8" t="s">
        <v>25999</v>
      </c>
      <c r="I4828" s="8" t="str">
        <f>HYPERLINK("http://zerolabfirenze.it/","zerolabfirenze.it")</f>
        <v>zerolabfirenze.it</v>
      </c>
      <c r="J4828" s="10">
        <v>110.241</v>
      </c>
      <c r="K4828" s="10">
        <v>110.241</v>
      </c>
      <c r="L4828" s="10">
        <v>23.042000000000002</v>
      </c>
      <c r="M4828" s="10">
        <v>-12.077</v>
      </c>
      <c r="N4828" s="10">
        <v>-12.077</v>
      </c>
      <c r="O4828" s="10">
        <v>-24.459</v>
      </c>
      <c r="P4828" s="15" t="s">
        <v>26000</v>
      </c>
      <c r="Q4828" s="15" t="s">
        <v>26000</v>
      </c>
      <c r="R4828" s="15" t="s">
        <v>26000</v>
      </c>
    </row>
    <row r="4829" spans="1:18" ht="17" customHeight="1" x14ac:dyDescent="0.15">
      <c r="A4829" s="11" t="s">
        <v>26096</v>
      </c>
      <c r="B4829" s="1" t="s">
        <v>26097</v>
      </c>
      <c r="C4829" s="11" t="s">
        <v>26098</v>
      </c>
      <c r="D4829" s="11" t="s">
        <v>26098</v>
      </c>
      <c r="E4829" s="11" t="s">
        <v>26099</v>
      </c>
      <c r="F4829" s="11" t="s">
        <v>25990</v>
      </c>
      <c r="G4829" s="11" t="s">
        <v>26100</v>
      </c>
      <c r="H4829" s="11" t="s">
        <v>26101</v>
      </c>
      <c r="I4829" s="11" t="str">
        <f>HYPERLINK("http://mauriziotonti.it/","mauriziotonti.it")</f>
        <v>mauriziotonti.it</v>
      </c>
      <c r="J4829" s="12">
        <v>32.055</v>
      </c>
      <c r="K4829" s="12">
        <v>32.055</v>
      </c>
      <c r="L4829" s="13">
        <v>22.577999999999999</v>
      </c>
      <c r="M4829" s="12">
        <v>2.3199999999999998</v>
      </c>
      <c r="N4829" s="12">
        <v>2.3199999999999998</v>
      </c>
      <c r="O4829" s="12">
        <v>1.502</v>
      </c>
      <c r="P4829" s="14" t="s">
        <v>26000</v>
      </c>
      <c r="Q4829" s="14" t="s">
        <v>26000</v>
      </c>
      <c r="R4829" s="12">
        <v>0</v>
      </c>
    </row>
    <row r="4830" spans="1:18" ht="68" customHeight="1" x14ac:dyDescent="0.15">
      <c r="A4830" s="8" t="s">
        <v>26102</v>
      </c>
      <c r="B4830" s="9" t="s">
        <v>26103</v>
      </c>
      <c r="C4830" s="8" t="s">
        <v>26104</v>
      </c>
      <c r="D4830" s="8" t="s">
        <v>26104</v>
      </c>
      <c r="E4830" s="8" t="s">
        <v>26105</v>
      </c>
      <c r="F4830" s="8" t="s">
        <v>26106</v>
      </c>
      <c r="G4830" s="8" t="s">
        <v>26107</v>
      </c>
      <c r="H4830" s="8" t="s">
        <v>25971</v>
      </c>
      <c r="I4830" s="8" t="str">
        <f>HYPERLINK("http://www.maglificiosmac.it/","www.maglificiosmac.it")</f>
        <v>www.maglificiosmac.it</v>
      </c>
      <c r="J4830" s="10">
        <v>40.924999999999997</v>
      </c>
      <c r="K4830" s="10">
        <v>40.924999999999997</v>
      </c>
      <c r="L4830" s="10">
        <v>22.477</v>
      </c>
      <c r="M4830" s="10">
        <v>0.219</v>
      </c>
      <c r="N4830" s="10">
        <v>0.219</v>
      </c>
      <c r="O4830" s="10">
        <v>-29.667999999999999</v>
      </c>
      <c r="P4830" s="15" t="s">
        <v>26000</v>
      </c>
      <c r="Q4830" s="15" t="s">
        <v>26000</v>
      </c>
      <c r="R4830" s="10">
        <v>1</v>
      </c>
    </row>
    <row r="4831" spans="1:18" ht="68" customHeight="1" x14ac:dyDescent="0.15">
      <c r="A4831" s="11" t="s">
        <v>26108</v>
      </c>
      <c r="B4831" s="1" t="s">
        <v>26109</v>
      </c>
      <c r="C4831" s="11" t="s">
        <v>26110</v>
      </c>
      <c r="D4831" s="11" t="s">
        <v>26110</v>
      </c>
      <c r="E4831" s="11" t="s">
        <v>26111</v>
      </c>
      <c r="F4831" s="11" t="s">
        <v>25976</v>
      </c>
      <c r="G4831" s="11" t="s">
        <v>26045</v>
      </c>
      <c r="H4831" s="11" t="s">
        <v>25959</v>
      </c>
      <c r="I4831" s="11" t="str">
        <f>HYPERLINK("http://www.bottegacapri.it/","www.bottegacapri.it")</f>
        <v>www.bottegacapri.it</v>
      </c>
      <c r="J4831" s="12">
        <v>16.254999999999999</v>
      </c>
      <c r="K4831" s="12">
        <v>16.254999999999999</v>
      </c>
      <c r="L4831" s="13">
        <v>22.268999999999998</v>
      </c>
      <c r="M4831" s="12">
        <v>11.871</v>
      </c>
      <c r="N4831" s="12">
        <v>11.871</v>
      </c>
      <c r="O4831" s="12">
        <v>23.65</v>
      </c>
      <c r="P4831" s="14" t="s">
        <v>26000</v>
      </c>
      <c r="Q4831" s="14" t="s">
        <v>26000</v>
      </c>
      <c r="R4831" s="14" t="s">
        <v>26000</v>
      </c>
    </row>
    <row r="4832" spans="1:18" ht="17" customHeight="1" x14ac:dyDescent="0.15">
      <c r="A4832" s="8" t="s">
        <v>26112</v>
      </c>
      <c r="B4832" s="9" t="s">
        <v>26113</v>
      </c>
      <c r="C4832" s="8" t="s">
        <v>26114</v>
      </c>
      <c r="D4832" s="8" t="s">
        <v>26114</v>
      </c>
      <c r="E4832" s="8" t="s">
        <v>26115</v>
      </c>
      <c r="F4832" s="8" t="s">
        <v>26055</v>
      </c>
      <c r="G4832" s="8" t="s">
        <v>26116</v>
      </c>
      <c r="H4832" s="8" t="s">
        <v>26017</v>
      </c>
      <c r="I4832" s="8" t="s">
        <v>26117</v>
      </c>
      <c r="J4832" s="10">
        <v>98.316999999999993</v>
      </c>
      <c r="K4832" s="10">
        <v>98.316999999999993</v>
      </c>
      <c r="L4832" s="10">
        <v>21.983000000000001</v>
      </c>
      <c r="M4832" s="10">
        <v>0.27300000000000002</v>
      </c>
      <c r="N4832" s="10">
        <v>0.27300000000000002</v>
      </c>
      <c r="O4832" s="10">
        <v>0.875</v>
      </c>
      <c r="P4832" s="10">
        <v>0</v>
      </c>
      <c r="Q4832" s="10">
        <v>0</v>
      </c>
      <c r="R4832" s="15" t="s">
        <v>26000</v>
      </c>
    </row>
    <row r="4833" spans="1:18" ht="43" customHeight="1" x14ac:dyDescent="0.15">
      <c r="A4833" s="11" t="s">
        <v>26118</v>
      </c>
      <c r="B4833" s="1" t="s">
        <v>26119</v>
      </c>
      <c r="C4833" s="11" t="s">
        <v>26120</v>
      </c>
      <c r="D4833" s="11" t="s">
        <v>26120</v>
      </c>
      <c r="E4833" s="11" t="s">
        <v>26121</v>
      </c>
      <c r="F4833" s="11" t="s">
        <v>26122</v>
      </c>
      <c r="G4833" s="11" t="s">
        <v>26123</v>
      </c>
      <c r="H4833" s="11" t="s">
        <v>26124</v>
      </c>
      <c r="I4833" s="11" t="str">
        <f>HYPERLINK("http://www.isolanadoc.com/","www.isolanadoc.com")</f>
        <v>www.isolanadoc.com</v>
      </c>
      <c r="J4833" s="12">
        <v>110.41200000000001</v>
      </c>
      <c r="K4833" s="12">
        <v>110.41200000000001</v>
      </c>
      <c r="L4833" s="13">
        <v>20.96</v>
      </c>
      <c r="M4833" s="12">
        <v>9.0329999999999995</v>
      </c>
      <c r="N4833" s="12">
        <v>9.0329999999999995</v>
      </c>
      <c r="O4833" s="12">
        <v>-10.170999999999999</v>
      </c>
      <c r="P4833" s="14" t="s">
        <v>26125</v>
      </c>
      <c r="Q4833" s="14" t="s">
        <v>26125</v>
      </c>
      <c r="R4833" s="12">
        <v>0</v>
      </c>
    </row>
    <row r="4834" spans="1:18" ht="17" customHeight="1" x14ac:dyDescent="0.15">
      <c r="A4834" s="8" t="s">
        <v>26126</v>
      </c>
      <c r="B4834" s="9" t="s">
        <v>26127</v>
      </c>
      <c r="C4834" s="8" t="s">
        <v>26128</v>
      </c>
      <c r="D4834" s="8" t="s">
        <v>26128</v>
      </c>
      <c r="E4834" s="8" t="s">
        <v>26129</v>
      </c>
      <c r="F4834" s="8" t="s">
        <v>26130</v>
      </c>
      <c r="G4834" s="8" t="s">
        <v>26131</v>
      </c>
      <c r="H4834" s="8" t="s">
        <v>26132</v>
      </c>
      <c r="I4834" s="8" t="str">
        <f>HYPERLINK("http://www.gingerlily.it/","www.gingerlily.it")</f>
        <v>www.gingerlily.it</v>
      </c>
      <c r="J4834" s="10">
        <v>20.210999999999999</v>
      </c>
      <c r="K4834" s="15" t="s">
        <v>26125</v>
      </c>
      <c r="L4834" s="10">
        <v>20.210999999999999</v>
      </c>
      <c r="M4834" s="10">
        <v>-24.286999999999999</v>
      </c>
      <c r="N4834" s="15" t="s">
        <v>26125</v>
      </c>
      <c r="O4834" s="10">
        <v>-24.286999999999999</v>
      </c>
      <c r="P4834" s="15" t="s">
        <v>26125</v>
      </c>
      <c r="Q4834" s="15" t="s">
        <v>26125</v>
      </c>
      <c r="R4834" s="15" t="s">
        <v>26125</v>
      </c>
    </row>
    <row r="4835" spans="1:18" ht="29.5" customHeight="1" x14ac:dyDescent="0.15">
      <c r="A4835" s="11" t="s">
        <v>26133</v>
      </c>
      <c r="B4835" s="1" t="s">
        <v>26134</v>
      </c>
      <c r="C4835" s="11" t="s">
        <v>26135</v>
      </c>
      <c r="D4835" s="11" t="s">
        <v>26135</v>
      </c>
      <c r="E4835" s="11" t="s">
        <v>26136</v>
      </c>
      <c r="F4835" s="11" t="s">
        <v>26137</v>
      </c>
      <c r="G4835" s="11" t="s">
        <v>26138</v>
      </c>
      <c r="H4835" s="11" t="s">
        <v>26139</v>
      </c>
      <c r="I4835" s="11" t="str">
        <f>HYPERLINK("http://www.comunitadisestu.it/","www.comunitadisestu.it")</f>
        <v>www.comunitadisestu.it</v>
      </c>
      <c r="J4835" s="12">
        <v>27.07</v>
      </c>
      <c r="K4835" s="12">
        <v>27.07</v>
      </c>
      <c r="L4835" s="13">
        <v>20.119</v>
      </c>
      <c r="M4835" s="12">
        <v>-16.678999999999998</v>
      </c>
      <c r="N4835" s="12">
        <v>-16.678999999999998</v>
      </c>
      <c r="O4835" s="12">
        <v>-32.622</v>
      </c>
      <c r="P4835" s="12">
        <v>3</v>
      </c>
      <c r="Q4835" s="12">
        <v>3</v>
      </c>
      <c r="R4835" s="12">
        <v>3</v>
      </c>
    </row>
    <row r="4836" spans="1:18" ht="17" customHeight="1" x14ac:dyDescent="0.15">
      <c r="A4836" s="8" t="s">
        <v>26140</v>
      </c>
      <c r="B4836" s="9" t="s">
        <v>26141</v>
      </c>
      <c r="C4836" s="8" t="s">
        <v>26142</v>
      </c>
      <c r="D4836" s="8" t="s">
        <v>26142</v>
      </c>
      <c r="E4836" s="8" t="s">
        <v>26143</v>
      </c>
      <c r="F4836" s="8" t="s">
        <v>26144</v>
      </c>
      <c r="G4836" s="8" t="s">
        <v>26145</v>
      </c>
      <c r="H4836" s="8" t="s">
        <v>26146</v>
      </c>
      <c r="I4836" s="8" t="str">
        <f>HYPERLINK("http://www.tempiodigiano.org/","www.tempiodigiano.org")</f>
        <v>www.tempiodigiano.org</v>
      </c>
      <c r="J4836" s="10">
        <v>18.920999999999999</v>
      </c>
      <c r="K4836" s="10">
        <v>18.920999999999999</v>
      </c>
      <c r="L4836" s="10">
        <v>20.071999999999999</v>
      </c>
      <c r="M4836" s="10">
        <v>-2.1909999999999998</v>
      </c>
      <c r="N4836" s="10">
        <v>-2.1909999999999998</v>
      </c>
      <c r="O4836" s="10">
        <v>2.1509999999999998</v>
      </c>
      <c r="P4836" s="10">
        <v>1</v>
      </c>
      <c r="Q4836" s="10">
        <v>1</v>
      </c>
      <c r="R4836" s="10">
        <v>1</v>
      </c>
    </row>
    <row r="4837" spans="1:18" ht="17" customHeight="1" x14ac:dyDescent="0.15">
      <c r="A4837" s="11" t="s">
        <v>26147</v>
      </c>
      <c r="B4837" s="1" t="s">
        <v>26148</v>
      </c>
      <c r="C4837" s="11" t="s">
        <v>26149</v>
      </c>
      <c r="D4837" s="11" t="s">
        <v>26149</v>
      </c>
      <c r="E4837" s="11" t="s">
        <v>26150</v>
      </c>
      <c r="F4837" s="11" t="s">
        <v>26151</v>
      </c>
      <c r="G4837" s="11" t="s">
        <v>26152</v>
      </c>
      <c r="H4837" s="11" t="s">
        <v>26153</v>
      </c>
      <c r="I4837" s="11" t="str">
        <f>HYPERLINK("http://www.car-lo.it/","www.car-lo.it")</f>
        <v>www.car-lo.it</v>
      </c>
      <c r="J4837" s="12">
        <v>11.904999999999999</v>
      </c>
      <c r="K4837" s="12">
        <v>11.904999999999999</v>
      </c>
      <c r="L4837" s="13">
        <v>20.13</v>
      </c>
      <c r="M4837" s="12">
        <v>-18.318000000000001</v>
      </c>
      <c r="N4837" s="12">
        <v>-18.318000000000001</v>
      </c>
      <c r="O4837" s="12">
        <v>-18.675999999999998</v>
      </c>
      <c r="P4837" s="14" t="s">
        <v>26125</v>
      </c>
      <c r="Q4837" s="14" t="s">
        <v>26125</v>
      </c>
      <c r="R4837" s="14" t="s">
        <v>26125</v>
      </c>
    </row>
    <row r="4838" spans="1:18" ht="17" customHeight="1" x14ac:dyDescent="0.15">
      <c r="A4838" s="8" t="s">
        <v>26154</v>
      </c>
      <c r="B4838" s="9" t="s">
        <v>26155</v>
      </c>
      <c r="C4838" s="8" t="s">
        <v>26156</v>
      </c>
      <c r="D4838" s="8" t="s">
        <v>26156</v>
      </c>
      <c r="E4838" s="8" t="s">
        <v>26157</v>
      </c>
      <c r="F4838" s="8" t="s">
        <v>26158</v>
      </c>
      <c r="G4838" s="8" t="s">
        <v>26159</v>
      </c>
      <c r="H4838" s="8" t="s">
        <v>26160</v>
      </c>
      <c r="I4838" s="8" t="str">
        <f>HYPERLINK("http://www.mimubimbo.it/","www.mimubimbo.it")</f>
        <v>www.mimubimbo.it</v>
      </c>
      <c r="J4838" s="10">
        <v>16.413</v>
      </c>
      <c r="K4838" s="10">
        <v>16.413</v>
      </c>
      <c r="L4838" s="10">
        <v>19.654</v>
      </c>
      <c r="M4838" s="10">
        <v>-38.159999999999997</v>
      </c>
      <c r="N4838" s="10">
        <v>-38.159999999999997</v>
      </c>
      <c r="O4838" s="10">
        <v>-2.5979999999999999</v>
      </c>
      <c r="P4838" s="10">
        <v>2</v>
      </c>
      <c r="Q4838" s="10">
        <v>2</v>
      </c>
      <c r="R4838" s="10">
        <v>0</v>
      </c>
    </row>
    <row r="4839" spans="1:18" ht="17" customHeight="1" x14ac:dyDescent="0.15">
      <c r="A4839" s="11" t="s">
        <v>26161</v>
      </c>
      <c r="B4839" s="1" t="s">
        <v>26162</v>
      </c>
      <c r="C4839" s="11" t="s">
        <v>26163</v>
      </c>
      <c r="D4839" s="11" t="s">
        <v>26163</v>
      </c>
      <c r="E4839" s="11" t="s">
        <v>26164</v>
      </c>
      <c r="F4839" s="11" t="s">
        <v>26122</v>
      </c>
      <c r="G4839" s="11" t="s">
        <v>26165</v>
      </c>
      <c r="H4839" s="11" t="s">
        <v>26166</v>
      </c>
      <c r="I4839" s="11" t="str">
        <f>HYPERLINK("http://www.maglificionobile.it/","www.maglificionobile.it")</f>
        <v>www.maglificionobile.it</v>
      </c>
      <c r="J4839" s="12">
        <v>11.554</v>
      </c>
      <c r="K4839" s="12">
        <v>11.554</v>
      </c>
      <c r="L4839" s="13">
        <v>19.116</v>
      </c>
      <c r="M4839" s="12">
        <v>-3.2</v>
      </c>
      <c r="N4839" s="12">
        <v>-3.2</v>
      </c>
      <c r="O4839" s="12">
        <v>6.2640000000000002</v>
      </c>
      <c r="P4839" s="12">
        <v>0</v>
      </c>
      <c r="Q4839" s="12">
        <v>0</v>
      </c>
      <c r="R4839" s="12">
        <v>0</v>
      </c>
    </row>
    <row r="4840" spans="1:18" ht="17" customHeight="1" x14ac:dyDescent="0.15">
      <c r="A4840" s="8" t="s">
        <v>26167</v>
      </c>
      <c r="B4840" s="9" t="s">
        <v>26168</v>
      </c>
      <c r="C4840" s="8" t="s">
        <v>26169</v>
      </c>
      <c r="D4840" s="8" t="s">
        <v>26169</v>
      </c>
      <c r="E4840" s="8" t="s">
        <v>26170</v>
      </c>
      <c r="F4840" s="8" t="s">
        <v>26171</v>
      </c>
      <c r="G4840" s="8" t="s">
        <v>26159</v>
      </c>
      <c r="H4840" s="8" t="s">
        <v>26160</v>
      </c>
      <c r="I4840" s="8" t="str">
        <f>HYPERLINK("http://maglow.it/","maglow.it")</f>
        <v>maglow.it</v>
      </c>
      <c r="J4840" s="10">
        <v>9.2270000000000003</v>
      </c>
      <c r="K4840" s="10">
        <v>9.2270000000000003</v>
      </c>
      <c r="L4840" s="10">
        <v>19.047999999999998</v>
      </c>
      <c r="M4840" s="10">
        <v>6.0000000000000001E-3</v>
      </c>
      <c r="N4840" s="10">
        <v>6.0000000000000001E-3</v>
      </c>
      <c r="O4840" s="10">
        <v>-14.917</v>
      </c>
      <c r="P4840" s="10">
        <v>0</v>
      </c>
      <c r="Q4840" s="10">
        <v>0</v>
      </c>
      <c r="R4840" s="10">
        <v>0</v>
      </c>
    </row>
    <row r="4841" spans="1:18" ht="17" customHeight="1" x14ac:dyDescent="0.15">
      <c r="A4841" s="11" t="s">
        <v>26172</v>
      </c>
      <c r="B4841" s="1" t="s">
        <v>26173</v>
      </c>
      <c r="C4841" s="11" t="s">
        <v>26174</v>
      </c>
      <c r="D4841" s="11" t="s">
        <v>26174</v>
      </c>
      <c r="E4841" s="11" t="s">
        <v>26175</v>
      </c>
      <c r="F4841" s="11" t="s">
        <v>26176</v>
      </c>
      <c r="G4841" s="11" t="s">
        <v>26152</v>
      </c>
      <c r="H4841" s="11" t="s">
        <v>26153</v>
      </c>
      <c r="I4841" s="11" t="str">
        <f>HYPERLINK("http://www.tractshop.it/","www.tractshop.it")</f>
        <v>www.tractshop.it</v>
      </c>
      <c r="J4841" s="12">
        <v>3.7559999999999998</v>
      </c>
      <c r="K4841" s="12">
        <v>3.7559999999999998</v>
      </c>
      <c r="L4841" s="13">
        <v>18.724</v>
      </c>
      <c r="M4841" s="12">
        <v>-17.576000000000001</v>
      </c>
      <c r="N4841" s="12">
        <v>-17.576000000000001</v>
      </c>
      <c r="O4841" s="12">
        <v>-5.0350000000000001</v>
      </c>
      <c r="P4841" s="14" t="s">
        <v>26125</v>
      </c>
      <c r="Q4841" s="14" t="s">
        <v>26125</v>
      </c>
      <c r="R4841" s="14" t="s">
        <v>26125</v>
      </c>
    </row>
    <row r="4842" spans="1:18" ht="17" customHeight="1" x14ac:dyDescent="0.15">
      <c r="A4842" s="8" t="s">
        <v>26177</v>
      </c>
      <c r="B4842" s="9" t="s">
        <v>26178</v>
      </c>
      <c r="C4842" s="8" t="s">
        <v>26179</v>
      </c>
      <c r="D4842" s="8" t="s">
        <v>26179</v>
      </c>
      <c r="E4842" s="8" t="s">
        <v>26180</v>
      </c>
      <c r="F4842" s="8" t="s">
        <v>26181</v>
      </c>
      <c r="G4842" s="8" t="s">
        <v>26182</v>
      </c>
      <c r="H4842" s="8" t="s">
        <v>26183</v>
      </c>
      <c r="I4842" s="8" t="str">
        <f>HYPERLINK("http://www.dyfc6.com/","www.dyfc6.com")</f>
        <v>www.dyfc6.com</v>
      </c>
      <c r="J4842" s="10">
        <v>46.332000000000001</v>
      </c>
      <c r="K4842" s="10">
        <v>46.332000000000001</v>
      </c>
      <c r="L4842" s="10">
        <v>18.446999999999999</v>
      </c>
      <c r="M4842" s="10">
        <v>8.92</v>
      </c>
      <c r="N4842" s="10">
        <v>8.92</v>
      </c>
      <c r="O4842" s="10">
        <v>2.1619999999999999</v>
      </c>
      <c r="P4842" s="10">
        <v>0</v>
      </c>
      <c r="Q4842" s="10">
        <v>0</v>
      </c>
      <c r="R4842" s="10">
        <v>0</v>
      </c>
    </row>
    <row r="4843" spans="1:18" ht="29.5" customHeight="1" x14ac:dyDescent="0.15">
      <c r="A4843" s="11" t="s">
        <v>26184</v>
      </c>
      <c r="B4843" s="1" t="s">
        <v>26185</v>
      </c>
      <c r="C4843" s="11" t="s">
        <v>26186</v>
      </c>
      <c r="D4843" s="11" t="s">
        <v>26186</v>
      </c>
      <c r="E4843" s="11" t="s">
        <v>26187</v>
      </c>
      <c r="F4843" s="11" t="s">
        <v>26144</v>
      </c>
      <c r="G4843" s="11" t="s">
        <v>26188</v>
      </c>
      <c r="H4843" s="11" t="s">
        <v>26189</v>
      </c>
      <c r="I4843" s="11" t="str">
        <f>HYPERLINK("http://www.gevopel.com/","www.gevopel.com")</f>
        <v>www.gevopel.com</v>
      </c>
      <c r="J4843" s="12">
        <v>18</v>
      </c>
      <c r="K4843" s="12">
        <v>18</v>
      </c>
      <c r="L4843" s="13">
        <v>18</v>
      </c>
      <c r="M4843" s="12">
        <v>14.138</v>
      </c>
      <c r="N4843" s="12">
        <v>14.138</v>
      </c>
      <c r="O4843" s="12">
        <v>75.001000000000005</v>
      </c>
      <c r="P4843" s="12">
        <v>0</v>
      </c>
      <c r="Q4843" s="12">
        <v>0</v>
      </c>
      <c r="R4843" s="12">
        <v>0</v>
      </c>
    </row>
    <row r="4844" spans="1:18" ht="17" customHeight="1" x14ac:dyDescent="0.15">
      <c r="A4844" s="8" t="s">
        <v>26190</v>
      </c>
      <c r="B4844" s="9" t="s">
        <v>26191</v>
      </c>
      <c r="C4844" s="8" t="s">
        <v>26192</v>
      </c>
      <c r="D4844" s="8" t="s">
        <v>26192</v>
      </c>
      <c r="E4844" s="8" t="s">
        <v>26193</v>
      </c>
      <c r="F4844" s="8" t="s">
        <v>26194</v>
      </c>
      <c r="G4844" s="8" t="s">
        <v>26195</v>
      </c>
      <c r="H4844" s="8" t="s">
        <v>26189</v>
      </c>
      <c r="I4844" s="8" t="str">
        <f>HYPERLINK("http://www.moalto.com/","www.moalto.com")</f>
        <v>www.moalto.com</v>
      </c>
      <c r="J4844" s="10">
        <v>20.545999999999999</v>
      </c>
      <c r="K4844" s="10">
        <v>20.545999999999999</v>
      </c>
      <c r="L4844" s="10">
        <v>17.754000000000001</v>
      </c>
      <c r="M4844" s="10">
        <v>-22.866</v>
      </c>
      <c r="N4844" s="10">
        <v>-22.866</v>
      </c>
      <c r="O4844" s="10">
        <v>-80.352999999999994</v>
      </c>
      <c r="P4844" s="10">
        <v>0</v>
      </c>
      <c r="Q4844" s="10">
        <v>0</v>
      </c>
      <c r="R4844" s="10">
        <v>0</v>
      </c>
    </row>
    <row r="4845" spans="1:18" ht="17" customHeight="1" x14ac:dyDescent="0.15">
      <c r="A4845" s="11" t="s">
        <v>26196</v>
      </c>
      <c r="B4845" s="1" t="s">
        <v>26197</v>
      </c>
      <c r="C4845" s="11" t="s">
        <v>26198</v>
      </c>
      <c r="D4845" s="11" t="s">
        <v>26198</v>
      </c>
      <c r="E4845" s="11" t="s">
        <v>26199</v>
      </c>
      <c r="F4845" s="11" t="s">
        <v>26176</v>
      </c>
      <c r="G4845" s="11" t="s">
        <v>26200</v>
      </c>
      <c r="H4845" s="11" t="s">
        <v>26189</v>
      </c>
      <c r="I4845" s="11" t="str">
        <f>HYPERLINK("http://jaggy.it/","jaggy.it")</f>
        <v>jaggy.it</v>
      </c>
      <c r="J4845" s="12">
        <v>304.68900000000002</v>
      </c>
      <c r="K4845" s="12">
        <v>304.68900000000002</v>
      </c>
      <c r="L4845" s="13">
        <v>17.654</v>
      </c>
      <c r="M4845" s="12">
        <v>6.01</v>
      </c>
      <c r="N4845" s="12">
        <v>6.01</v>
      </c>
      <c r="O4845" s="12">
        <v>-1.6459999999999999</v>
      </c>
      <c r="P4845" s="12">
        <v>4</v>
      </c>
      <c r="Q4845" s="12">
        <v>4</v>
      </c>
      <c r="R4845" s="12">
        <v>0</v>
      </c>
    </row>
    <row r="4846" spans="1:18" ht="17" customHeight="1" x14ac:dyDescent="0.15">
      <c r="A4846" s="8" t="s">
        <v>26201</v>
      </c>
      <c r="B4846" s="9" t="s">
        <v>26202</v>
      </c>
      <c r="C4846" s="8" t="s">
        <v>26203</v>
      </c>
      <c r="D4846" s="8" t="s">
        <v>26203</v>
      </c>
      <c r="E4846" s="8" t="s">
        <v>26204</v>
      </c>
      <c r="F4846" s="8" t="s">
        <v>26205</v>
      </c>
      <c r="G4846" s="8" t="s">
        <v>26206</v>
      </c>
      <c r="H4846" s="8" t="s">
        <v>26207</v>
      </c>
      <c r="I4846" s="8" t="str">
        <f>HYPERLINK("http://byherth.com/","byherth.com")</f>
        <v>byherth.com</v>
      </c>
      <c r="J4846" s="10">
        <v>18.109000000000002</v>
      </c>
      <c r="K4846" s="10">
        <v>18.109000000000002</v>
      </c>
      <c r="L4846" s="10">
        <v>17.326000000000001</v>
      </c>
      <c r="M4846" s="10">
        <v>28.888999999999999</v>
      </c>
      <c r="N4846" s="10">
        <v>28.888999999999999</v>
      </c>
      <c r="O4846" s="10">
        <v>-0.73799999999999999</v>
      </c>
      <c r="P4846" s="15" t="s">
        <v>26125</v>
      </c>
      <c r="Q4846" s="15" t="s">
        <v>26125</v>
      </c>
      <c r="R4846" s="10">
        <v>0</v>
      </c>
    </row>
    <row r="4847" spans="1:18" ht="17" customHeight="1" x14ac:dyDescent="0.15">
      <c r="A4847" s="11" t="s">
        <v>26208</v>
      </c>
      <c r="B4847" s="1" t="s">
        <v>26209</v>
      </c>
      <c r="C4847" s="11" t="s">
        <v>26210</v>
      </c>
      <c r="D4847" s="11" t="s">
        <v>26210</v>
      </c>
      <c r="E4847" s="11" t="s">
        <v>26211</v>
      </c>
      <c r="F4847" s="11" t="s">
        <v>26171</v>
      </c>
      <c r="G4847" s="11" t="s">
        <v>26212</v>
      </c>
      <c r="H4847" s="11" t="s">
        <v>26207</v>
      </c>
      <c r="I4847" s="11" t="str">
        <f>HYPERLINK("http://www.lalusac.it/","www.lalusac.it")</f>
        <v>www.lalusac.it</v>
      </c>
      <c r="J4847" s="12">
        <v>13.641</v>
      </c>
      <c r="K4847" s="12">
        <v>13.641</v>
      </c>
      <c r="L4847" s="13">
        <v>17.238</v>
      </c>
      <c r="M4847" s="12">
        <v>1.0289999999999999</v>
      </c>
      <c r="N4847" s="12">
        <v>1.0289999999999999</v>
      </c>
      <c r="O4847" s="12">
        <v>0.61099999999999999</v>
      </c>
      <c r="P4847" s="12">
        <v>0</v>
      </c>
      <c r="Q4847" s="12">
        <v>0</v>
      </c>
      <c r="R4847" s="12">
        <v>0</v>
      </c>
    </row>
    <row r="4848" spans="1:18" ht="17" customHeight="1" x14ac:dyDescent="0.15">
      <c r="A4848" s="8" t="s">
        <v>26213</v>
      </c>
      <c r="B4848" s="9" t="s">
        <v>26214</v>
      </c>
      <c r="C4848" s="8" t="s">
        <v>26215</v>
      </c>
      <c r="D4848" s="8" t="s">
        <v>26215</v>
      </c>
      <c r="E4848" s="8" t="s">
        <v>26216</v>
      </c>
      <c r="F4848" s="8" t="s">
        <v>26144</v>
      </c>
      <c r="G4848" s="8" t="s">
        <v>26217</v>
      </c>
      <c r="H4848" s="8" t="s">
        <v>26218</v>
      </c>
      <c r="I4848" s="8" t="str">
        <f>HYPERLINK("http://www.guanaco.it/","http://www.guanaco.it")</f>
        <v>http://www.guanaco.it</v>
      </c>
      <c r="J4848" s="10">
        <v>17.064</v>
      </c>
      <c r="K4848" s="15" t="s">
        <v>26125</v>
      </c>
      <c r="L4848" s="10">
        <v>17.064</v>
      </c>
      <c r="M4848" s="10">
        <v>-0.73799999999999999</v>
      </c>
      <c r="N4848" s="15" t="s">
        <v>26125</v>
      </c>
      <c r="O4848" s="10">
        <v>-0.73799999999999999</v>
      </c>
      <c r="P4848" s="10">
        <v>0</v>
      </c>
      <c r="Q4848" s="15" t="s">
        <v>26125</v>
      </c>
      <c r="R4848" s="10">
        <v>0</v>
      </c>
    </row>
    <row r="4849" spans="1:18" ht="17" customHeight="1" x14ac:dyDescent="0.15">
      <c r="A4849" s="11" t="s">
        <v>26219</v>
      </c>
      <c r="B4849" s="1" t="s">
        <v>26220</v>
      </c>
      <c r="C4849" s="11" t="s">
        <v>26221</v>
      </c>
      <c r="D4849" s="11" t="s">
        <v>26221</v>
      </c>
      <c r="E4849" s="11" t="s">
        <v>26222</v>
      </c>
      <c r="F4849" s="11" t="s">
        <v>26158</v>
      </c>
      <c r="G4849" s="11" t="s">
        <v>26223</v>
      </c>
      <c r="H4849" s="11" t="s">
        <v>26218</v>
      </c>
      <c r="I4849" s="11" t="str">
        <f>HYPERLINK("http://valcashmere.com/","valcashmere.com")</f>
        <v>valcashmere.com</v>
      </c>
      <c r="J4849" s="12">
        <v>179.57900000000001</v>
      </c>
      <c r="K4849" s="12">
        <v>179.57900000000001</v>
      </c>
      <c r="L4849" s="13">
        <v>17.006</v>
      </c>
      <c r="M4849" s="12">
        <v>49.87</v>
      </c>
      <c r="N4849" s="12">
        <v>49.87</v>
      </c>
      <c r="O4849" s="12">
        <v>-12.632999999999999</v>
      </c>
      <c r="P4849" s="14" t="s">
        <v>26125</v>
      </c>
      <c r="Q4849" s="14" t="s">
        <v>26125</v>
      </c>
      <c r="R4849" s="14" t="s">
        <v>26125</v>
      </c>
    </row>
    <row r="4850" spans="1:18" ht="17" customHeight="1" x14ac:dyDescent="0.15">
      <c r="A4850" s="8" t="s">
        <v>26224</v>
      </c>
      <c r="B4850" s="9" t="s">
        <v>26225</v>
      </c>
      <c r="C4850" s="8" t="s">
        <v>26226</v>
      </c>
      <c r="D4850" s="8" t="s">
        <v>26226</v>
      </c>
      <c r="E4850" s="8" t="s">
        <v>26227</v>
      </c>
      <c r="F4850" s="8" t="s">
        <v>26158</v>
      </c>
      <c r="G4850" s="8" t="s">
        <v>26228</v>
      </c>
      <c r="H4850" s="8" t="s">
        <v>26229</v>
      </c>
      <c r="I4850" s="8" t="str">
        <f>HYPERLINK("http://www.palingen.it/","www.palingen.it")</f>
        <v>www.palingen.it</v>
      </c>
      <c r="J4850" s="10">
        <v>33.823</v>
      </c>
      <c r="K4850" s="10">
        <v>33.823</v>
      </c>
      <c r="L4850" s="10">
        <v>16.913</v>
      </c>
      <c r="M4850" s="10">
        <v>0.318</v>
      </c>
      <c r="N4850" s="10">
        <v>0.318</v>
      </c>
      <c r="O4850" s="10">
        <v>-9.0730000000000004</v>
      </c>
      <c r="P4850" s="10">
        <v>5</v>
      </c>
      <c r="Q4850" s="10">
        <v>5</v>
      </c>
      <c r="R4850" s="10">
        <v>2</v>
      </c>
    </row>
    <row r="4851" spans="1:18" ht="43" customHeight="1" x14ac:dyDescent="0.15">
      <c r="A4851" s="11" t="s">
        <v>26230</v>
      </c>
      <c r="B4851" s="1" t="s">
        <v>26231</v>
      </c>
      <c r="C4851" s="11" t="s">
        <v>26232</v>
      </c>
      <c r="D4851" s="11" t="s">
        <v>26232</v>
      </c>
      <c r="E4851" s="11" t="s">
        <v>26233</v>
      </c>
      <c r="F4851" s="11" t="s">
        <v>26194</v>
      </c>
      <c r="G4851" s="11" t="s">
        <v>26234</v>
      </c>
      <c r="H4851" s="11" t="s">
        <v>26229</v>
      </c>
      <c r="I4851" s="11" t="str">
        <f>HYPERLINK("http://www.laboratoriocavallaccio.it/","www.laboratoriocavallaccio.it")</f>
        <v>www.laboratoriocavallaccio.it</v>
      </c>
      <c r="J4851" s="12">
        <v>16.88</v>
      </c>
      <c r="K4851" s="14" t="s">
        <v>26125</v>
      </c>
      <c r="L4851" s="13">
        <v>16.88</v>
      </c>
      <c r="M4851" s="12">
        <v>6.53</v>
      </c>
      <c r="N4851" s="14" t="s">
        <v>26125</v>
      </c>
      <c r="O4851" s="12">
        <v>6.53</v>
      </c>
      <c r="P4851" s="12">
        <v>0</v>
      </c>
      <c r="Q4851" s="14" t="s">
        <v>26125</v>
      </c>
      <c r="R4851" s="12">
        <v>0</v>
      </c>
    </row>
    <row r="4852" spans="1:18" ht="17" customHeight="1" x14ac:dyDescent="0.15">
      <c r="A4852" s="8" t="s">
        <v>26235</v>
      </c>
      <c r="B4852" s="9" t="s">
        <v>26236</v>
      </c>
      <c r="C4852" s="8" t="s">
        <v>26237</v>
      </c>
      <c r="D4852" s="8" t="s">
        <v>26237</v>
      </c>
      <c r="E4852" s="8" t="s">
        <v>26238</v>
      </c>
      <c r="F4852" s="8" t="s">
        <v>26176</v>
      </c>
      <c r="G4852" s="8" t="s">
        <v>26239</v>
      </c>
      <c r="H4852" s="8" t="s">
        <v>26207</v>
      </c>
      <c r="I4852" s="8" t="str">
        <f>HYPERLINK("http://www.janefashion.it/","www.janefashion.it")</f>
        <v>www.janefashion.it</v>
      </c>
      <c r="J4852" s="10">
        <v>9.8279999999999994</v>
      </c>
      <c r="K4852" s="10">
        <v>9.8279999999999994</v>
      </c>
      <c r="L4852" s="10">
        <v>16.933</v>
      </c>
      <c r="M4852" s="10">
        <v>-19.254999999999999</v>
      </c>
      <c r="N4852" s="10">
        <v>-19.254999999999999</v>
      </c>
      <c r="O4852" s="10">
        <v>-9.0969999999999995</v>
      </c>
      <c r="P4852" s="10">
        <v>0</v>
      </c>
      <c r="Q4852" s="10">
        <v>0</v>
      </c>
      <c r="R4852" s="10">
        <v>0</v>
      </c>
    </row>
    <row r="4853" spans="1:18" ht="17" customHeight="1" x14ac:dyDescent="0.15">
      <c r="A4853" s="11" t="s">
        <v>26240</v>
      </c>
      <c r="B4853" s="1" t="s">
        <v>26241</v>
      </c>
      <c r="C4853" s="11" t="s">
        <v>26242</v>
      </c>
      <c r="D4853" s="11" t="s">
        <v>26242</v>
      </c>
      <c r="E4853" s="11" t="s">
        <v>26243</v>
      </c>
      <c r="F4853" s="11" t="s">
        <v>26176</v>
      </c>
      <c r="G4853" s="11" t="s">
        <v>26244</v>
      </c>
      <c r="H4853" s="11" t="s">
        <v>26207</v>
      </c>
      <c r="I4853" s="11" t="str">
        <f>HYPERLINK("http://www.garman.it/","www.garman.it")</f>
        <v>www.garman.it</v>
      </c>
      <c r="J4853" s="12">
        <v>35.466999999999999</v>
      </c>
      <c r="K4853" s="12">
        <v>35.466999999999999</v>
      </c>
      <c r="L4853" s="13">
        <v>15.961</v>
      </c>
      <c r="M4853" s="12">
        <v>-50.343000000000004</v>
      </c>
      <c r="N4853" s="12">
        <v>-50.343000000000004</v>
      </c>
      <c r="O4853" s="12">
        <v>-112.416</v>
      </c>
      <c r="P4853" s="12">
        <v>0</v>
      </c>
      <c r="Q4853" s="12">
        <v>0</v>
      </c>
      <c r="R4853" s="12">
        <v>0</v>
      </c>
    </row>
    <row r="4854" spans="1:18" ht="17" customHeight="1" x14ac:dyDescent="0.15">
      <c r="A4854" s="8" t="s">
        <v>26245</v>
      </c>
      <c r="B4854" s="9" t="s">
        <v>26246</v>
      </c>
      <c r="C4854" s="8" t="s">
        <v>26247</v>
      </c>
      <c r="D4854" s="8" t="s">
        <v>26248</v>
      </c>
      <c r="E4854" s="8" t="s">
        <v>26249</v>
      </c>
      <c r="F4854" s="8" t="s">
        <v>26122</v>
      </c>
      <c r="G4854" s="8" t="s">
        <v>26206</v>
      </c>
      <c r="H4854" s="8" t="s">
        <v>26207</v>
      </c>
      <c r="I4854" s="8" t="str">
        <f>HYPERLINK("http://www.maracaibofashion.biz/","www.maracaibofashion.biz")</f>
        <v>www.maracaibofashion.biz</v>
      </c>
      <c r="J4854" s="10">
        <v>16</v>
      </c>
      <c r="K4854" s="10">
        <v>16</v>
      </c>
      <c r="L4854" s="10">
        <v>16</v>
      </c>
      <c r="M4854" s="10">
        <v>8.6240000000000006</v>
      </c>
      <c r="N4854" s="10">
        <v>8.6240000000000006</v>
      </c>
      <c r="O4854" s="10">
        <v>-26.774000000000001</v>
      </c>
      <c r="P4854" s="10">
        <v>0</v>
      </c>
      <c r="Q4854" s="10">
        <v>0</v>
      </c>
      <c r="R4854" s="10">
        <v>0</v>
      </c>
    </row>
    <row r="4855" spans="1:18" ht="29.5" customHeight="1" x14ac:dyDescent="0.15">
      <c r="A4855" s="11" t="s">
        <v>26250</v>
      </c>
      <c r="B4855" s="1" t="s">
        <v>26251</v>
      </c>
      <c r="C4855" s="11" t="s">
        <v>26252</v>
      </c>
      <c r="D4855" s="11" t="s">
        <v>26252</v>
      </c>
      <c r="E4855" s="11" t="s">
        <v>26253</v>
      </c>
      <c r="F4855" s="11" t="s">
        <v>26254</v>
      </c>
      <c r="G4855" s="11" t="s">
        <v>26255</v>
      </c>
      <c r="H4855" s="11" t="s">
        <v>26132</v>
      </c>
      <c r="I4855" s="11" t="str">
        <f>HYPERLINK("http://www.elinsmoda.it/","www.elinsmoda.it")</f>
        <v>www.elinsmoda.it</v>
      </c>
      <c r="J4855" s="12">
        <v>16.018000000000001</v>
      </c>
      <c r="K4855" s="12">
        <v>16.018000000000001</v>
      </c>
      <c r="L4855" s="13">
        <v>15.923</v>
      </c>
      <c r="M4855" s="12">
        <v>-9.2010000000000005</v>
      </c>
      <c r="N4855" s="12">
        <v>-9.2010000000000005</v>
      </c>
      <c r="O4855" s="12">
        <v>-8.5079999999999991</v>
      </c>
      <c r="P4855" s="12">
        <v>0</v>
      </c>
      <c r="Q4855" s="12">
        <v>0</v>
      </c>
      <c r="R4855" s="12">
        <v>0</v>
      </c>
    </row>
    <row r="4856" spans="1:18" ht="17" customHeight="1" x14ac:dyDescent="0.15">
      <c r="A4856" s="8" t="s">
        <v>26256</v>
      </c>
      <c r="B4856" s="9" t="s">
        <v>26257</v>
      </c>
      <c r="C4856" s="8" t="s">
        <v>26258</v>
      </c>
      <c r="D4856" s="8" t="s">
        <v>26258</v>
      </c>
      <c r="E4856" s="8" t="s">
        <v>26259</v>
      </c>
      <c r="F4856" s="8" t="s">
        <v>26176</v>
      </c>
      <c r="G4856" s="8" t="s">
        <v>26188</v>
      </c>
      <c r="H4856" s="8" t="s">
        <v>26189</v>
      </c>
      <c r="I4856" s="8" t="str">
        <f>HYPERLINK("http://www.dposrl.it/","www.dposrl.it")</f>
        <v>www.dposrl.it</v>
      </c>
      <c r="J4856" s="10">
        <v>7.1470000000000002</v>
      </c>
      <c r="K4856" s="10">
        <v>7.1470000000000002</v>
      </c>
      <c r="L4856" s="10">
        <v>15.472</v>
      </c>
      <c r="M4856" s="10">
        <v>-215.98099999999999</v>
      </c>
      <c r="N4856" s="10">
        <v>-215.98099999999999</v>
      </c>
      <c r="O4856" s="10">
        <v>-13.17</v>
      </c>
      <c r="P4856" s="10">
        <v>0</v>
      </c>
      <c r="Q4856" s="10">
        <v>0</v>
      </c>
      <c r="R4856" s="10">
        <v>0</v>
      </c>
    </row>
    <row r="4857" spans="1:18" ht="17" customHeight="1" x14ac:dyDescent="0.15">
      <c r="A4857" s="11" t="s">
        <v>26260</v>
      </c>
      <c r="B4857" s="1" t="s">
        <v>26261</v>
      </c>
      <c r="C4857" s="11" t="s">
        <v>26262</v>
      </c>
      <c r="D4857" s="11" t="s">
        <v>26262</v>
      </c>
      <c r="E4857" s="11" t="s">
        <v>26263</v>
      </c>
      <c r="F4857" s="11" t="s">
        <v>26264</v>
      </c>
      <c r="G4857" s="11" t="s">
        <v>26265</v>
      </c>
      <c r="H4857" s="11" t="s">
        <v>26218</v>
      </c>
      <c r="I4857" s="11" t="str">
        <f>HYPERLINK("http://www.stazione-centrale.it/","www.stazione-centrale.it")</f>
        <v>www.stazione-centrale.it</v>
      </c>
      <c r="J4857" s="12">
        <v>68.134</v>
      </c>
      <c r="K4857" s="12">
        <v>68.134</v>
      </c>
      <c r="L4857" s="13">
        <v>15.446</v>
      </c>
      <c r="M4857" s="12">
        <v>5.7629999999999999</v>
      </c>
      <c r="N4857" s="12">
        <v>5.7629999999999999</v>
      </c>
      <c r="O4857" s="12">
        <v>0.39200000000000002</v>
      </c>
      <c r="P4857" s="14" t="s">
        <v>26125</v>
      </c>
      <c r="Q4857" s="14" t="s">
        <v>26125</v>
      </c>
      <c r="R4857" s="14" t="s">
        <v>26125</v>
      </c>
    </row>
    <row r="4858" spans="1:18" ht="43" customHeight="1" x14ac:dyDescent="0.15">
      <c r="A4858" s="8" t="s">
        <v>26266</v>
      </c>
      <c r="B4858" s="9" t="s">
        <v>26267</v>
      </c>
      <c r="C4858" s="8" t="s">
        <v>26268</v>
      </c>
      <c r="D4858" s="8" t="s">
        <v>26268</v>
      </c>
      <c r="E4858" s="8" t="s">
        <v>26269</v>
      </c>
      <c r="F4858" s="8" t="s">
        <v>26270</v>
      </c>
      <c r="G4858" s="8" t="s">
        <v>26271</v>
      </c>
      <c r="H4858" s="8" t="s">
        <v>26272</v>
      </c>
      <c r="I4858" s="8" t="str">
        <f>HYPERLINK("http://www.reborninitaly.it/","www.reborninitaly.it")</f>
        <v>www.reborninitaly.it</v>
      </c>
      <c r="J4858" s="10">
        <v>15.077999999999999</v>
      </c>
      <c r="K4858" s="15" t="s">
        <v>26125</v>
      </c>
      <c r="L4858" s="10">
        <v>15.077999999999999</v>
      </c>
      <c r="M4858" s="10">
        <v>0.97899999999999998</v>
      </c>
      <c r="N4858" s="15" t="s">
        <v>26125</v>
      </c>
      <c r="O4858" s="10">
        <v>0.97899999999999998</v>
      </c>
      <c r="P4858" s="10">
        <v>1</v>
      </c>
      <c r="Q4858" s="15" t="s">
        <v>26125</v>
      </c>
      <c r="R4858" s="10">
        <v>1</v>
      </c>
    </row>
    <row r="4859" spans="1:18" ht="17" customHeight="1" x14ac:dyDescent="0.15">
      <c r="A4859" s="11" t="s">
        <v>26273</v>
      </c>
      <c r="B4859" s="1" t="s">
        <v>26274</v>
      </c>
      <c r="C4859" s="11" t="s">
        <v>26275</v>
      </c>
      <c r="D4859" s="11" t="s">
        <v>26275</v>
      </c>
      <c r="E4859" s="11" t="s">
        <v>26276</v>
      </c>
      <c r="F4859" s="11" t="s">
        <v>26130</v>
      </c>
      <c r="G4859" s="11" t="s">
        <v>26277</v>
      </c>
      <c r="H4859" s="11" t="s">
        <v>26124</v>
      </c>
      <c r="I4859" s="11" t="str">
        <f>HYPERLINK("http://www.suahru.com/","www.suahru.com")</f>
        <v>www.suahru.com</v>
      </c>
      <c r="J4859" s="12">
        <v>7.4</v>
      </c>
      <c r="K4859" s="12">
        <v>7.4</v>
      </c>
      <c r="L4859" s="13">
        <v>15.138</v>
      </c>
      <c r="M4859" s="12">
        <v>-33.131</v>
      </c>
      <c r="N4859" s="12">
        <v>-33.131</v>
      </c>
      <c r="O4859" s="12">
        <v>-29.503</v>
      </c>
      <c r="P4859" s="12">
        <v>0</v>
      </c>
      <c r="Q4859" s="12">
        <v>0</v>
      </c>
      <c r="R4859" s="12">
        <v>0</v>
      </c>
    </row>
    <row r="4860" spans="1:18" ht="29.5" customHeight="1" x14ac:dyDescent="0.15">
      <c r="A4860" s="8" t="s">
        <v>26278</v>
      </c>
      <c r="B4860" s="9" t="s">
        <v>26279</v>
      </c>
      <c r="C4860" s="8" t="s">
        <v>26280</v>
      </c>
      <c r="D4860" s="8" t="s">
        <v>26281</v>
      </c>
      <c r="E4860" s="8" t="s">
        <v>26282</v>
      </c>
      <c r="F4860" s="8" t="s">
        <v>26171</v>
      </c>
      <c r="G4860" s="8" t="s">
        <v>26195</v>
      </c>
      <c r="H4860" s="8" t="s">
        <v>26189</v>
      </c>
      <c r="I4860" s="8" t="str">
        <f>HYPERLINK("http://www.marchionnicollezioni.it/","www.marchionnicollezioni.it")</f>
        <v>www.marchionnicollezioni.it</v>
      </c>
      <c r="J4860" s="10">
        <v>15</v>
      </c>
      <c r="K4860" s="10">
        <v>15</v>
      </c>
      <c r="L4860" s="10">
        <v>15</v>
      </c>
      <c r="M4860" s="10">
        <v>4.7249999999999996</v>
      </c>
      <c r="N4860" s="10">
        <v>4.7249999999999996</v>
      </c>
      <c r="O4860" s="10">
        <v>0.55200000000000005</v>
      </c>
      <c r="P4860" s="10">
        <v>0</v>
      </c>
      <c r="Q4860" s="10">
        <v>0</v>
      </c>
      <c r="R4860" s="10">
        <v>0</v>
      </c>
    </row>
    <row r="4861" spans="1:18" ht="17" customHeight="1" x14ac:dyDescent="0.15">
      <c r="A4861" s="11" t="s">
        <v>26283</v>
      </c>
      <c r="B4861" s="1" t="s">
        <v>26284</v>
      </c>
      <c r="C4861" s="11" t="s">
        <v>26285</v>
      </c>
      <c r="D4861" s="11" t="s">
        <v>26285</v>
      </c>
      <c r="E4861" s="11" t="s">
        <v>26286</v>
      </c>
      <c r="F4861" s="11" t="s">
        <v>26130</v>
      </c>
      <c r="G4861" s="11" t="s">
        <v>26287</v>
      </c>
      <c r="H4861" s="11" t="s">
        <v>26153</v>
      </c>
      <c r="I4861" s="11" t="str">
        <f>HYPERLINK("http://www.letsholdingspa.com/","www.letsholdingspa.com")</f>
        <v>www.letsholdingspa.com</v>
      </c>
      <c r="J4861" s="12">
        <v>0</v>
      </c>
      <c r="K4861" s="12">
        <v>0</v>
      </c>
      <c r="L4861" s="13">
        <v>15</v>
      </c>
      <c r="M4861" s="12">
        <v>-1692.79</v>
      </c>
      <c r="N4861" s="12">
        <v>-1692.79</v>
      </c>
      <c r="O4861" s="12">
        <v>-449.43799999999999</v>
      </c>
      <c r="P4861" s="12">
        <v>6</v>
      </c>
      <c r="Q4861" s="12">
        <v>6</v>
      </c>
      <c r="R4861" s="12">
        <v>1</v>
      </c>
    </row>
    <row r="4862" spans="1:18" ht="17" customHeight="1" x14ac:dyDescent="0.15">
      <c r="A4862" s="8" t="s">
        <v>26288</v>
      </c>
      <c r="B4862" s="9" t="s">
        <v>26289</v>
      </c>
      <c r="C4862" s="8" t="s">
        <v>26290</v>
      </c>
      <c r="D4862" s="8" t="s">
        <v>26290</v>
      </c>
      <c r="E4862" s="8" t="s">
        <v>26291</v>
      </c>
      <c r="F4862" s="8" t="s">
        <v>26194</v>
      </c>
      <c r="G4862" s="8" t="s">
        <v>26292</v>
      </c>
      <c r="H4862" s="8" t="s">
        <v>26293</v>
      </c>
      <c r="I4862" s="8" t="str">
        <f>HYPERLINK("http://www.poker-shoes.it/","www.poker-shoes.it")</f>
        <v>www.poker-shoes.it</v>
      </c>
      <c r="J4862" s="10">
        <v>14.58</v>
      </c>
      <c r="K4862" s="10">
        <v>14.58</v>
      </c>
      <c r="L4862" s="10">
        <v>14.865</v>
      </c>
      <c r="M4862" s="10">
        <v>-10.882999999999999</v>
      </c>
      <c r="N4862" s="10">
        <v>-10.882999999999999</v>
      </c>
      <c r="O4862" s="10">
        <v>-12.414</v>
      </c>
      <c r="P4862" s="10">
        <v>0</v>
      </c>
      <c r="Q4862" s="10">
        <v>0</v>
      </c>
      <c r="R4862" s="10">
        <v>0</v>
      </c>
    </row>
    <row r="4863" spans="1:18" ht="29.5" customHeight="1" x14ac:dyDescent="0.15">
      <c r="A4863" s="11" t="s">
        <v>26294</v>
      </c>
      <c r="B4863" s="1" t="s">
        <v>26295</v>
      </c>
      <c r="C4863" s="11" t="s">
        <v>26296</v>
      </c>
      <c r="D4863" s="11" t="s">
        <v>26296</v>
      </c>
      <c r="E4863" s="11" t="s">
        <v>26297</v>
      </c>
      <c r="F4863" s="11" t="s">
        <v>26298</v>
      </c>
      <c r="G4863" s="11" t="s">
        <v>26299</v>
      </c>
      <c r="H4863" s="11" t="s">
        <v>26160</v>
      </c>
      <c r="I4863" s="11" t="str">
        <f>HYPERLINK("http://anticatessituraveneta.com/","anticatessituraveneta.com")</f>
        <v>anticatessituraveneta.com</v>
      </c>
      <c r="J4863" s="12">
        <v>9.577</v>
      </c>
      <c r="K4863" s="12">
        <v>9.577</v>
      </c>
      <c r="L4863" s="13">
        <v>14.762</v>
      </c>
      <c r="M4863" s="12">
        <v>-4.3819999999999997</v>
      </c>
      <c r="N4863" s="12">
        <v>-4.3819999999999997</v>
      </c>
      <c r="O4863" s="12">
        <v>2.6989999999999998</v>
      </c>
      <c r="P4863" s="12">
        <v>0</v>
      </c>
      <c r="Q4863" s="12">
        <v>0</v>
      </c>
      <c r="R4863" s="12">
        <v>0</v>
      </c>
    </row>
    <row r="4864" spans="1:18" ht="17" customHeight="1" x14ac:dyDescent="0.15">
      <c r="A4864" s="8" t="s">
        <v>26300</v>
      </c>
      <c r="B4864" s="9" t="s">
        <v>26301</v>
      </c>
      <c r="C4864" s="8" t="s">
        <v>26302</v>
      </c>
      <c r="D4864" s="8" t="s">
        <v>26302</v>
      </c>
      <c r="E4864" s="8" t="s">
        <v>26303</v>
      </c>
      <c r="F4864" s="8" t="s">
        <v>26176</v>
      </c>
      <c r="G4864" s="8" t="s">
        <v>26304</v>
      </c>
      <c r="H4864" s="8" t="s">
        <v>26293</v>
      </c>
      <c r="I4864" s="8" t="str">
        <f>HYPERLINK("http://www.aedgroup.com/","www.aedgroup.com")</f>
        <v>www.aedgroup.com</v>
      </c>
      <c r="J4864" s="10">
        <v>134</v>
      </c>
      <c r="K4864" s="10">
        <v>134</v>
      </c>
      <c r="L4864" s="10">
        <v>14.5</v>
      </c>
      <c r="M4864" s="10">
        <v>4.4119999999999999</v>
      </c>
      <c r="N4864" s="10">
        <v>4.4119999999999999</v>
      </c>
      <c r="O4864" s="10">
        <v>3.16</v>
      </c>
      <c r="P4864" s="10">
        <v>1</v>
      </c>
      <c r="Q4864" s="10">
        <v>1</v>
      </c>
      <c r="R4864" s="10">
        <v>1</v>
      </c>
    </row>
    <row r="4865" spans="1:18" ht="17" customHeight="1" x14ac:dyDescent="0.15">
      <c r="A4865" s="11" t="s">
        <v>26305</v>
      </c>
      <c r="B4865" s="1" t="s">
        <v>26306</v>
      </c>
      <c r="C4865" s="11" t="s">
        <v>26307</v>
      </c>
      <c r="D4865" s="11" t="s">
        <v>26307</v>
      </c>
      <c r="E4865" s="11" t="s">
        <v>26308</v>
      </c>
      <c r="F4865" s="11" t="s">
        <v>26309</v>
      </c>
      <c r="G4865" s="11" t="s">
        <v>26310</v>
      </c>
      <c r="H4865" s="11" t="s">
        <v>26311</v>
      </c>
      <c r="I4865" s="11" t="str">
        <f>HYPERLINK("http://www.edoardoelorenzo.it/","www.edoardoelorenzo.it")</f>
        <v>www.edoardoelorenzo.it</v>
      </c>
      <c r="J4865" s="12">
        <v>14.497999999999999</v>
      </c>
      <c r="K4865" s="14" t="s">
        <v>26312</v>
      </c>
      <c r="L4865" s="13">
        <v>14.497999999999999</v>
      </c>
      <c r="M4865" s="12">
        <v>-1441.223</v>
      </c>
      <c r="N4865" s="14" t="s">
        <v>26312</v>
      </c>
      <c r="O4865" s="12">
        <v>-1441.223</v>
      </c>
      <c r="P4865" s="12">
        <v>1</v>
      </c>
      <c r="Q4865" s="14" t="s">
        <v>26312</v>
      </c>
      <c r="R4865" s="12">
        <v>1</v>
      </c>
    </row>
    <row r="4866" spans="1:18" ht="17" customHeight="1" x14ac:dyDescent="0.15">
      <c r="A4866" s="8" t="s">
        <v>26313</v>
      </c>
      <c r="B4866" s="9" t="s">
        <v>26314</v>
      </c>
      <c r="C4866" s="8" t="s">
        <v>26315</v>
      </c>
      <c r="D4866" s="8" t="s">
        <v>26315</v>
      </c>
      <c r="E4866" s="8" t="s">
        <v>26316</v>
      </c>
      <c r="F4866" s="8" t="s">
        <v>26317</v>
      </c>
      <c r="G4866" s="8" t="s">
        <v>26318</v>
      </c>
      <c r="H4866" s="8" t="s">
        <v>26319</v>
      </c>
      <c r="I4866" s="8" t="str">
        <f>HYPERLINK("http://www.tutah.it/","www.tutah.it")</f>
        <v>www.tutah.it</v>
      </c>
      <c r="J4866" s="10">
        <v>4.3440000000000003</v>
      </c>
      <c r="K4866" s="10">
        <v>0</v>
      </c>
      <c r="L4866" s="10">
        <v>14.454000000000001</v>
      </c>
      <c r="M4866" s="10">
        <v>-3.49</v>
      </c>
      <c r="N4866" s="10">
        <v>-9.6479999999999997</v>
      </c>
      <c r="O4866" s="10">
        <v>7.4960000000000004</v>
      </c>
      <c r="P4866" s="10">
        <v>0</v>
      </c>
      <c r="Q4866" s="10">
        <v>0</v>
      </c>
      <c r="R4866" s="10">
        <v>0</v>
      </c>
    </row>
    <row r="4867" spans="1:18" ht="55.75" customHeight="1" x14ac:dyDescent="0.15">
      <c r="A4867" s="11" t="s">
        <v>26320</v>
      </c>
      <c r="B4867" s="1" t="s">
        <v>26321</v>
      </c>
      <c r="C4867" s="11" t="s">
        <v>26322</v>
      </c>
      <c r="D4867" s="11" t="s">
        <v>26322</v>
      </c>
      <c r="E4867" s="11" t="s">
        <v>26323</v>
      </c>
      <c r="F4867" s="11" t="s">
        <v>26324</v>
      </c>
      <c r="G4867" s="11" t="s">
        <v>26325</v>
      </c>
      <c r="H4867" s="11" t="s">
        <v>26326</v>
      </c>
      <c r="I4867" s="11" t="str">
        <f>HYPERLINK("http://www.eneacashmere.it/","www.eneacashmere.it")</f>
        <v>www.eneacashmere.it</v>
      </c>
      <c r="J4867" s="12">
        <v>73.447999999999993</v>
      </c>
      <c r="K4867" s="12">
        <v>40.517000000000003</v>
      </c>
      <c r="L4867" s="13">
        <v>14.387</v>
      </c>
      <c r="M4867" s="12">
        <v>9.9870000000000001</v>
      </c>
      <c r="N4867" s="12">
        <v>9.2420000000000009</v>
      </c>
      <c r="O4867" s="12">
        <v>-1.093</v>
      </c>
      <c r="P4867" s="12">
        <v>0</v>
      </c>
      <c r="Q4867" s="14" t="s">
        <v>26312</v>
      </c>
      <c r="R4867" s="14" t="s">
        <v>26312</v>
      </c>
    </row>
    <row r="4868" spans="1:18" ht="17" customHeight="1" x14ac:dyDescent="0.15">
      <c r="A4868" s="8" t="s">
        <v>26327</v>
      </c>
      <c r="B4868" s="9" t="s">
        <v>26328</v>
      </c>
      <c r="C4868" s="8" t="s">
        <v>26329</v>
      </c>
      <c r="D4868" s="8" t="s">
        <v>26329</v>
      </c>
      <c r="E4868" s="8" t="s">
        <v>26330</v>
      </c>
      <c r="F4868" s="8" t="s">
        <v>26331</v>
      </c>
      <c r="G4868" s="8" t="s">
        <v>26318</v>
      </c>
      <c r="H4868" s="8" t="s">
        <v>26319</v>
      </c>
      <c r="I4868" s="8" t="str">
        <f>HYPERLINK("http://www.pialauricapri.it/","www.pialauricapri.it")</f>
        <v>www.pialauricapri.it</v>
      </c>
      <c r="J4868" s="10">
        <v>10.904999999999999</v>
      </c>
      <c r="K4868" s="10">
        <v>4.6719999999999997</v>
      </c>
      <c r="L4868" s="10">
        <v>13.852</v>
      </c>
      <c r="M4868" s="10">
        <v>-30.582999999999998</v>
      </c>
      <c r="N4868" s="10">
        <v>-32.389000000000003</v>
      </c>
      <c r="O4868" s="10">
        <v>-65.024000000000001</v>
      </c>
      <c r="P4868" s="15" t="s">
        <v>26312</v>
      </c>
      <c r="Q4868" s="15" t="s">
        <v>26312</v>
      </c>
      <c r="R4868" s="10">
        <v>4</v>
      </c>
    </row>
    <row r="4869" spans="1:18" ht="17" customHeight="1" x14ac:dyDescent="0.15">
      <c r="A4869" s="11" t="s">
        <v>26332</v>
      </c>
      <c r="B4869" s="1" t="s">
        <v>26333</v>
      </c>
      <c r="C4869" s="11" t="s">
        <v>26334</v>
      </c>
      <c r="D4869" s="11" t="s">
        <v>26334</v>
      </c>
      <c r="E4869" s="11" t="s">
        <v>26335</v>
      </c>
      <c r="F4869" s="11" t="s">
        <v>26309</v>
      </c>
      <c r="G4869" s="11" t="s">
        <v>26336</v>
      </c>
      <c r="H4869" s="11" t="s">
        <v>26337</v>
      </c>
      <c r="I4869" s="11" t="str">
        <f>HYPERLINK("http://vendramini.it/","vendramini.it")</f>
        <v>vendramini.it</v>
      </c>
      <c r="J4869" s="12">
        <v>32.131999999999998</v>
      </c>
      <c r="K4869" s="12">
        <v>32.131999999999998</v>
      </c>
      <c r="L4869" s="13">
        <v>13.766</v>
      </c>
      <c r="M4869" s="12">
        <v>-6.4089999999999998</v>
      </c>
      <c r="N4869" s="12">
        <v>-6.4089999999999998</v>
      </c>
      <c r="O4869" s="12">
        <v>-27.635000000000002</v>
      </c>
      <c r="P4869" s="12">
        <v>0</v>
      </c>
      <c r="Q4869" s="12">
        <v>0</v>
      </c>
      <c r="R4869" s="12">
        <v>0</v>
      </c>
    </row>
    <row r="4870" spans="1:18" ht="17" customHeight="1" x14ac:dyDescent="0.15">
      <c r="A4870" s="8" t="s">
        <v>26338</v>
      </c>
      <c r="B4870" s="9" t="s">
        <v>26339</v>
      </c>
      <c r="C4870" s="8" t="s">
        <v>26340</v>
      </c>
      <c r="D4870" s="8" t="s">
        <v>26340</v>
      </c>
      <c r="E4870" s="8" t="s">
        <v>26341</v>
      </c>
      <c r="F4870" s="8" t="s">
        <v>26309</v>
      </c>
      <c r="G4870" s="8" t="s">
        <v>26342</v>
      </c>
      <c r="H4870" s="8" t="s">
        <v>26343</v>
      </c>
      <c r="I4870" s="8" t="str">
        <f>HYPERLINK("http://www.v-design.it/","www.v-design.it")</f>
        <v>www.v-design.it</v>
      </c>
      <c r="J4870" s="10">
        <v>1.9750000000000001</v>
      </c>
      <c r="K4870" s="10">
        <v>1.9750000000000001</v>
      </c>
      <c r="L4870" s="10">
        <v>13.833</v>
      </c>
      <c r="M4870" s="10">
        <v>-32.567</v>
      </c>
      <c r="N4870" s="10">
        <v>-32.567</v>
      </c>
      <c r="O4870" s="10">
        <v>-37.875</v>
      </c>
      <c r="P4870" s="10">
        <v>0</v>
      </c>
      <c r="Q4870" s="10">
        <v>0</v>
      </c>
      <c r="R4870" s="10">
        <v>1</v>
      </c>
    </row>
    <row r="4871" spans="1:18" ht="17" customHeight="1" x14ac:dyDescent="0.15">
      <c r="A4871" s="11" t="s">
        <v>26344</v>
      </c>
      <c r="B4871" s="1" t="s">
        <v>26345</v>
      </c>
      <c r="C4871" s="11" t="s">
        <v>26346</v>
      </c>
      <c r="D4871" s="11" t="s">
        <v>26346</v>
      </c>
      <c r="E4871" s="11" t="s">
        <v>26347</v>
      </c>
      <c r="F4871" s="11" t="s">
        <v>26348</v>
      </c>
      <c r="G4871" s="11" t="s">
        <v>26349</v>
      </c>
      <c r="H4871" s="11" t="s">
        <v>26343</v>
      </c>
      <c r="I4871" s="11" t="str">
        <f>HYPERLINK("http://www.luraworld.com/","www.luraworld.com")</f>
        <v>www.luraworld.com</v>
      </c>
      <c r="J4871" s="12">
        <v>57.451999999999998</v>
      </c>
      <c r="K4871" s="12">
        <v>57.451999999999998</v>
      </c>
      <c r="L4871" s="13">
        <v>13.532</v>
      </c>
      <c r="M4871" s="12">
        <v>-100.008</v>
      </c>
      <c r="N4871" s="12">
        <v>-100.008</v>
      </c>
      <c r="O4871" s="12">
        <v>-14.856999999999999</v>
      </c>
      <c r="P4871" s="12">
        <v>0</v>
      </c>
      <c r="Q4871" s="12">
        <v>0</v>
      </c>
      <c r="R4871" s="12">
        <v>0</v>
      </c>
    </row>
    <row r="4872" spans="1:18" ht="17" customHeight="1" x14ac:dyDescent="0.15">
      <c r="A4872" s="8" t="s">
        <v>26350</v>
      </c>
      <c r="B4872" s="9" t="s">
        <v>26351</v>
      </c>
      <c r="C4872" s="8" t="s">
        <v>26352</v>
      </c>
      <c r="D4872" s="8" t="s">
        <v>26352</v>
      </c>
      <c r="E4872" s="8" t="s">
        <v>26353</v>
      </c>
      <c r="F4872" s="8" t="s">
        <v>26354</v>
      </c>
      <c r="G4872" s="8" t="s">
        <v>26355</v>
      </c>
      <c r="H4872" s="8" t="s">
        <v>26319</v>
      </c>
      <c r="I4872" s="8" t="str">
        <f>HYPERLINK("http://www.simon.it/","www.simon.it")</f>
        <v>www.simon.it</v>
      </c>
      <c r="J4872" s="10">
        <v>15.781000000000001</v>
      </c>
      <c r="K4872" s="10">
        <v>15.781000000000001</v>
      </c>
      <c r="L4872" s="10">
        <v>13.153</v>
      </c>
      <c r="M4872" s="10">
        <v>-102.744</v>
      </c>
      <c r="N4872" s="10">
        <v>-102.744</v>
      </c>
      <c r="O4872" s="10">
        <v>0.10100000000000001</v>
      </c>
      <c r="P4872" s="10">
        <v>0</v>
      </c>
      <c r="Q4872" s="10">
        <v>0</v>
      </c>
      <c r="R4872" s="10">
        <v>0</v>
      </c>
    </row>
    <row r="4873" spans="1:18" ht="17" customHeight="1" x14ac:dyDescent="0.15">
      <c r="A4873" s="11" t="s">
        <v>26356</v>
      </c>
      <c r="B4873" s="1" t="s">
        <v>26357</v>
      </c>
      <c r="C4873" s="11" t="s">
        <v>26358</v>
      </c>
      <c r="D4873" s="11" t="s">
        <v>26358</v>
      </c>
      <c r="E4873" s="11" t="s">
        <v>26359</v>
      </c>
      <c r="F4873" s="11" t="s">
        <v>26360</v>
      </c>
      <c r="G4873" s="11" t="s">
        <v>26342</v>
      </c>
      <c r="H4873" s="11" t="s">
        <v>26343</v>
      </c>
      <c r="I4873" s="11" t="str">
        <f>HYPERLINK("http://unicasrlaccessori.it/","unicasrlaccessori.it")</f>
        <v>unicasrlaccessori.it</v>
      </c>
      <c r="J4873" s="12">
        <v>12.625</v>
      </c>
      <c r="K4873" s="14" t="s">
        <v>26312</v>
      </c>
      <c r="L4873" s="13">
        <v>12.625</v>
      </c>
      <c r="M4873" s="12">
        <v>26.637</v>
      </c>
      <c r="N4873" s="14" t="s">
        <v>26312</v>
      </c>
      <c r="O4873" s="12">
        <v>26.637</v>
      </c>
      <c r="P4873" s="12">
        <v>0</v>
      </c>
      <c r="Q4873" s="14" t="s">
        <v>26312</v>
      </c>
      <c r="R4873" s="12">
        <v>0</v>
      </c>
    </row>
    <row r="4874" spans="1:18" ht="43" customHeight="1" x14ac:dyDescent="0.15">
      <c r="A4874" s="8" t="s">
        <v>26361</v>
      </c>
      <c r="B4874" s="9" t="s">
        <v>26362</v>
      </c>
      <c r="C4874" s="8" t="s">
        <v>26363</v>
      </c>
      <c r="D4874" s="8" t="s">
        <v>26363</v>
      </c>
      <c r="E4874" s="8" t="s">
        <v>26364</v>
      </c>
      <c r="F4874" s="8" t="s">
        <v>26317</v>
      </c>
      <c r="G4874" s="8" t="s">
        <v>26365</v>
      </c>
      <c r="H4874" s="8" t="s">
        <v>26366</v>
      </c>
      <c r="I4874" s="8" t="str">
        <f>HYPERLINK("http://giorgiafratta.it/","giorgiafratta.it")</f>
        <v>giorgiafratta.it</v>
      </c>
      <c r="J4874" s="10">
        <v>59.35</v>
      </c>
      <c r="K4874" s="10">
        <v>59.35</v>
      </c>
      <c r="L4874" s="10">
        <v>12.377000000000001</v>
      </c>
      <c r="M4874" s="10">
        <v>-50.619</v>
      </c>
      <c r="N4874" s="10">
        <v>-50.619</v>
      </c>
      <c r="O4874" s="10">
        <v>-12.627000000000001</v>
      </c>
      <c r="P4874" s="10">
        <v>0</v>
      </c>
      <c r="Q4874" s="10">
        <v>0</v>
      </c>
      <c r="R4874" s="10">
        <v>0</v>
      </c>
    </row>
    <row r="4875" spans="1:18" ht="29.5" customHeight="1" x14ac:dyDescent="0.15">
      <c r="A4875" s="11" t="s">
        <v>26367</v>
      </c>
      <c r="B4875" s="1" t="s">
        <v>26368</v>
      </c>
      <c r="C4875" s="11" t="s">
        <v>26369</v>
      </c>
      <c r="D4875" s="11" t="s">
        <v>26369</v>
      </c>
      <c r="E4875" s="11" t="s">
        <v>26370</v>
      </c>
      <c r="F4875" s="11" t="s">
        <v>26348</v>
      </c>
      <c r="G4875" s="11" t="s">
        <v>26310</v>
      </c>
      <c r="H4875" s="11" t="s">
        <v>26311</v>
      </c>
      <c r="I4875" s="11" t="str">
        <f>HYPERLINK("http://www.pelletteriesim.it/","www.pelletteriesim.it")</f>
        <v>www.pelletteriesim.it</v>
      </c>
      <c r="J4875" s="12">
        <v>8.1690000000000005</v>
      </c>
      <c r="K4875" s="12">
        <v>8.1690000000000005</v>
      </c>
      <c r="L4875" s="13">
        <v>12.199</v>
      </c>
      <c r="M4875" s="12">
        <v>9.3989999999999991</v>
      </c>
      <c r="N4875" s="12">
        <v>9.3989999999999991</v>
      </c>
      <c r="O4875" s="12">
        <v>0.34499999999999997</v>
      </c>
      <c r="P4875" s="12">
        <v>0</v>
      </c>
      <c r="Q4875" s="12">
        <v>0</v>
      </c>
      <c r="R4875" s="12">
        <v>0</v>
      </c>
    </row>
    <row r="4876" spans="1:18" ht="17" customHeight="1" x14ac:dyDescent="0.15">
      <c r="A4876" s="8" t="s">
        <v>26371</v>
      </c>
      <c r="B4876" s="9" t="s">
        <v>26372</v>
      </c>
      <c r="C4876" s="8" t="s">
        <v>26373</v>
      </c>
      <c r="D4876" s="8" t="s">
        <v>26373</v>
      </c>
      <c r="E4876" s="8" t="s">
        <v>26374</v>
      </c>
      <c r="F4876" s="8" t="s">
        <v>26317</v>
      </c>
      <c r="G4876" s="8" t="s">
        <v>26310</v>
      </c>
      <c r="H4876" s="8" t="s">
        <v>26311</v>
      </c>
      <c r="I4876" s="8" t="str">
        <f>HYPERLINK("http://www.brandunique.it/","www.brandunique.it")</f>
        <v>www.brandunique.it</v>
      </c>
      <c r="J4876" s="10">
        <v>12.09</v>
      </c>
      <c r="K4876" s="15" t="s">
        <v>26312</v>
      </c>
      <c r="L4876" s="10">
        <v>12.09</v>
      </c>
      <c r="M4876" s="10">
        <v>-74.156999999999996</v>
      </c>
      <c r="N4876" s="15" t="s">
        <v>26312</v>
      </c>
      <c r="O4876" s="10">
        <v>-74.156999999999996</v>
      </c>
      <c r="P4876" s="10">
        <v>1</v>
      </c>
      <c r="Q4876" s="15" t="s">
        <v>26312</v>
      </c>
      <c r="R4876" s="10">
        <v>1</v>
      </c>
    </row>
    <row r="4877" spans="1:18" ht="29.5" customHeight="1" x14ac:dyDescent="0.15">
      <c r="A4877" s="11" t="s">
        <v>26375</v>
      </c>
      <c r="B4877" s="1" t="s">
        <v>26376</v>
      </c>
      <c r="C4877" s="11" t="s">
        <v>26377</v>
      </c>
      <c r="D4877" s="11" t="s">
        <v>26377</v>
      </c>
      <c r="E4877" s="11" t="s">
        <v>26378</v>
      </c>
      <c r="F4877" s="11" t="s">
        <v>26360</v>
      </c>
      <c r="G4877" s="11" t="s">
        <v>26379</v>
      </c>
      <c r="H4877" s="11" t="s">
        <v>26380</v>
      </c>
      <c r="I4877" s="11" t="str">
        <f>HYPERLINK("http://desacre.com/","desacre.com")</f>
        <v>desacre.com</v>
      </c>
      <c r="J4877" s="12">
        <v>27.706</v>
      </c>
      <c r="K4877" s="12">
        <v>27.706</v>
      </c>
      <c r="L4877" s="13">
        <v>12.025</v>
      </c>
      <c r="M4877" s="12">
        <v>6.6639999999999997</v>
      </c>
      <c r="N4877" s="12">
        <v>6.6639999999999997</v>
      </c>
      <c r="O4877" s="12">
        <v>0</v>
      </c>
      <c r="P4877" s="12">
        <v>3</v>
      </c>
      <c r="Q4877" s="12">
        <v>3</v>
      </c>
      <c r="R4877" s="12">
        <v>3</v>
      </c>
    </row>
    <row r="4878" spans="1:18" ht="17" customHeight="1" x14ac:dyDescent="0.15">
      <c r="A4878" s="8" t="s">
        <v>26381</v>
      </c>
      <c r="B4878" s="9" t="s">
        <v>26382</v>
      </c>
      <c r="C4878" s="8" t="s">
        <v>26383</v>
      </c>
      <c r="D4878" s="8" t="s">
        <v>26383</v>
      </c>
      <c r="E4878" s="8" t="s">
        <v>26384</v>
      </c>
      <c r="F4878" s="8" t="s">
        <v>26385</v>
      </c>
      <c r="G4878" s="8" t="s">
        <v>26355</v>
      </c>
      <c r="H4878" s="8" t="s">
        <v>26319</v>
      </c>
      <c r="I4878" s="8" t="str">
        <f>HYPERLINK("http://tecnocoinn.it/","tecnocoinn.it")</f>
        <v>tecnocoinn.it</v>
      </c>
      <c r="J4878" s="10">
        <v>12.381</v>
      </c>
      <c r="K4878" s="10">
        <v>12.381</v>
      </c>
      <c r="L4878" s="10">
        <v>12</v>
      </c>
      <c r="M4878" s="10">
        <v>10.180999999999999</v>
      </c>
      <c r="N4878" s="10">
        <v>10.180999999999999</v>
      </c>
      <c r="O4878" s="10">
        <v>-9.4580000000000002</v>
      </c>
      <c r="P4878" s="10">
        <v>0</v>
      </c>
      <c r="Q4878" s="10">
        <v>0</v>
      </c>
      <c r="R4878" s="10">
        <v>0</v>
      </c>
    </row>
    <row r="4879" spans="1:18" ht="17" customHeight="1" x14ac:dyDescent="0.15">
      <c r="A4879" s="11" t="s">
        <v>26386</v>
      </c>
      <c r="B4879" s="1" t="s">
        <v>26387</v>
      </c>
      <c r="C4879" s="11" t="s">
        <v>26388</v>
      </c>
      <c r="D4879" s="11" t="s">
        <v>26388</v>
      </c>
      <c r="E4879" s="11" t="s">
        <v>26389</v>
      </c>
      <c r="F4879" s="11" t="s">
        <v>26390</v>
      </c>
      <c r="G4879" s="11" t="s">
        <v>26391</v>
      </c>
      <c r="H4879" s="11" t="s">
        <v>26392</v>
      </c>
      <c r="I4879" s="11" t="str">
        <f>HYPERLINK("http://www.camitaly.it/","www.camitaly.it")</f>
        <v>www.camitaly.it</v>
      </c>
      <c r="J4879" s="12">
        <v>182.68299999999999</v>
      </c>
      <c r="K4879" s="12">
        <v>182.68299999999999</v>
      </c>
      <c r="L4879" s="13">
        <v>11.922000000000001</v>
      </c>
      <c r="M4879" s="12">
        <v>13.542999999999999</v>
      </c>
      <c r="N4879" s="12">
        <v>13.542999999999999</v>
      </c>
      <c r="O4879" s="12">
        <v>0.83699999999999997</v>
      </c>
      <c r="P4879" s="12">
        <v>4</v>
      </c>
      <c r="Q4879" s="12">
        <v>4</v>
      </c>
      <c r="R4879" s="12">
        <v>0</v>
      </c>
    </row>
    <row r="4880" spans="1:18" ht="17" customHeight="1" x14ac:dyDescent="0.15">
      <c r="A4880" s="8" t="s">
        <v>26393</v>
      </c>
      <c r="B4880" s="9" t="s">
        <v>26394</v>
      </c>
      <c r="C4880" s="8" t="s">
        <v>26395</v>
      </c>
      <c r="D4880" s="8" t="s">
        <v>26395</v>
      </c>
      <c r="E4880" s="8" t="s">
        <v>26396</v>
      </c>
      <c r="F4880" s="8" t="s">
        <v>26385</v>
      </c>
      <c r="G4880" s="8" t="s">
        <v>26355</v>
      </c>
      <c r="H4880" s="8" t="s">
        <v>26319</v>
      </c>
      <c r="I4880" s="8" t="str">
        <f>HYPERLINK("http://www.irpel.it/","www.irpel.it")</f>
        <v>www.irpel.it</v>
      </c>
      <c r="J4880" s="10">
        <v>47.817</v>
      </c>
      <c r="K4880" s="10">
        <v>47.817</v>
      </c>
      <c r="L4880" s="10">
        <v>11.478</v>
      </c>
      <c r="M4880" s="10">
        <v>-96.094999999999999</v>
      </c>
      <c r="N4880" s="10">
        <v>-96.094999999999999</v>
      </c>
      <c r="O4880" s="10">
        <v>-88.317999999999998</v>
      </c>
      <c r="P4880" s="10">
        <v>0</v>
      </c>
      <c r="Q4880" s="10">
        <v>0</v>
      </c>
      <c r="R4880" s="15" t="s">
        <v>26312</v>
      </c>
    </row>
    <row r="4881" spans="1:18" ht="29.5" customHeight="1" x14ac:dyDescent="0.15">
      <c r="A4881" s="11" t="s">
        <v>26397</v>
      </c>
      <c r="B4881" s="1" t="s">
        <v>26398</v>
      </c>
      <c r="C4881" s="11" t="s">
        <v>26399</v>
      </c>
      <c r="D4881" s="11" t="s">
        <v>26399</v>
      </c>
      <c r="E4881" s="11" t="s">
        <v>26400</v>
      </c>
      <c r="F4881" s="11" t="s">
        <v>26309</v>
      </c>
      <c r="G4881" s="11" t="s">
        <v>26342</v>
      </c>
      <c r="H4881" s="11" t="s">
        <v>26343</v>
      </c>
      <c r="I4881" s="11" t="str">
        <f>HYPERLINK("http://www.albertoguardiani.com/","www.albertoguardiani.com")</f>
        <v>www.albertoguardiani.com</v>
      </c>
      <c r="J4881" s="12">
        <v>25.119</v>
      </c>
      <c r="K4881" s="12">
        <v>25.119</v>
      </c>
      <c r="L4881" s="13">
        <v>11.427</v>
      </c>
      <c r="M4881" s="12">
        <v>-624.28800000000001</v>
      </c>
      <c r="N4881" s="12">
        <v>-624.28800000000001</v>
      </c>
      <c r="O4881" s="12">
        <v>-230.845</v>
      </c>
      <c r="P4881" s="14" t="s">
        <v>26312</v>
      </c>
      <c r="Q4881" s="14" t="s">
        <v>26312</v>
      </c>
      <c r="R4881" s="12">
        <v>1</v>
      </c>
    </row>
    <row r="4882" spans="1:18" ht="17" customHeight="1" x14ac:dyDescent="0.15">
      <c r="A4882" s="8" t="s">
        <v>26401</v>
      </c>
      <c r="B4882" s="9" t="s">
        <v>26402</v>
      </c>
      <c r="C4882" s="8" t="s">
        <v>26403</v>
      </c>
      <c r="D4882" s="8" t="s">
        <v>26403</v>
      </c>
      <c r="E4882" s="8" t="s">
        <v>26404</v>
      </c>
      <c r="F4882" s="8" t="s">
        <v>26348</v>
      </c>
      <c r="G4882" s="8" t="s">
        <v>26405</v>
      </c>
      <c r="H4882" s="8" t="s">
        <v>26337</v>
      </c>
      <c r="I4882" s="8" t="str">
        <f>HYPERLINK("http://www.nuti.com/","www.nuti.com")</f>
        <v>www.nuti.com</v>
      </c>
      <c r="J4882" s="10">
        <v>7.508</v>
      </c>
      <c r="K4882" s="10">
        <v>7.508</v>
      </c>
      <c r="L4882" s="10">
        <v>11.42</v>
      </c>
      <c r="M4882" s="10">
        <v>-20.597000000000001</v>
      </c>
      <c r="N4882" s="10">
        <v>-20.597000000000001</v>
      </c>
      <c r="O4882" s="10">
        <v>-28.521999999999998</v>
      </c>
      <c r="P4882" s="10">
        <v>0</v>
      </c>
      <c r="Q4882" s="10">
        <v>0</v>
      </c>
      <c r="R4882" s="10">
        <v>0</v>
      </c>
    </row>
    <row r="4883" spans="1:18" ht="29.5" customHeight="1" x14ac:dyDescent="0.15">
      <c r="A4883" s="11" t="s">
        <v>26406</v>
      </c>
      <c r="B4883" s="1" t="s">
        <v>26407</v>
      </c>
      <c r="C4883" s="11" t="s">
        <v>26408</v>
      </c>
      <c r="D4883" s="11" t="s">
        <v>26408</v>
      </c>
      <c r="E4883" s="11" t="s">
        <v>26409</v>
      </c>
      <c r="F4883" s="11" t="s">
        <v>26410</v>
      </c>
      <c r="G4883" s="11" t="s">
        <v>26411</v>
      </c>
      <c r="H4883" s="11" t="s">
        <v>26311</v>
      </c>
      <c r="I4883" s="11" t="str">
        <f>HYPERLINK("http://www.tacchificiofidia.it/","www.tacchificiofidia.it")</f>
        <v>www.tacchificiofidia.it</v>
      </c>
      <c r="J4883" s="12">
        <v>1.0009999999999999</v>
      </c>
      <c r="K4883" s="12">
        <v>1.0009999999999999</v>
      </c>
      <c r="L4883" s="13">
        <v>10.759</v>
      </c>
      <c r="M4883" s="12">
        <v>-17.986999999999998</v>
      </c>
      <c r="N4883" s="12">
        <v>-17.986999999999998</v>
      </c>
      <c r="O4883" s="12">
        <v>-3.0230000000000001</v>
      </c>
      <c r="P4883" s="12">
        <v>0</v>
      </c>
      <c r="Q4883" s="12">
        <v>0</v>
      </c>
      <c r="R4883" s="12">
        <v>0</v>
      </c>
    </row>
    <row r="4884" spans="1:18" ht="29.5" customHeight="1" x14ac:dyDescent="0.15">
      <c r="A4884" s="8" t="s">
        <v>26412</v>
      </c>
      <c r="B4884" s="9" t="s">
        <v>26413</v>
      </c>
      <c r="C4884" s="8" t="s">
        <v>26414</v>
      </c>
      <c r="D4884" s="8" t="s">
        <v>26415</v>
      </c>
      <c r="E4884" s="8" t="s">
        <v>26416</v>
      </c>
      <c r="F4884" s="8" t="s">
        <v>26324</v>
      </c>
      <c r="G4884" s="8" t="s">
        <v>26417</v>
      </c>
      <c r="H4884" s="8" t="s">
        <v>26418</v>
      </c>
      <c r="I4884" s="8" t="str">
        <f>HYPERLINK("http://doratex.it/","doratex.it")</f>
        <v>doratex.it</v>
      </c>
      <c r="J4884" s="10">
        <v>340</v>
      </c>
      <c r="K4884" s="10">
        <v>340</v>
      </c>
      <c r="L4884" s="10">
        <v>10.653</v>
      </c>
      <c r="M4884" s="10">
        <v>-266.036</v>
      </c>
      <c r="N4884" s="10">
        <v>-266.036</v>
      </c>
      <c r="O4884" s="10">
        <v>4318.933</v>
      </c>
      <c r="P4884" s="10">
        <v>0</v>
      </c>
      <c r="Q4884" s="10">
        <v>0</v>
      </c>
      <c r="R4884" s="10">
        <v>0</v>
      </c>
    </row>
    <row r="4885" spans="1:18" ht="17" customHeight="1" x14ac:dyDescent="0.15">
      <c r="A4885" s="11" t="s">
        <v>26419</v>
      </c>
      <c r="B4885" s="1" t="s">
        <v>26420</v>
      </c>
      <c r="C4885" s="11" t="s">
        <v>26421</v>
      </c>
      <c r="D4885" s="11" t="s">
        <v>26421</v>
      </c>
      <c r="E4885" s="11" t="s">
        <v>26422</v>
      </c>
      <c r="F4885" s="11" t="s">
        <v>26348</v>
      </c>
      <c r="G4885" s="11" t="s">
        <v>26423</v>
      </c>
      <c r="H4885" s="11" t="s">
        <v>26424</v>
      </c>
      <c r="I4885" s="11" t="str">
        <f>HYPERLINK("http://www.vitussi.com/","www.vitussi.com")</f>
        <v>www.vitussi.com</v>
      </c>
      <c r="J4885" s="12">
        <v>49.353000000000002</v>
      </c>
      <c r="K4885" s="12">
        <v>49.353000000000002</v>
      </c>
      <c r="L4885" s="13">
        <v>10.738</v>
      </c>
      <c r="M4885" s="12">
        <v>6.7130000000000001</v>
      </c>
      <c r="N4885" s="12">
        <v>6.7130000000000001</v>
      </c>
      <c r="O4885" s="12">
        <v>-3.33</v>
      </c>
      <c r="P4885" s="12">
        <v>1</v>
      </c>
      <c r="Q4885" s="12">
        <v>1</v>
      </c>
      <c r="R4885" s="12">
        <v>0</v>
      </c>
    </row>
    <row r="4886" spans="1:18" ht="43" customHeight="1" x14ac:dyDescent="0.15">
      <c r="A4886" s="8" t="s">
        <v>26425</v>
      </c>
      <c r="B4886" s="9" t="s">
        <v>26426</v>
      </c>
      <c r="C4886" s="8" t="s">
        <v>26427</v>
      </c>
      <c r="D4886" s="8" t="s">
        <v>26427</v>
      </c>
      <c r="E4886" s="8" t="s">
        <v>26428</v>
      </c>
      <c r="F4886" s="8" t="s">
        <v>26317</v>
      </c>
      <c r="G4886" s="8" t="s">
        <v>26429</v>
      </c>
      <c r="H4886" s="8" t="s">
        <v>26418</v>
      </c>
      <c r="I4886" s="8" t="str">
        <f>HYPERLINK("http://www.binicomo.com/","www.binicomo.com")</f>
        <v>www.binicomo.com</v>
      </c>
      <c r="J4886" s="10">
        <v>3.94</v>
      </c>
      <c r="K4886" s="10">
        <v>3.94</v>
      </c>
      <c r="L4886" s="10">
        <v>10.63</v>
      </c>
      <c r="M4886" s="10">
        <v>-14.19</v>
      </c>
      <c r="N4886" s="10">
        <v>-14.19</v>
      </c>
      <c r="O4886" s="10">
        <v>1.48</v>
      </c>
      <c r="P4886" s="10">
        <v>0</v>
      </c>
      <c r="Q4886" s="10">
        <v>0</v>
      </c>
      <c r="R4886" s="10">
        <v>0</v>
      </c>
    </row>
    <row r="4887" spans="1:18" ht="17" customHeight="1" x14ac:dyDescent="0.15">
      <c r="A4887" s="11" t="s">
        <v>26430</v>
      </c>
      <c r="B4887" s="1" t="s">
        <v>26431</v>
      </c>
      <c r="C4887" s="11" t="s">
        <v>26432</v>
      </c>
      <c r="D4887" s="11" t="s">
        <v>26432</v>
      </c>
      <c r="E4887" s="11" t="s">
        <v>26433</v>
      </c>
      <c r="F4887" s="11" t="s">
        <v>26309</v>
      </c>
      <c r="G4887" s="11" t="s">
        <v>26336</v>
      </c>
      <c r="H4887" s="11" t="s">
        <v>26337</v>
      </c>
      <c r="I4887" s="11" t="str">
        <f>HYPERLINK("http://pauleasterlin.com/","pauleasterlin.com")</f>
        <v>pauleasterlin.com</v>
      </c>
      <c r="J4887" s="12">
        <v>0</v>
      </c>
      <c r="K4887" s="12">
        <v>0</v>
      </c>
      <c r="L4887" s="13">
        <v>10.5</v>
      </c>
      <c r="M4887" s="12">
        <v>-10.27</v>
      </c>
      <c r="N4887" s="12">
        <v>-10.27</v>
      </c>
      <c r="O4887" s="12">
        <v>2.1110000000000002</v>
      </c>
      <c r="P4887" s="12">
        <v>0</v>
      </c>
      <c r="Q4887" s="12">
        <v>0</v>
      </c>
      <c r="R4887" s="12">
        <v>0</v>
      </c>
    </row>
    <row r="4888" spans="1:18" ht="17" customHeight="1" x14ac:dyDescent="0.15">
      <c r="A4888" s="8" t="s">
        <v>26434</v>
      </c>
      <c r="B4888" s="9" t="s">
        <v>26435</v>
      </c>
      <c r="C4888" s="8" t="s">
        <v>26436</v>
      </c>
      <c r="D4888" s="8" t="s">
        <v>26436</v>
      </c>
      <c r="E4888" s="8" t="s">
        <v>26437</v>
      </c>
      <c r="F4888" s="8" t="s">
        <v>26317</v>
      </c>
      <c r="G4888" s="8" t="s">
        <v>26429</v>
      </c>
      <c r="H4888" s="8" t="s">
        <v>26418</v>
      </c>
      <c r="I4888" s="8" t="str">
        <f>HYPERLINK("http://www.brembatistores.com/","www.brembatistores.com")</f>
        <v>www.brembatistores.com</v>
      </c>
      <c r="J4888" s="10">
        <v>32.167000000000002</v>
      </c>
      <c r="K4888" s="10">
        <v>32.167000000000002</v>
      </c>
      <c r="L4888" s="10">
        <v>10</v>
      </c>
      <c r="M4888" s="10">
        <v>1.0269999999999999</v>
      </c>
      <c r="N4888" s="10">
        <v>1.0269999999999999</v>
      </c>
      <c r="O4888" s="10">
        <v>-10.089</v>
      </c>
      <c r="P4888" s="10">
        <v>0</v>
      </c>
      <c r="Q4888" s="10">
        <v>0</v>
      </c>
      <c r="R4888" s="10">
        <v>0</v>
      </c>
    </row>
    <row r="4889" spans="1:18" ht="17" customHeight="1" x14ac:dyDescent="0.15">
      <c r="A4889" s="11" t="s">
        <v>26438</v>
      </c>
      <c r="B4889" s="1" t="s">
        <v>26439</v>
      </c>
      <c r="C4889" s="11" t="s">
        <v>26440</v>
      </c>
      <c r="D4889" s="11" t="s">
        <v>26440</v>
      </c>
      <c r="E4889" s="11" t="s">
        <v>26441</v>
      </c>
      <c r="F4889" s="11" t="s">
        <v>26348</v>
      </c>
      <c r="G4889" s="11" t="s">
        <v>26318</v>
      </c>
      <c r="H4889" s="11" t="s">
        <v>26319</v>
      </c>
      <c r="I4889" s="11" t="str">
        <f>HYPERLINK("http://en.baggeans.com/","en.baggeans.com")</f>
        <v>en.baggeans.com</v>
      </c>
      <c r="J4889" s="12">
        <v>31.513999999999999</v>
      </c>
      <c r="K4889" s="12">
        <v>31.513999999999999</v>
      </c>
      <c r="L4889" s="13">
        <v>9.1649999999999991</v>
      </c>
      <c r="M4889" s="12">
        <v>-11.768000000000001</v>
      </c>
      <c r="N4889" s="12">
        <v>-11.768000000000001</v>
      </c>
      <c r="O4889" s="12">
        <v>-16.957999999999998</v>
      </c>
      <c r="P4889" s="12">
        <v>2</v>
      </c>
      <c r="Q4889" s="12">
        <v>2</v>
      </c>
      <c r="R4889" s="12">
        <v>0</v>
      </c>
    </row>
    <row r="4890" spans="1:18" ht="17" customHeight="1" x14ac:dyDescent="0.15">
      <c r="A4890" s="8" t="s">
        <v>26442</v>
      </c>
      <c r="B4890" s="9" t="s">
        <v>26443</v>
      </c>
      <c r="C4890" s="8" t="s">
        <v>26444</v>
      </c>
      <c r="D4890" s="8" t="s">
        <v>26444</v>
      </c>
      <c r="E4890" s="8" t="s">
        <v>26445</v>
      </c>
      <c r="F4890" s="8" t="s">
        <v>26354</v>
      </c>
      <c r="G4890" s="8" t="s">
        <v>26446</v>
      </c>
      <c r="H4890" s="8" t="s">
        <v>26447</v>
      </c>
      <c r="I4890" s="8" t="str">
        <f>HYPERLINK("http://www.arago-italy.it/","www.arago-italy.it")</f>
        <v>www.arago-italy.it</v>
      </c>
      <c r="J4890" s="10">
        <v>4.6829999999999998</v>
      </c>
      <c r="K4890" s="10">
        <v>4.6829999999999998</v>
      </c>
      <c r="L4890" s="10">
        <v>9.0069999999999997</v>
      </c>
      <c r="M4890" s="10">
        <v>-26.677</v>
      </c>
      <c r="N4890" s="10">
        <v>-26.677</v>
      </c>
      <c r="O4890" s="10">
        <v>-23.742999999999999</v>
      </c>
      <c r="P4890" s="10">
        <v>0</v>
      </c>
      <c r="Q4890" s="10">
        <v>0</v>
      </c>
      <c r="R4890" s="10">
        <v>0</v>
      </c>
    </row>
    <row r="4891" spans="1:18" ht="17" customHeight="1" x14ac:dyDescent="0.15">
      <c r="A4891" s="11" t="s">
        <v>26448</v>
      </c>
      <c r="B4891" s="1" t="s">
        <v>26449</v>
      </c>
      <c r="C4891" s="11" t="s">
        <v>26450</v>
      </c>
      <c r="D4891" s="11" t="s">
        <v>26450</v>
      </c>
      <c r="E4891" s="11" t="s">
        <v>26451</v>
      </c>
      <c r="F4891" s="11" t="s">
        <v>26331</v>
      </c>
      <c r="G4891" s="11" t="s">
        <v>26423</v>
      </c>
      <c r="H4891" s="11" t="s">
        <v>26424</v>
      </c>
      <c r="I4891" s="11" t="str">
        <f>HYPERLINK("http://casa-preti.com/","casa-preti.com")</f>
        <v>casa-preti.com</v>
      </c>
      <c r="J4891" s="12">
        <v>13.829000000000001</v>
      </c>
      <c r="K4891" s="12">
        <v>13.829000000000001</v>
      </c>
      <c r="L4891" s="13">
        <v>8.907</v>
      </c>
      <c r="M4891" s="12">
        <v>3.9430000000000001</v>
      </c>
      <c r="N4891" s="12">
        <v>3.9430000000000001</v>
      </c>
      <c r="O4891" s="12">
        <v>-0.219</v>
      </c>
      <c r="P4891" s="12">
        <v>0</v>
      </c>
      <c r="Q4891" s="12">
        <v>0</v>
      </c>
      <c r="R4891" s="12">
        <v>0</v>
      </c>
    </row>
    <row r="4892" spans="1:18" ht="43" customHeight="1" x14ac:dyDescent="0.15">
      <c r="A4892" s="8" t="s">
        <v>26452</v>
      </c>
      <c r="B4892" s="9" t="s">
        <v>26453</v>
      </c>
      <c r="C4892" s="8" t="s">
        <v>26454</v>
      </c>
      <c r="D4892" s="8" t="s">
        <v>26454</v>
      </c>
      <c r="E4892" s="8" t="s">
        <v>26455</v>
      </c>
      <c r="F4892" s="8" t="s">
        <v>26331</v>
      </c>
      <c r="G4892" s="8" t="s">
        <v>26318</v>
      </c>
      <c r="H4892" s="8" t="s">
        <v>26319</v>
      </c>
      <c r="I4892" s="8" t="str">
        <f>HYPERLINK("http://antonelladauria.it/","antonelladauria.it")</f>
        <v>antonelladauria.it</v>
      </c>
      <c r="J4892" s="10">
        <v>33.840000000000003</v>
      </c>
      <c r="K4892" s="10">
        <v>33.840000000000003</v>
      </c>
      <c r="L4892" s="10">
        <v>8.7219999999999995</v>
      </c>
      <c r="M4892" s="10">
        <v>1.766</v>
      </c>
      <c r="N4892" s="10">
        <v>1.766</v>
      </c>
      <c r="O4892" s="10">
        <v>0.68500000000000005</v>
      </c>
      <c r="P4892" s="10">
        <v>0</v>
      </c>
      <c r="Q4892" s="10">
        <v>0</v>
      </c>
      <c r="R4892" s="10">
        <v>0</v>
      </c>
    </row>
    <row r="4893" spans="1:18" ht="17" customHeight="1" x14ac:dyDescent="0.15">
      <c r="A4893" s="11" t="s">
        <v>26456</v>
      </c>
      <c r="B4893" s="1" t="s">
        <v>26457</v>
      </c>
      <c r="C4893" s="11" t="s">
        <v>26458</v>
      </c>
      <c r="D4893" s="11" t="s">
        <v>26458</v>
      </c>
      <c r="E4893" s="11" t="s">
        <v>26459</v>
      </c>
      <c r="F4893" s="11" t="s">
        <v>26331</v>
      </c>
      <c r="G4893" s="11" t="s">
        <v>26460</v>
      </c>
      <c r="H4893" s="11" t="s">
        <v>26337</v>
      </c>
      <c r="I4893" s="11" t="str">
        <f>HYPERLINK("http://www.melitamaison.com/","www.melitamaison.com")</f>
        <v>www.melitamaison.com</v>
      </c>
      <c r="J4893" s="12">
        <v>20.946000000000002</v>
      </c>
      <c r="K4893" s="12">
        <v>20.946000000000002</v>
      </c>
      <c r="L4893" s="13">
        <v>8.7449999999999992</v>
      </c>
      <c r="M4893" s="12">
        <v>0.97599999999999998</v>
      </c>
      <c r="N4893" s="12">
        <v>0.97599999999999998</v>
      </c>
      <c r="O4893" s="12">
        <v>-0.13500000000000001</v>
      </c>
      <c r="P4893" s="12">
        <v>0</v>
      </c>
      <c r="Q4893" s="12">
        <v>0</v>
      </c>
      <c r="R4893" s="12">
        <v>0</v>
      </c>
    </row>
    <row r="4894" spans="1:18" ht="17" customHeight="1" x14ac:dyDescent="0.15">
      <c r="A4894" s="8" t="s">
        <v>26461</v>
      </c>
      <c r="B4894" s="9" t="s">
        <v>26462</v>
      </c>
      <c r="C4894" s="8" t="s">
        <v>26463</v>
      </c>
      <c r="D4894" s="8" t="s">
        <v>26463</v>
      </c>
      <c r="E4894" s="8" t="s">
        <v>26464</v>
      </c>
      <c r="F4894" s="8" t="s">
        <v>26317</v>
      </c>
      <c r="G4894" s="8" t="s">
        <v>26429</v>
      </c>
      <c r="H4894" s="8" t="s">
        <v>26418</v>
      </c>
      <c r="I4894" s="8" t="str">
        <f>HYPERLINK("http://www.farwaymilano.com/","www.farwaymilano.com")</f>
        <v>www.farwaymilano.com</v>
      </c>
      <c r="J4894" s="10">
        <v>10.454000000000001</v>
      </c>
      <c r="K4894" s="10">
        <v>10.454000000000001</v>
      </c>
      <c r="L4894" s="10">
        <v>8.66</v>
      </c>
      <c r="M4894" s="10">
        <v>0.42899999999999999</v>
      </c>
      <c r="N4894" s="10">
        <v>0.42899999999999999</v>
      </c>
      <c r="O4894" s="10">
        <v>-10.028</v>
      </c>
      <c r="P4894" s="10">
        <v>0</v>
      </c>
      <c r="Q4894" s="10">
        <v>0</v>
      </c>
      <c r="R4894" s="10">
        <v>0</v>
      </c>
    </row>
    <row r="4895" spans="1:18" ht="17" customHeight="1" x14ac:dyDescent="0.15">
      <c r="A4895" s="11" t="s">
        <v>26465</v>
      </c>
      <c r="B4895" s="1" t="s">
        <v>26466</v>
      </c>
      <c r="C4895" s="11" t="s">
        <v>26467</v>
      </c>
      <c r="D4895" s="11" t="s">
        <v>26467</v>
      </c>
      <c r="E4895" s="11" t="s">
        <v>26468</v>
      </c>
      <c r="F4895" s="11" t="s">
        <v>26469</v>
      </c>
      <c r="G4895" s="11" t="s">
        <v>26429</v>
      </c>
      <c r="H4895" s="11" t="s">
        <v>26418</v>
      </c>
      <c r="I4895" s="11" t="str">
        <f>HYPERLINK("http://losa1960.com/","losa1960.com")</f>
        <v>losa1960.com</v>
      </c>
      <c r="J4895" s="12">
        <v>9.3960000000000008</v>
      </c>
      <c r="K4895" s="12">
        <v>9.3960000000000008</v>
      </c>
      <c r="L4895" s="13">
        <v>8.4640000000000004</v>
      </c>
      <c r="M4895" s="12">
        <v>0.69799999999999995</v>
      </c>
      <c r="N4895" s="12">
        <v>0.69799999999999995</v>
      </c>
      <c r="O4895" s="12">
        <v>0.94899999999999995</v>
      </c>
      <c r="P4895" s="12">
        <v>0</v>
      </c>
      <c r="Q4895" s="12">
        <v>0</v>
      </c>
      <c r="R4895" s="12">
        <v>0</v>
      </c>
    </row>
    <row r="4896" spans="1:18" ht="17" customHeight="1" x14ac:dyDescent="0.15">
      <c r="A4896" s="8" t="s">
        <v>26470</v>
      </c>
      <c r="B4896" s="9" t="s">
        <v>26471</v>
      </c>
      <c r="C4896" s="8" t="s">
        <v>26472</v>
      </c>
      <c r="D4896" s="8" t="s">
        <v>26472</v>
      </c>
      <c r="E4896" s="8" t="s">
        <v>26473</v>
      </c>
      <c r="F4896" s="8" t="s">
        <v>26354</v>
      </c>
      <c r="G4896" s="8" t="s">
        <v>26411</v>
      </c>
      <c r="H4896" s="8" t="s">
        <v>26311</v>
      </c>
      <c r="I4896" s="8" t="str">
        <f>HYPERLINK("http://www.cdc-studio.it/","www.cdc-studio.it")</f>
        <v>www.cdc-studio.it</v>
      </c>
      <c r="J4896" s="10">
        <v>3.3860000000000001</v>
      </c>
      <c r="K4896" s="10">
        <v>3.3860000000000001</v>
      </c>
      <c r="L4896" s="10">
        <v>8.5359999999999996</v>
      </c>
      <c r="M4896" s="10">
        <v>-66.234999999999999</v>
      </c>
      <c r="N4896" s="10">
        <v>-66.234999999999999</v>
      </c>
      <c r="O4896" s="10">
        <v>-34.164000000000001</v>
      </c>
      <c r="P4896" s="10">
        <v>1</v>
      </c>
      <c r="Q4896" s="10">
        <v>1</v>
      </c>
      <c r="R4896" s="10">
        <v>2</v>
      </c>
    </row>
    <row r="4897" spans="1:18" ht="17" customHeight="1" x14ac:dyDescent="0.15">
      <c r="A4897" s="11" t="s">
        <v>26474</v>
      </c>
      <c r="B4897" s="1" t="s">
        <v>26475</v>
      </c>
      <c r="C4897" s="11" t="s">
        <v>26476</v>
      </c>
      <c r="D4897" s="11" t="s">
        <v>26476</v>
      </c>
      <c r="E4897" s="11" t="s">
        <v>26477</v>
      </c>
      <c r="F4897" s="11" t="s">
        <v>26478</v>
      </c>
      <c r="G4897" s="11" t="s">
        <v>26479</v>
      </c>
      <c r="H4897" s="11" t="s">
        <v>26480</v>
      </c>
      <c r="I4897" s="11" t="str">
        <f>HYPERLINK("http://www.esserestyle.com/","www.esserestyle.com")</f>
        <v>www.esserestyle.com</v>
      </c>
      <c r="J4897" s="12">
        <v>4.6459999999999999</v>
      </c>
      <c r="K4897" s="12">
        <v>4.6459999999999999</v>
      </c>
      <c r="L4897" s="13">
        <v>8.141</v>
      </c>
      <c r="M4897" s="12">
        <v>-2.6259999999999999</v>
      </c>
      <c r="N4897" s="12">
        <v>-2.6259999999999999</v>
      </c>
      <c r="O4897" s="12">
        <v>0.17199999999999999</v>
      </c>
      <c r="P4897" s="14" t="s">
        <v>26481</v>
      </c>
      <c r="Q4897" s="14" t="s">
        <v>26481</v>
      </c>
      <c r="R4897" s="14" t="s">
        <v>26481</v>
      </c>
    </row>
    <row r="4898" spans="1:18" ht="17" customHeight="1" x14ac:dyDescent="0.15">
      <c r="A4898" s="8" t="s">
        <v>26482</v>
      </c>
      <c r="B4898" s="9" t="s">
        <v>26483</v>
      </c>
      <c r="C4898" s="8" t="s">
        <v>26484</v>
      </c>
      <c r="D4898" s="8" t="s">
        <v>26484</v>
      </c>
      <c r="E4898" s="8" t="s">
        <v>26485</v>
      </c>
      <c r="F4898" s="8" t="s">
        <v>26486</v>
      </c>
      <c r="G4898" s="8" t="s">
        <v>26487</v>
      </c>
      <c r="H4898" s="8" t="s">
        <v>26488</v>
      </c>
      <c r="I4898" s="8" t="str">
        <f>HYPERLINK("http://www.myanami.it/","www.myanami.it")</f>
        <v>www.myanami.it</v>
      </c>
      <c r="J4898" s="10">
        <v>15.356</v>
      </c>
      <c r="K4898" s="10">
        <v>15.356</v>
      </c>
      <c r="L4898" s="10">
        <v>7.9939999999999998</v>
      </c>
      <c r="M4898" s="10">
        <v>-18.370999999999999</v>
      </c>
      <c r="N4898" s="10">
        <v>-18.370999999999999</v>
      </c>
      <c r="O4898" s="10">
        <v>-12.228999999999999</v>
      </c>
      <c r="P4898" s="10">
        <v>0</v>
      </c>
      <c r="Q4898" s="10">
        <v>0</v>
      </c>
      <c r="R4898" s="10">
        <v>0</v>
      </c>
    </row>
    <row r="4899" spans="1:18" ht="17" customHeight="1" x14ac:dyDescent="0.15">
      <c r="A4899" s="11" t="s">
        <v>26489</v>
      </c>
      <c r="B4899" s="1" t="s">
        <v>26490</v>
      </c>
      <c r="C4899" s="11" t="s">
        <v>26491</v>
      </c>
      <c r="D4899" s="11" t="s">
        <v>26491</v>
      </c>
      <c r="E4899" s="11" t="s">
        <v>26492</v>
      </c>
      <c r="F4899" s="11" t="s">
        <v>26493</v>
      </c>
      <c r="G4899" s="11" t="s">
        <v>26494</v>
      </c>
      <c r="H4899" s="11" t="s">
        <v>26495</v>
      </c>
      <c r="I4899" s="11" t="str">
        <f>HYPERLINK("http://www.schedonimodena.com/","www.schedonimodena.com")</f>
        <v>www.schedonimodena.com</v>
      </c>
      <c r="J4899" s="12">
        <v>8</v>
      </c>
      <c r="K4899" s="14" t="s">
        <v>26481</v>
      </c>
      <c r="L4899" s="13">
        <v>8</v>
      </c>
      <c r="M4899" s="12">
        <v>-72.742999999999995</v>
      </c>
      <c r="N4899" s="14" t="s">
        <v>26481</v>
      </c>
      <c r="O4899" s="12">
        <v>-72.742999999999995</v>
      </c>
      <c r="P4899" s="12">
        <v>0</v>
      </c>
      <c r="Q4899" s="14" t="s">
        <v>26481</v>
      </c>
      <c r="R4899" s="12">
        <v>0</v>
      </c>
    </row>
    <row r="4900" spans="1:18" ht="17" customHeight="1" x14ac:dyDescent="0.15">
      <c r="A4900" s="8" t="s">
        <v>26496</v>
      </c>
      <c r="B4900" s="9" t="s">
        <v>26497</v>
      </c>
      <c r="C4900" s="8" t="s">
        <v>26498</v>
      </c>
      <c r="D4900" s="8" t="s">
        <v>26498</v>
      </c>
      <c r="E4900" s="8" t="s">
        <v>26499</v>
      </c>
      <c r="F4900" s="8" t="s">
        <v>26500</v>
      </c>
      <c r="G4900" s="8" t="s">
        <v>26501</v>
      </c>
      <c r="H4900" s="8" t="s">
        <v>26502</v>
      </c>
      <c r="I4900" s="8" t="str">
        <f>HYPERLINK("http://www.sartoriagiulietta.it/","www.sartoriagiulietta.it")</f>
        <v>www.sartoriagiulietta.it</v>
      </c>
      <c r="J4900" s="10">
        <v>7.5659999999999998</v>
      </c>
      <c r="K4900" s="10">
        <v>7.5659999999999998</v>
      </c>
      <c r="L4900" s="10">
        <v>7.7789999999999999</v>
      </c>
      <c r="M4900" s="10">
        <v>0.17399999999999999</v>
      </c>
      <c r="N4900" s="10">
        <v>0.17399999999999999</v>
      </c>
      <c r="O4900" s="10">
        <v>0.23400000000000001</v>
      </c>
      <c r="P4900" s="10">
        <v>0</v>
      </c>
      <c r="Q4900" s="10">
        <v>0</v>
      </c>
      <c r="R4900" s="10">
        <v>0</v>
      </c>
    </row>
    <row r="4901" spans="1:18" ht="17" customHeight="1" x14ac:dyDescent="0.15">
      <c r="A4901" s="11" t="s">
        <v>26503</v>
      </c>
      <c r="B4901" s="1" t="s">
        <v>26504</v>
      </c>
      <c r="C4901" s="11" t="s">
        <v>26505</v>
      </c>
      <c r="D4901" s="11" t="s">
        <v>26505</v>
      </c>
      <c r="E4901" s="11" t="s">
        <v>26506</v>
      </c>
      <c r="F4901" s="11" t="s">
        <v>26507</v>
      </c>
      <c r="G4901" s="11" t="s">
        <v>26508</v>
      </c>
      <c r="H4901" s="11" t="s">
        <v>26488</v>
      </c>
      <c r="I4901" s="11" t="str">
        <f>HYPERLINK("http://mirellademori.com/","mirellademori.com")</f>
        <v>mirellademori.com</v>
      </c>
      <c r="J4901" s="12">
        <v>350.649</v>
      </c>
      <c r="K4901" s="12">
        <v>350.649</v>
      </c>
      <c r="L4901" s="13">
        <v>7.6740000000000004</v>
      </c>
      <c r="M4901" s="12">
        <v>13.317</v>
      </c>
      <c r="N4901" s="12">
        <v>13.317</v>
      </c>
      <c r="O4901" s="12">
        <v>0.79100000000000004</v>
      </c>
      <c r="P4901" s="12">
        <v>6</v>
      </c>
      <c r="Q4901" s="12">
        <v>6</v>
      </c>
      <c r="R4901" s="12">
        <v>0</v>
      </c>
    </row>
    <row r="4902" spans="1:18" ht="29.5" customHeight="1" x14ac:dyDescent="0.15">
      <c r="A4902" s="8" t="s">
        <v>26509</v>
      </c>
      <c r="B4902" s="9" t="s">
        <v>26510</v>
      </c>
      <c r="C4902" s="8" t="s">
        <v>26511</v>
      </c>
      <c r="D4902" s="8" t="s">
        <v>26511</v>
      </c>
      <c r="E4902" s="8" t="s">
        <v>26512</v>
      </c>
      <c r="F4902" s="8" t="s">
        <v>26513</v>
      </c>
      <c r="G4902" s="8" t="s">
        <v>26514</v>
      </c>
      <c r="H4902" s="8" t="s">
        <v>26495</v>
      </c>
      <c r="I4902" s="8" t="str">
        <f>HYPERLINK("http://intrepidglam.it/","intrepidglam.it")</f>
        <v>intrepidglam.it</v>
      </c>
      <c r="J4902" s="10">
        <v>91.326999999999998</v>
      </c>
      <c r="K4902" s="10">
        <v>91.326999999999998</v>
      </c>
      <c r="L4902" s="10">
        <v>7.5860000000000003</v>
      </c>
      <c r="M4902" s="10">
        <v>-177.16200000000001</v>
      </c>
      <c r="N4902" s="10">
        <v>-177.16200000000001</v>
      </c>
      <c r="O4902" s="10">
        <v>-239.58099999999999</v>
      </c>
      <c r="P4902" s="10">
        <v>0</v>
      </c>
      <c r="Q4902" s="10">
        <v>0</v>
      </c>
      <c r="R4902" s="10">
        <v>0</v>
      </c>
    </row>
    <row r="4903" spans="1:18" ht="17" customHeight="1" x14ac:dyDescent="0.15">
      <c r="A4903" s="11" t="s">
        <v>26515</v>
      </c>
      <c r="B4903" s="1" t="s">
        <v>26516</v>
      </c>
      <c r="C4903" s="11" t="s">
        <v>26517</v>
      </c>
      <c r="D4903" s="11" t="s">
        <v>26517</v>
      </c>
      <c r="E4903" s="11" t="s">
        <v>26518</v>
      </c>
      <c r="F4903" s="11" t="s">
        <v>26519</v>
      </c>
      <c r="G4903" s="11" t="s">
        <v>26520</v>
      </c>
      <c r="H4903" s="11" t="s">
        <v>26488</v>
      </c>
      <c r="I4903" s="11" t="str">
        <f>HYPERLINK("http://unpunto.it/","unpunto.it")</f>
        <v>unpunto.it</v>
      </c>
      <c r="J4903" s="12">
        <v>2.95</v>
      </c>
      <c r="K4903" s="12">
        <v>2.95</v>
      </c>
      <c r="L4903" s="13">
        <v>7.3</v>
      </c>
      <c r="M4903" s="12">
        <v>-4.9390000000000001</v>
      </c>
      <c r="N4903" s="12">
        <v>-4.9390000000000001</v>
      </c>
      <c r="O4903" s="12">
        <v>3.048</v>
      </c>
      <c r="P4903" s="12">
        <v>0</v>
      </c>
      <c r="Q4903" s="12">
        <v>0</v>
      </c>
      <c r="R4903" s="12">
        <v>0</v>
      </c>
    </row>
    <row r="4904" spans="1:18" ht="17" customHeight="1" x14ac:dyDescent="0.15">
      <c r="A4904" s="8" t="s">
        <v>26521</v>
      </c>
      <c r="B4904" s="9" t="s">
        <v>26522</v>
      </c>
      <c r="C4904" s="8" t="s">
        <v>26523</v>
      </c>
      <c r="D4904" s="8" t="s">
        <v>26523</v>
      </c>
      <c r="E4904" s="8" t="s">
        <v>26524</v>
      </c>
      <c r="F4904" s="8" t="s">
        <v>26493</v>
      </c>
      <c r="G4904" s="8" t="s">
        <v>26525</v>
      </c>
      <c r="H4904" s="8" t="s">
        <v>26526</v>
      </c>
      <c r="I4904" s="8" t="str">
        <f>HYPERLINK("http://www.kontessa.it/","www.kontessa.it")</f>
        <v>www.kontessa.it</v>
      </c>
      <c r="J4904" s="10">
        <v>7.2</v>
      </c>
      <c r="K4904" s="10">
        <v>7.2</v>
      </c>
      <c r="L4904" s="10">
        <v>7.2009999999999996</v>
      </c>
      <c r="M4904" s="10">
        <v>2.8860000000000001</v>
      </c>
      <c r="N4904" s="10">
        <v>2.8860000000000001</v>
      </c>
      <c r="O4904" s="10">
        <v>1.6830000000000001</v>
      </c>
      <c r="P4904" s="10">
        <v>0</v>
      </c>
      <c r="Q4904" s="10">
        <v>0</v>
      </c>
      <c r="R4904" s="10">
        <v>0</v>
      </c>
    </row>
    <row r="4905" spans="1:18" ht="17" customHeight="1" x14ac:dyDescent="0.15">
      <c r="A4905" s="11" t="s">
        <v>26527</v>
      </c>
      <c r="B4905" s="1" t="s">
        <v>26528</v>
      </c>
      <c r="C4905" s="11" t="s">
        <v>26529</v>
      </c>
      <c r="D4905" s="11" t="s">
        <v>26529</v>
      </c>
      <c r="E4905" s="11" t="s">
        <v>26530</v>
      </c>
      <c r="F4905" s="11" t="s">
        <v>26486</v>
      </c>
      <c r="G4905" s="11" t="s">
        <v>26531</v>
      </c>
      <c r="H4905" s="11" t="s">
        <v>26526</v>
      </c>
      <c r="I4905" s="11" t="str">
        <f>HYPERLINK("http://amazuin.com/","amazuin.com")</f>
        <v>amazuin.com</v>
      </c>
      <c r="J4905" s="12">
        <v>552.20899999999995</v>
      </c>
      <c r="K4905" s="12">
        <v>552.20899999999995</v>
      </c>
      <c r="L4905" s="13">
        <v>7.125</v>
      </c>
      <c r="M4905" s="12">
        <v>45.972999999999999</v>
      </c>
      <c r="N4905" s="12">
        <v>45.972999999999999</v>
      </c>
      <c r="O4905" s="12">
        <v>-5.7169999999999996</v>
      </c>
      <c r="P4905" s="12">
        <v>2</v>
      </c>
      <c r="Q4905" s="12">
        <v>2</v>
      </c>
      <c r="R4905" s="12">
        <v>1</v>
      </c>
    </row>
    <row r="4906" spans="1:18" ht="17" customHeight="1" x14ac:dyDescent="0.15">
      <c r="A4906" s="8" t="s">
        <v>26532</v>
      </c>
      <c r="B4906" s="9" t="s">
        <v>26533</v>
      </c>
      <c r="C4906" s="8" t="s">
        <v>26534</v>
      </c>
      <c r="D4906" s="8" t="s">
        <v>26534</v>
      </c>
      <c r="E4906" s="8" t="s">
        <v>26535</v>
      </c>
      <c r="F4906" s="8" t="s">
        <v>26507</v>
      </c>
      <c r="G4906" s="8" t="s">
        <v>26536</v>
      </c>
      <c r="H4906" s="8" t="s">
        <v>26537</v>
      </c>
      <c r="I4906" s="8" t="str">
        <f>HYPERLINK("http://www.purecachemire.com/","www.purecachemire.com")</f>
        <v>www.purecachemire.com</v>
      </c>
      <c r="J4906" s="10">
        <v>5.6000000000000001E-2</v>
      </c>
      <c r="K4906" s="10">
        <v>5.6000000000000001E-2</v>
      </c>
      <c r="L4906" s="10">
        <v>6.73</v>
      </c>
      <c r="M4906" s="10">
        <v>-31.53</v>
      </c>
      <c r="N4906" s="10">
        <v>-31.53</v>
      </c>
      <c r="O4906" s="10">
        <v>-14.531000000000001</v>
      </c>
      <c r="P4906" s="10">
        <v>0</v>
      </c>
      <c r="Q4906" s="10">
        <v>0</v>
      </c>
      <c r="R4906" s="10">
        <v>0</v>
      </c>
    </row>
    <row r="4907" spans="1:18" ht="17" customHeight="1" x14ac:dyDescent="0.15">
      <c r="A4907" s="11" t="s">
        <v>26538</v>
      </c>
      <c r="B4907" s="1" t="s">
        <v>26539</v>
      </c>
      <c r="C4907" s="11" t="s">
        <v>26540</v>
      </c>
      <c r="D4907" s="11" t="s">
        <v>26540</v>
      </c>
      <c r="E4907" s="11" t="s">
        <v>26541</v>
      </c>
      <c r="F4907" s="11" t="s">
        <v>26519</v>
      </c>
      <c r="G4907" s="11" t="s">
        <v>26542</v>
      </c>
      <c r="H4907" s="11" t="s">
        <v>26543</v>
      </c>
      <c r="I4907" s="11" t="str">
        <f>HYPERLINK("http://www.diben.it/","http://www.diben.it")</f>
        <v>http://www.diben.it</v>
      </c>
      <c r="J4907" s="12">
        <v>0</v>
      </c>
      <c r="K4907" s="12">
        <v>0</v>
      </c>
      <c r="L4907" s="13">
        <v>6.47</v>
      </c>
      <c r="M4907" s="12">
        <v>-2.3E-2</v>
      </c>
      <c r="N4907" s="12">
        <v>-2.3E-2</v>
      </c>
      <c r="O4907" s="12">
        <v>44.223999999999997</v>
      </c>
      <c r="P4907" s="14" t="s">
        <v>26481</v>
      </c>
      <c r="Q4907" s="14" t="s">
        <v>26481</v>
      </c>
      <c r="R4907" s="12">
        <v>1</v>
      </c>
    </row>
    <row r="4908" spans="1:18" ht="17" customHeight="1" x14ac:dyDescent="0.15">
      <c r="A4908" s="8" t="s">
        <v>26544</v>
      </c>
      <c r="B4908" s="9" t="s">
        <v>26545</v>
      </c>
      <c r="C4908" s="8" t="s">
        <v>26546</v>
      </c>
      <c r="D4908" s="8" t="s">
        <v>26546</v>
      </c>
      <c r="E4908" s="8" t="s">
        <v>26547</v>
      </c>
      <c r="F4908" s="8" t="s">
        <v>26548</v>
      </c>
      <c r="G4908" s="8" t="s">
        <v>26549</v>
      </c>
      <c r="H4908" s="8" t="s">
        <v>26550</v>
      </c>
      <c r="I4908" s="8" t="str">
        <f>HYPERLINK("http://www.nandodinunzio.com/","www.nandodinunzio.com")</f>
        <v>www.nandodinunzio.com</v>
      </c>
      <c r="J4908" s="10">
        <v>2.3109999999999999</v>
      </c>
      <c r="K4908" s="10">
        <v>2.3109999999999999</v>
      </c>
      <c r="L4908" s="10">
        <v>6.4340000000000002</v>
      </c>
      <c r="M4908" s="10">
        <v>0.49099999999999999</v>
      </c>
      <c r="N4908" s="10">
        <v>0.49099999999999999</v>
      </c>
      <c r="O4908" s="10">
        <v>-15.098000000000001</v>
      </c>
      <c r="P4908" s="10">
        <v>0</v>
      </c>
      <c r="Q4908" s="10">
        <v>0</v>
      </c>
      <c r="R4908" s="10">
        <v>0</v>
      </c>
    </row>
    <row r="4909" spans="1:18" ht="43" customHeight="1" x14ac:dyDescent="0.15">
      <c r="A4909" s="11" t="s">
        <v>26551</v>
      </c>
      <c r="B4909" s="1" t="s">
        <v>26552</v>
      </c>
      <c r="C4909" s="11" t="s">
        <v>26553</v>
      </c>
      <c r="D4909" s="11" t="s">
        <v>26553</v>
      </c>
      <c r="E4909" s="11" t="s">
        <v>26554</v>
      </c>
      <c r="F4909" s="11" t="s">
        <v>26507</v>
      </c>
      <c r="G4909" s="11" t="s">
        <v>26555</v>
      </c>
      <c r="H4909" s="11" t="s">
        <v>26526</v>
      </c>
      <c r="I4909" s="11" t="str">
        <f>HYPERLINK("http://www.italianlines.it/","www.italianlines.it")</f>
        <v>www.italianlines.it</v>
      </c>
      <c r="J4909" s="12">
        <v>31.411999999999999</v>
      </c>
      <c r="K4909" s="12">
        <v>31.411999999999999</v>
      </c>
      <c r="L4909" s="13">
        <v>6.2539999999999996</v>
      </c>
      <c r="M4909" s="12">
        <v>8.1210000000000004</v>
      </c>
      <c r="N4909" s="12">
        <v>8.1210000000000004</v>
      </c>
      <c r="O4909" s="12">
        <v>-10.215</v>
      </c>
      <c r="P4909" s="12">
        <v>0</v>
      </c>
      <c r="Q4909" s="12">
        <v>0</v>
      </c>
      <c r="R4909" s="14" t="s">
        <v>26481</v>
      </c>
    </row>
    <row r="4910" spans="1:18" ht="43" customHeight="1" x14ac:dyDescent="0.15">
      <c r="A4910" s="8" t="s">
        <v>26556</v>
      </c>
      <c r="B4910" s="9" t="s">
        <v>26557</v>
      </c>
      <c r="C4910" s="8" t="s">
        <v>26558</v>
      </c>
      <c r="D4910" s="8" t="s">
        <v>26558</v>
      </c>
      <c r="E4910" s="8" t="s">
        <v>26559</v>
      </c>
      <c r="F4910" s="8" t="s">
        <v>26560</v>
      </c>
      <c r="G4910" s="8" t="s">
        <v>26561</v>
      </c>
      <c r="H4910" s="8" t="s">
        <v>26502</v>
      </c>
      <c r="I4910" s="8" t="str">
        <f>HYPERLINK("http://www.metodlab.com/","www.metodlab.com")</f>
        <v>www.metodlab.com</v>
      </c>
      <c r="J4910" s="10">
        <v>3.72</v>
      </c>
      <c r="K4910" s="10">
        <v>3.72</v>
      </c>
      <c r="L4910" s="10">
        <v>6.1559999999999997</v>
      </c>
      <c r="M4910" s="10">
        <v>-0.108</v>
      </c>
      <c r="N4910" s="10">
        <v>-0.108</v>
      </c>
      <c r="O4910" s="10">
        <v>1.738</v>
      </c>
      <c r="P4910" s="15" t="s">
        <v>26481</v>
      </c>
      <c r="Q4910" s="15" t="s">
        <v>26481</v>
      </c>
      <c r="R4910" s="15" t="s">
        <v>26481</v>
      </c>
    </row>
    <row r="4911" spans="1:18" ht="17" customHeight="1" x14ac:dyDescent="0.15">
      <c r="A4911" s="11" t="s">
        <v>26562</v>
      </c>
      <c r="B4911" s="1" t="s">
        <v>26563</v>
      </c>
      <c r="C4911" s="11" t="s">
        <v>26564</v>
      </c>
      <c r="D4911" s="11" t="s">
        <v>26564</v>
      </c>
      <c r="E4911" s="11" t="s">
        <v>26565</v>
      </c>
      <c r="F4911" s="11" t="s">
        <v>26500</v>
      </c>
      <c r="G4911" s="11" t="s">
        <v>26487</v>
      </c>
      <c r="H4911" s="11" t="s">
        <v>26488</v>
      </c>
      <c r="I4911" s="11" t="str">
        <f>HYPERLINK("http://www.svetamilano.com/","www.svetamilano.com")</f>
        <v>www.svetamilano.com</v>
      </c>
      <c r="J4911" s="12">
        <v>8.2569999999999997</v>
      </c>
      <c r="K4911" s="12">
        <v>8.2569999999999997</v>
      </c>
      <c r="L4911" s="13">
        <v>5.9939999999999998</v>
      </c>
      <c r="M4911" s="12">
        <v>-23.652999999999999</v>
      </c>
      <c r="N4911" s="12">
        <v>-23.652999999999999</v>
      </c>
      <c r="O4911" s="12">
        <v>-101.81100000000001</v>
      </c>
      <c r="P4911" s="12">
        <v>0</v>
      </c>
      <c r="Q4911" s="12">
        <v>0</v>
      </c>
      <c r="R4911" s="12">
        <v>0</v>
      </c>
    </row>
    <row r="4912" spans="1:18" ht="17" customHeight="1" x14ac:dyDescent="0.15">
      <c r="A4912" s="8" t="s">
        <v>26566</v>
      </c>
      <c r="B4912" s="9" t="s">
        <v>26567</v>
      </c>
      <c r="C4912" s="8" t="s">
        <v>26568</v>
      </c>
      <c r="D4912" s="8" t="s">
        <v>26568</v>
      </c>
      <c r="E4912" s="8" t="s">
        <v>26569</v>
      </c>
      <c r="F4912" s="8" t="s">
        <v>26478</v>
      </c>
      <c r="G4912" s="8" t="s">
        <v>26555</v>
      </c>
      <c r="H4912" s="8" t="s">
        <v>26526</v>
      </c>
      <c r="I4912" s="8" t="str">
        <f>HYPERLINK("http://www.secondlifefeathers.it/","www.secondlifefeathers.it")</f>
        <v>www.secondlifefeathers.it</v>
      </c>
      <c r="J4912" s="10">
        <v>161.53100000000001</v>
      </c>
      <c r="K4912" s="10">
        <v>161.53100000000001</v>
      </c>
      <c r="L4912" s="10">
        <v>5.9249999999999998</v>
      </c>
      <c r="M4912" s="10">
        <v>30.84</v>
      </c>
      <c r="N4912" s="10">
        <v>30.84</v>
      </c>
      <c r="O4912" s="10">
        <v>-28.32</v>
      </c>
      <c r="P4912" s="10">
        <v>1</v>
      </c>
      <c r="Q4912" s="10">
        <v>1</v>
      </c>
      <c r="R4912" s="10">
        <v>1</v>
      </c>
    </row>
    <row r="4913" spans="1:18" ht="17" customHeight="1" x14ac:dyDescent="0.15">
      <c r="A4913" s="11" t="s">
        <v>26570</v>
      </c>
      <c r="B4913" s="1" t="s">
        <v>26571</v>
      </c>
      <c r="C4913" s="11" t="s">
        <v>26572</v>
      </c>
      <c r="D4913" s="11" t="s">
        <v>26572</v>
      </c>
      <c r="E4913" s="11" t="s">
        <v>26573</v>
      </c>
      <c r="F4913" s="11" t="s">
        <v>26478</v>
      </c>
      <c r="G4913" s="11" t="s">
        <v>26561</v>
      </c>
      <c r="H4913" s="11" t="s">
        <v>26502</v>
      </c>
      <c r="I4913" s="11" t="str">
        <f>HYPERLINK("http://www.zummy.it/","www.zummy.it")</f>
        <v>www.zummy.it</v>
      </c>
      <c r="J4913" s="12">
        <v>15.12</v>
      </c>
      <c r="K4913" s="12">
        <v>15.12</v>
      </c>
      <c r="L4913" s="13">
        <v>5.718</v>
      </c>
      <c r="M4913" s="12">
        <v>-120.81699999999999</v>
      </c>
      <c r="N4913" s="12">
        <v>-120.81699999999999</v>
      </c>
      <c r="O4913" s="12">
        <v>-253.947</v>
      </c>
      <c r="P4913" s="12">
        <v>1</v>
      </c>
      <c r="Q4913" s="12">
        <v>1</v>
      </c>
      <c r="R4913" s="12">
        <v>1</v>
      </c>
    </row>
    <row r="4914" spans="1:18" ht="17" customHeight="1" x14ac:dyDescent="0.15">
      <c r="A4914" s="8" t="s">
        <v>26574</v>
      </c>
      <c r="B4914" s="9" t="s">
        <v>26575</v>
      </c>
      <c r="C4914" s="8" t="s">
        <v>26576</v>
      </c>
      <c r="D4914" s="8" t="s">
        <v>26576</v>
      </c>
      <c r="E4914" s="8" t="s">
        <v>26577</v>
      </c>
      <c r="F4914" s="8" t="s">
        <v>26507</v>
      </c>
      <c r="G4914" s="8" t="s">
        <v>26578</v>
      </c>
      <c r="H4914" s="8" t="s">
        <v>26543</v>
      </c>
      <c r="I4914" s="8" t="str">
        <f>HYPERLINK("http://www.fortunale.it/","www.fortunale.it")</f>
        <v>www.fortunale.it</v>
      </c>
      <c r="J4914" s="10">
        <v>4.37</v>
      </c>
      <c r="K4914" s="10">
        <v>4.37</v>
      </c>
      <c r="L4914" s="10">
        <v>5.734</v>
      </c>
      <c r="M4914" s="10">
        <v>0.17599999999999999</v>
      </c>
      <c r="N4914" s="10">
        <v>0.17599999999999999</v>
      </c>
      <c r="O4914" s="10">
        <v>-7.3</v>
      </c>
      <c r="P4914" s="10">
        <v>0</v>
      </c>
      <c r="Q4914" s="10">
        <v>0</v>
      </c>
      <c r="R4914" s="10">
        <v>0</v>
      </c>
    </row>
    <row r="4915" spans="1:18" ht="17" customHeight="1" x14ac:dyDescent="0.15">
      <c r="A4915" s="11" t="s">
        <v>26579</v>
      </c>
      <c r="B4915" s="1" t="s">
        <v>26580</v>
      </c>
      <c r="C4915" s="11" t="s">
        <v>26581</v>
      </c>
      <c r="D4915" s="11" t="s">
        <v>26581</v>
      </c>
      <c r="E4915" s="11" t="s">
        <v>26582</v>
      </c>
      <c r="F4915" s="11" t="s">
        <v>26486</v>
      </c>
      <c r="G4915" s="11" t="s">
        <v>26583</v>
      </c>
      <c r="H4915" s="11" t="s">
        <v>26537</v>
      </c>
      <c r="I4915" s="11" t="str">
        <f>HYPERLINK("http://www.gaiavittoria.com/","www.gaiavittoria.com")</f>
        <v>www.gaiavittoria.com</v>
      </c>
      <c r="J4915" s="12">
        <v>33.1</v>
      </c>
      <c r="K4915" s="12">
        <v>33.1</v>
      </c>
      <c r="L4915" s="13">
        <v>5.5049999999999999</v>
      </c>
      <c r="M4915" s="12">
        <v>-10.682</v>
      </c>
      <c r="N4915" s="12">
        <v>-10.682</v>
      </c>
      <c r="O4915" s="12">
        <v>-12.114000000000001</v>
      </c>
      <c r="P4915" s="12">
        <v>0</v>
      </c>
      <c r="Q4915" s="12">
        <v>0</v>
      </c>
      <c r="R4915" s="12">
        <v>0</v>
      </c>
    </row>
    <row r="4916" spans="1:18" ht="17" customHeight="1" x14ac:dyDescent="0.15">
      <c r="A4916" s="8" t="s">
        <v>26584</v>
      </c>
      <c r="B4916" s="9" t="s">
        <v>26585</v>
      </c>
      <c r="C4916" s="8" t="s">
        <v>26586</v>
      </c>
      <c r="D4916" s="8" t="s">
        <v>26586</v>
      </c>
      <c r="E4916" s="8" t="s">
        <v>26587</v>
      </c>
      <c r="F4916" s="8" t="s">
        <v>26478</v>
      </c>
      <c r="G4916" s="8" t="s">
        <v>26588</v>
      </c>
      <c r="H4916" s="8" t="s">
        <v>26502</v>
      </c>
      <c r="I4916" s="8" t="str">
        <f>HYPERLINK("http://lugglet.it/","lugglet.it")</f>
        <v>lugglet.it</v>
      </c>
      <c r="J4916" s="10">
        <v>3.3290000000000002</v>
      </c>
      <c r="K4916" s="10">
        <v>3.3290000000000002</v>
      </c>
      <c r="L4916" s="10">
        <v>5.1980000000000004</v>
      </c>
      <c r="M4916" s="10">
        <v>-21.72</v>
      </c>
      <c r="N4916" s="10">
        <v>-21.72</v>
      </c>
      <c r="O4916" s="10">
        <v>1.0840000000000001</v>
      </c>
      <c r="P4916" s="10">
        <v>0</v>
      </c>
      <c r="Q4916" s="10">
        <v>0</v>
      </c>
      <c r="R4916" s="10">
        <v>0</v>
      </c>
    </row>
    <row r="4917" spans="1:18" ht="17" customHeight="1" x14ac:dyDescent="0.15">
      <c r="A4917" s="11" t="s">
        <v>26589</v>
      </c>
      <c r="B4917" s="1" t="s">
        <v>26590</v>
      </c>
      <c r="C4917" s="11" t="s">
        <v>26591</v>
      </c>
      <c r="D4917" s="11" t="s">
        <v>26591</v>
      </c>
      <c r="E4917" s="11" t="s">
        <v>26592</v>
      </c>
      <c r="F4917" s="11" t="s">
        <v>26560</v>
      </c>
      <c r="G4917" s="11" t="s">
        <v>26508</v>
      </c>
      <c r="H4917" s="11" t="s">
        <v>26488</v>
      </c>
      <c r="I4917" s="11" t="str">
        <f>HYPERLINK("http://www.daema.it/","www.daema.it")</f>
        <v>www.daema.it</v>
      </c>
      <c r="J4917" s="12">
        <v>1.218</v>
      </c>
      <c r="K4917" s="12">
        <v>1.218</v>
      </c>
      <c r="L4917" s="13">
        <v>5.2160000000000002</v>
      </c>
      <c r="M4917" s="12">
        <v>0.66400000000000003</v>
      </c>
      <c r="N4917" s="12">
        <v>0.66400000000000003</v>
      </c>
      <c r="O4917" s="12">
        <v>-0.125</v>
      </c>
      <c r="P4917" s="12">
        <v>0</v>
      </c>
      <c r="Q4917" s="12">
        <v>0</v>
      </c>
      <c r="R4917" s="12">
        <v>0</v>
      </c>
    </row>
    <row r="4918" spans="1:18" ht="17" customHeight="1" x14ac:dyDescent="0.15">
      <c r="A4918" s="8" t="s">
        <v>26593</v>
      </c>
      <c r="B4918" s="9" t="s">
        <v>26594</v>
      </c>
      <c r="C4918" s="8" t="s">
        <v>26595</v>
      </c>
      <c r="D4918" s="8" t="s">
        <v>26595</v>
      </c>
      <c r="E4918" s="8" t="s">
        <v>26596</v>
      </c>
      <c r="F4918" s="8" t="s">
        <v>26597</v>
      </c>
      <c r="G4918" s="8" t="s">
        <v>26494</v>
      </c>
      <c r="H4918" s="8" t="s">
        <v>26495</v>
      </c>
      <c r="I4918" s="8" t="str">
        <f>HYPERLINK("http://www.gait-tech.it/","www.gait-tech.it")</f>
        <v>www.gait-tech.it</v>
      </c>
      <c r="J4918" s="10">
        <v>0.91300000000000003</v>
      </c>
      <c r="K4918" s="10">
        <v>0.91300000000000003</v>
      </c>
      <c r="L4918" s="10">
        <v>5</v>
      </c>
      <c r="M4918" s="10">
        <v>-113.212</v>
      </c>
      <c r="N4918" s="10">
        <v>-113.212</v>
      </c>
      <c r="O4918" s="10">
        <v>-47.540999999999997</v>
      </c>
      <c r="P4918" s="10">
        <v>0</v>
      </c>
      <c r="Q4918" s="10">
        <v>0</v>
      </c>
      <c r="R4918" s="10">
        <v>0</v>
      </c>
    </row>
    <row r="4919" spans="1:18" ht="17" customHeight="1" x14ac:dyDescent="0.15">
      <c r="A4919" s="11" t="s">
        <v>26598</v>
      </c>
      <c r="B4919" s="1" t="s">
        <v>26599</v>
      </c>
      <c r="C4919" s="11" t="s">
        <v>26600</v>
      </c>
      <c r="D4919" s="11" t="s">
        <v>26600</v>
      </c>
      <c r="E4919" s="11" t="s">
        <v>26601</v>
      </c>
      <c r="F4919" s="11" t="s">
        <v>26486</v>
      </c>
      <c r="G4919" s="11" t="s">
        <v>26494</v>
      </c>
      <c r="H4919" s="11" t="s">
        <v>26495</v>
      </c>
      <c r="I4919" s="11" t="str">
        <f>HYPERLINK("http://www.industrial-clothing.it/","www.industrial-clothing.it")</f>
        <v>www.industrial-clothing.it</v>
      </c>
      <c r="J4919" s="12">
        <v>33.036000000000001</v>
      </c>
      <c r="K4919" s="12">
        <v>33.036000000000001</v>
      </c>
      <c r="L4919" s="13">
        <v>4.8899999999999997</v>
      </c>
      <c r="M4919" s="12">
        <v>10.72</v>
      </c>
      <c r="N4919" s="12">
        <v>10.72</v>
      </c>
      <c r="O4919" s="12">
        <v>1.347</v>
      </c>
      <c r="P4919" s="12">
        <v>0</v>
      </c>
      <c r="Q4919" s="12">
        <v>0</v>
      </c>
      <c r="R4919" s="12">
        <v>0</v>
      </c>
    </row>
    <row r="4920" spans="1:18" ht="17" customHeight="1" x14ac:dyDescent="0.15">
      <c r="A4920" s="8" t="s">
        <v>26602</v>
      </c>
      <c r="B4920" s="9" t="s">
        <v>26603</v>
      </c>
      <c r="C4920" s="8" t="s">
        <v>26604</v>
      </c>
      <c r="D4920" s="8" t="s">
        <v>26604</v>
      </c>
      <c r="E4920" s="8" t="s">
        <v>26605</v>
      </c>
      <c r="F4920" s="8" t="s">
        <v>26500</v>
      </c>
      <c r="G4920" s="8" t="s">
        <v>26606</v>
      </c>
      <c r="H4920" s="8" t="s">
        <v>26607</v>
      </c>
      <c r="I4920" s="8" t="str">
        <f>HYPERLINK("http://www.capricebespoke.com/","www.capricebespoke.com")</f>
        <v>www.capricebespoke.com</v>
      </c>
      <c r="J4920" s="10">
        <v>19.161000000000001</v>
      </c>
      <c r="K4920" s="10">
        <v>19.161000000000001</v>
      </c>
      <c r="L4920" s="10">
        <v>4.7789999999999999</v>
      </c>
      <c r="M4920" s="10">
        <v>-17.183</v>
      </c>
      <c r="N4920" s="10">
        <v>-17.183</v>
      </c>
      <c r="O4920" s="10">
        <v>-24.602</v>
      </c>
      <c r="P4920" s="10">
        <v>0</v>
      </c>
      <c r="Q4920" s="10">
        <v>0</v>
      </c>
      <c r="R4920" s="10">
        <v>0</v>
      </c>
    </row>
    <row r="4921" spans="1:18" ht="17" customHeight="1" x14ac:dyDescent="0.15">
      <c r="A4921" s="11" t="s">
        <v>26608</v>
      </c>
      <c r="B4921" s="1" t="s">
        <v>26609</v>
      </c>
      <c r="C4921" s="11" t="s">
        <v>26610</v>
      </c>
      <c r="D4921" s="11" t="s">
        <v>26610</v>
      </c>
      <c r="E4921" s="11" t="s">
        <v>26611</v>
      </c>
      <c r="F4921" s="11" t="s">
        <v>26493</v>
      </c>
      <c r="G4921" s="11" t="s">
        <v>26514</v>
      </c>
      <c r="H4921" s="11" t="s">
        <v>26495</v>
      </c>
      <c r="I4921" s="11" t="str">
        <f>HYPERLINK("http://pugnettiparmabags.com/","pugnettiparmabags.com")</f>
        <v>pugnettiparmabags.com</v>
      </c>
      <c r="J4921" s="12">
        <v>6.1779999999999999</v>
      </c>
      <c r="K4921" s="12">
        <v>6.1779999999999999</v>
      </c>
      <c r="L4921" s="13">
        <v>4.8239999999999998</v>
      </c>
      <c r="M4921" s="12">
        <v>-2.956</v>
      </c>
      <c r="N4921" s="12">
        <v>-2.956</v>
      </c>
      <c r="O4921" s="12">
        <v>0.25600000000000001</v>
      </c>
      <c r="P4921" s="12">
        <v>0</v>
      </c>
      <c r="Q4921" s="12">
        <v>0</v>
      </c>
      <c r="R4921" s="12">
        <v>0</v>
      </c>
    </row>
    <row r="4922" spans="1:18" ht="17" customHeight="1" x14ac:dyDescent="0.15">
      <c r="A4922" s="8" t="s">
        <v>26612</v>
      </c>
      <c r="B4922" s="9" t="s">
        <v>26613</v>
      </c>
      <c r="C4922" s="8" t="s">
        <v>26614</v>
      </c>
      <c r="D4922" s="8" t="s">
        <v>26614</v>
      </c>
      <c r="E4922" s="8" t="s">
        <v>26615</v>
      </c>
      <c r="F4922" s="8" t="s">
        <v>26616</v>
      </c>
      <c r="G4922" s="8" t="s">
        <v>26487</v>
      </c>
      <c r="H4922" s="8" t="s">
        <v>26488</v>
      </c>
      <c r="I4922" s="8" t="str">
        <f>HYPERLINK("http://dzoye.com/","dzoye.com")</f>
        <v>dzoye.com</v>
      </c>
      <c r="J4922" s="10">
        <v>7.6109999999999998</v>
      </c>
      <c r="K4922" s="10">
        <v>7.6109999999999998</v>
      </c>
      <c r="L4922" s="10">
        <v>4.2619999999999996</v>
      </c>
      <c r="M4922" s="10">
        <v>0.108</v>
      </c>
      <c r="N4922" s="10">
        <v>0.108</v>
      </c>
      <c r="O4922" s="10">
        <v>-2.488</v>
      </c>
      <c r="P4922" s="10">
        <v>0</v>
      </c>
      <c r="Q4922" s="10">
        <v>0</v>
      </c>
      <c r="R4922" s="10">
        <v>0</v>
      </c>
    </row>
    <row r="4923" spans="1:18" ht="17" customHeight="1" x14ac:dyDescent="0.15">
      <c r="A4923" s="11" t="s">
        <v>26617</v>
      </c>
      <c r="B4923" s="1" t="s">
        <v>26618</v>
      </c>
      <c r="C4923" s="11" t="s">
        <v>26619</v>
      </c>
      <c r="D4923" s="11" t="s">
        <v>26619</v>
      </c>
      <c r="E4923" s="11" t="s">
        <v>26620</v>
      </c>
      <c r="F4923" s="11" t="s">
        <v>26507</v>
      </c>
      <c r="G4923" s="11" t="s">
        <v>26494</v>
      </c>
      <c r="H4923" s="11" t="s">
        <v>26495</v>
      </c>
      <c r="I4923" s="11" t="str">
        <f>HYPERLINK("http://www.batteilcuore.com/","www.batteilcuore.com")</f>
        <v>www.batteilcuore.com</v>
      </c>
      <c r="J4923" s="12">
        <v>4.274</v>
      </c>
      <c r="K4923" s="14" t="s">
        <v>26481</v>
      </c>
      <c r="L4923" s="13">
        <v>4.274</v>
      </c>
      <c r="M4923" s="12">
        <v>-104.505</v>
      </c>
      <c r="N4923" s="14" t="s">
        <v>26481</v>
      </c>
      <c r="O4923" s="12">
        <v>-104.505</v>
      </c>
      <c r="P4923" s="12">
        <v>0</v>
      </c>
      <c r="Q4923" s="14" t="s">
        <v>26481</v>
      </c>
      <c r="R4923" s="12">
        <v>0</v>
      </c>
    </row>
    <row r="4924" spans="1:18" ht="43" customHeight="1" x14ac:dyDescent="0.15">
      <c r="A4924" s="8" t="s">
        <v>26621</v>
      </c>
      <c r="B4924" s="9" t="s">
        <v>26622</v>
      </c>
      <c r="C4924" s="8" t="s">
        <v>26623</v>
      </c>
      <c r="D4924" s="8" t="s">
        <v>26623</v>
      </c>
      <c r="E4924" s="8" t="s">
        <v>26624</v>
      </c>
      <c r="F4924" s="8" t="s">
        <v>26548</v>
      </c>
      <c r="G4924" s="8" t="s">
        <v>26625</v>
      </c>
      <c r="H4924" s="8" t="s">
        <v>26550</v>
      </c>
      <c r="I4924" s="8" t="str">
        <f>HYPERLINK("http://upmodainpelle.it/","upmodainpelle.it")</f>
        <v>upmodainpelle.it</v>
      </c>
      <c r="J4924" s="10">
        <v>5.5910000000000002</v>
      </c>
      <c r="K4924" s="10">
        <v>5.5910000000000002</v>
      </c>
      <c r="L4924" s="10">
        <v>4.1639999999999997</v>
      </c>
      <c r="M4924" s="10">
        <v>-13.622999999999999</v>
      </c>
      <c r="N4924" s="10">
        <v>-13.622999999999999</v>
      </c>
      <c r="O4924" s="10">
        <v>-5.343</v>
      </c>
      <c r="P4924" s="10">
        <v>1</v>
      </c>
      <c r="Q4924" s="10">
        <v>1</v>
      </c>
      <c r="R4924" s="10">
        <v>1</v>
      </c>
    </row>
    <row r="4925" spans="1:18" ht="29.5" customHeight="1" x14ac:dyDescent="0.15">
      <c r="A4925" s="11" t="s">
        <v>26626</v>
      </c>
      <c r="B4925" s="1" t="s">
        <v>26627</v>
      </c>
      <c r="C4925" s="11" t="s">
        <v>26628</v>
      </c>
      <c r="D4925" s="11" t="s">
        <v>26628</v>
      </c>
      <c r="E4925" s="11" t="s">
        <v>26629</v>
      </c>
      <c r="F4925" s="11" t="s">
        <v>26616</v>
      </c>
      <c r="G4925" s="11" t="s">
        <v>26630</v>
      </c>
      <c r="H4925" s="11" t="s">
        <v>26488</v>
      </c>
      <c r="I4925" s="11" t="str">
        <f>HYPERLINK("http://www.gravati.it/","www.gravati.it")</f>
        <v>www.gravati.it</v>
      </c>
      <c r="J4925" s="12">
        <v>3.98</v>
      </c>
      <c r="K4925" s="14" t="s">
        <v>26481</v>
      </c>
      <c r="L4925" s="13">
        <v>3.98</v>
      </c>
      <c r="M4925" s="12">
        <v>-231.90700000000001</v>
      </c>
      <c r="N4925" s="14" t="s">
        <v>26481</v>
      </c>
      <c r="O4925" s="12">
        <v>-231.90700000000001</v>
      </c>
      <c r="P4925" s="14" t="s">
        <v>26481</v>
      </c>
      <c r="Q4925" s="14" t="s">
        <v>26481</v>
      </c>
      <c r="R4925" s="14" t="s">
        <v>26481</v>
      </c>
    </row>
    <row r="4926" spans="1:18" ht="17" customHeight="1" x14ac:dyDescent="0.15">
      <c r="A4926" s="8" t="s">
        <v>26631</v>
      </c>
      <c r="B4926" s="9" t="s">
        <v>26632</v>
      </c>
      <c r="C4926" s="8" t="s">
        <v>26633</v>
      </c>
      <c r="D4926" s="8" t="s">
        <v>26633</v>
      </c>
      <c r="E4926" s="8" t="s">
        <v>26634</v>
      </c>
      <c r="F4926" s="8" t="s">
        <v>26560</v>
      </c>
      <c r="G4926" s="8" t="s">
        <v>26501</v>
      </c>
      <c r="H4926" s="8" t="s">
        <v>26502</v>
      </c>
      <c r="I4926" s="8" t="str">
        <f>HYPERLINK("http://modelre3.com/","modelre3.com")</f>
        <v>modelre3.com</v>
      </c>
      <c r="J4926" s="10">
        <v>28.788</v>
      </c>
      <c r="K4926" s="10">
        <v>28.788</v>
      </c>
      <c r="L4926" s="10">
        <v>3.871</v>
      </c>
      <c r="M4926" s="10">
        <v>-65.403000000000006</v>
      </c>
      <c r="N4926" s="10">
        <v>-65.403000000000006</v>
      </c>
      <c r="O4926" s="10">
        <v>-62.311</v>
      </c>
      <c r="P4926" s="10">
        <v>1</v>
      </c>
      <c r="Q4926" s="10">
        <v>1</v>
      </c>
      <c r="R4926" s="10">
        <v>1</v>
      </c>
    </row>
    <row r="4927" spans="1:18" ht="17" customHeight="1" x14ac:dyDescent="0.15">
      <c r="A4927" s="11" t="s">
        <v>26635</v>
      </c>
      <c r="B4927" s="1" t="s">
        <v>26636</v>
      </c>
      <c r="C4927" s="11" t="s">
        <v>26637</v>
      </c>
      <c r="D4927" s="11" t="s">
        <v>26637</v>
      </c>
      <c r="E4927" s="11" t="s">
        <v>26638</v>
      </c>
      <c r="F4927" s="11" t="s">
        <v>26639</v>
      </c>
      <c r="G4927" s="11" t="s">
        <v>26542</v>
      </c>
      <c r="H4927" s="11" t="s">
        <v>26543</v>
      </c>
      <c r="I4927" s="11" t="str">
        <f>HYPERLINK("http://www.extros.it/","www.extros.it")</f>
        <v>www.extros.it</v>
      </c>
      <c r="J4927" s="12">
        <v>4.0780000000000003</v>
      </c>
      <c r="K4927" s="12">
        <v>4.0780000000000003</v>
      </c>
      <c r="L4927" s="13">
        <v>3.7040000000000002</v>
      </c>
      <c r="M4927" s="12">
        <v>27.803999999999998</v>
      </c>
      <c r="N4927" s="12">
        <v>27.803999999999998</v>
      </c>
      <c r="O4927" s="12">
        <v>9.35</v>
      </c>
      <c r="P4927" s="12">
        <v>1</v>
      </c>
      <c r="Q4927" s="12">
        <v>1</v>
      </c>
      <c r="R4927" s="12">
        <v>1</v>
      </c>
    </row>
    <row r="4928" spans="1:18" ht="17" customHeight="1" x14ac:dyDescent="0.15">
      <c r="A4928" s="8" t="s">
        <v>26640</v>
      </c>
      <c r="B4928" s="9" t="s">
        <v>26641</v>
      </c>
      <c r="C4928" s="8" t="s">
        <v>26642</v>
      </c>
      <c r="D4928" s="8" t="s">
        <v>26642</v>
      </c>
      <c r="E4928" s="8" t="s">
        <v>26643</v>
      </c>
      <c r="F4928" s="8" t="s">
        <v>26644</v>
      </c>
      <c r="G4928" s="8" t="s">
        <v>26501</v>
      </c>
      <c r="H4928" s="8" t="s">
        <v>26502</v>
      </c>
      <c r="I4928" s="8" t="str">
        <f>HYPERLINK("http://www.salutebenessere.vi.it/","www.salutebenessere.vi.it")</f>
        <v>www.salutebenessere.vi.it</v>
      </c>
      <c r="J4928" s="10">
        <v>3.6</v>
      </c>
      <c r="K4928" s="10">
        <v>3.6</v>
      </c>
      <c r="L4928" s="10">
        <v>3.6</v>
      </c>
      <c r="M4928" s="10">
        <v>0.91</v>
      </c>
      <c r="N4928" s="10">
        <v>0.91</v>
      </c>
      <c r="O4928" s="10">
        <v>0.67800000000000005</v>
      </c>
      <c r="P4928" s="10">
        <v>0</v>
      </c>
      <c r="Q4928" s="10">
        <v>0</v>
      </c>
      <c r="R4928" s="10">
        <v>0</v>
      </c>
    </row>
    <row r="4929" spans="1:18" ht="17" customHeight="1" x14ac:dyDescent="0.15">
      <c r="A4929" s="11" t="s">
        <v>26645</v>
      </c>
      <c r="B4929" s="1" t="s">
        <v>26646</v>
      </c>
      <c r="C4929" s="11" t="s">
        <v>26647</v>
      </c>
      <c r="D4929" s="11" t="s">
        <v>26647</v>
      </c>
      <c r="E4929" s="11" t="s">
        <v>26648</v>
      </c>
      <c r="F4929" s="11" t="s">
        <v>26649</v>
      </c>
      <c r="G4929" s="11" t="s">
        <v>26650</v>
      </c>
      <c r="H4929" s="11" t="s">
        <v>26651</v>
      </c>
      <c r="I4929" s="11" t="str">
        <f>HYPERLINK("http://www.smartmaterials.it/","www.smartmaterials.it")</f>
        <v>www.smartmaterials.it</v>
      </c>
      <c r="J4929" s="12">
        <v>51.488</v>
      </c>
      <c r="K4929" s="12">
        <v>51.488</v>
      </c>
      <c r="L4929" s="13">
        <v>3.2549999999999999</v>
      </c>
      <c r="M4929" s="12">
        <v>9.7360000000000007</v>
      </c>
      <c r="N4929" s="12">
        <v>9.7360000000000007</v>
      </c>
      <c r="O4929" s="12">
        <v>0.871</v>
      </c>
      <c r="P4929" s="12">
        <v>0</v>
      </c>
      <c r="Q4929" s="12">
        <v>0</v>
      </c>
      <c r="R4929" s="12">
        <v>0</v>
      </c>
    </row>
    <row r="4930" spans="1:18" ht="17" customHeight="1" x14ac:dyDescent="0.15">
      <c r="A4930" s="8" t="s">
        <v>26652</v>
      </c>
      <c r="B4930" s="9" t="s">
        <v>26653</v>
      </c>
      <c r="C4930" s="8" t="s">
        <v>26654</v>
      </c>
      <c r="D4930" s="8" t="s">
        <v>26654</v>
      </c>
      <c r="E4930" s="8" t="s">
        <v>26655</v>
      </c>
      <c r="F4930" s="8" t="s">
        <v>26656</v>
      </c>
      <c r="G4930" s="8" t="s">
        <v>26657</v>
      </c>
      <c r="H4930" s="8" t="s">
        <v>26651</v>
      </c>
      <c r="I4930" s="8" t="str">
        <f>HYPERLINK("http://insughero.com/","insughero.com")</f>
        <v>insughero.com</v>
      </c>
      <c r="J4930" s="10">
        <v>3.226</v>
      </c>
      <c r="K4930" s="15" t="s">
        <v>26658</v>
      </c>
      <c r="L4930" s="10">
        <v>3.226</v>
      </c>
      <c r="M4930" s="10">
        <v>-8.1929999999999996</v>
      </c>
      <c r="N4930" s="15" t="s">
        <v>26658</v>
      </c>
      <c r="O4930" s="10">
        <v>-8.1929999999999996</v>
      </c>
      <c r="P4930" s="10">
        <v>0</v>
      </c>
      <c r="Q4930" s="15" t="s">
        <v>26658</v>
      </c>
      <c r="R4930" s="10">
        <v>0</v>
      </c>
    </row>
    <row r="4931" spans="1:18" ht="17" customHeight="1" x14ac:dyDescent="0.15">
      <c r="A4931" s="11" t="s">
        <v>26659</v>
      </c>
      <c r="B4931" s="1" t="s">
        <v>26660</v>
      </c>
      <c r="C4931" s="11" t="s">
        <v>26661</v>
      </c>
      <c r="D4931" s="11" t="s">
        <v>26661</v>
      </c>
      <c r="E4931" s="11" t="s">
        <v>26662</v>
      </c>
      <c r="F4931" s="11" t="s">
        <v>26656</v>
      </c>
      <c r="G4931" s="11" t="s">
        <v>26663</v>
      </c>
      <c r="H4931" s="11" t="s">
        <v>26664</v>
      </c>
      <c r="I4931" s="11" t="str">
        <f>HYPERLINK("http://disix.it/","disix.it")</f>
        <v>disix.it</v>
      </c>
      <c r="J4931" s="12">
        <v>3.12</v>
      </c>
      <c r="K4931" s="14" t="s">
        <v>26658</v>
      </c>
      <c r="L4931" s="13">
        <v>3.12</v>
      </c>
      <c r="M4931" s="12">
        <v>-396.31700000000001</v>
      </c>
      <c r="N4931" s="14" t="s">
        <v>26658</v>
      </c>
      <c r="O4931" s="12">
        <v>-396.31700000000001</v>
      </c>
      <c r="P4931" s="12">
        <v>2</v>
      </c>
      <c r="Q4931" s="14" t="s">
        <v>26658</v>
      </c>
      <c r="R4931" s="12">
        <v>2</v>
      </c>
    </row>
    <row r="4932" spans="1:18" ht="17" customHeight="1" x14ac:dyDescent="0.15">
      <c r="A4932" s="8" t="s">
        <v>26665</v>
      </c>
      <c r="B4932" s="9" t="s">
        <v>26666</v>
      </c>
      <c r="C4932" s="8" t="s">
        <v>26667</v>
      </c>
      <c r="D4932" s="8" t="s">
        <v>26667</v>
      </c>
      <c r="E4932" s="8" t="s">
        <v>26668</v>
      </c>
      <c r="F4932" s="8" t="s">
        <v>26669</v>
      </c>
      <c r="G4932" s="8" t="s">
        <v>26670</v>
      </c>
      <c r="H4932" s="8" t="s">
        <v>26671</v>
      </c>
      <c r="I4932" s="8" t="str">
        <f>HYPERLINK("http://www.fuoriserie.it/","www.fuoriserie.it")</f>
        <v>www.fuoriserie.it</v>
      </c>
      <c r="J4932" s="10">
        <v>17.625</v>
      </c>
      <c r="K4932" s="10">
        <v>17.625</v>
      </c>
      <c r="L4932" s="10">
        <v>3</v>
      </c>
      <c r="M4932" s="10">
        <v>13.465999999999999</v>
      </c>
      <c r="N4932" s="10">
        <v>13.465999999999999</v>
      </c>
      <c r="O4932" s="10">
        <v>-17.626999999999999</v>
      </c>
      <c r="P4932" s="10">
        <v>0</v>
      </c>
      <c r="Q4932" s="10">
        <v>0</v>
      </c>
      <c r="R4932" s="10">
        <v>0</v>
      </c>
    </row>
    <row r="4933" spans="1:18" ht="17" customHeight="1" x14ac:dyDescent="0.15">
      <c r="A4933" s="11" t="s">
        <v>26672</v>
      </c>
      <c r="B4933" s="1" t="s">
        <v>26673</v>
      </c>
      <c r="C4933" s="11" t="s">
        <v>26674</v>
      </c>
      <c r="D4933" s="11" t="s">
        <v>26674</v>
      </c>
      <c r="E4933" s="11" t="s">
        <v>26675</v>
      </c>
      <c r="F4933" s="11" t="s">
        <v>26669</v>
      </c>
      <c r="G4933" s="11" t="s">
        <v>26676</v>
      </c>
      <c r="H4933" s="11" t="s">
        <v>26677</v>
      </c>
      <c r="I4933" s="11" t="str">
        <f>HYPERLINK("http://www.fdl-global.com/","www.fdl-global.com")</f>
        <v>www.fdl-global.com</v>
      </c>
      <c r="J4933" s="12">
        <v>0</v>
      </c>
      <c r="K4933" s="12">
        <v>0</v>
      </c>
      <c r="L4933" s="13">
        <v>3.04</v>
      </c>
      <c r="M4933" s="12">
        <v>-76.453000000000003</v>
      </c>
      <c r="N4933" s="12">
        <v>-76.453000000000003</v>
      </c>
      <c r="O4933" s="12">
        <v>-103.627</v>
      </c>
      <c r="P4933" s="12">
        <v>0</v>
      </c>
      <c r="Q4933" s="12">
        <v>0</v>
      </c>
      <c r="R4933" s="12">
        <v>0</v>
      </c>
    </row>
    <row r="4934" spans="1:18" ht="17" customHeight="1" x14ac:dyDescent="0.15">
      <c r="A4934" s="8" t="s">
        <v>26678</v>
      </c>
      <c r="B4934" s="9" t="s">
        <v>26679</v>
      </c>
      <c r="C4934" s="8" t="s">
        <v>26680</v>
      </c>
      <c r="D4934" s="8" t="s">
        <v>26680</v>
      </c>
      <c r="E4934" s="8" t="s">
        <v>26681</v>
      </c>
      <c r="F4934" s="8" t="s">
        <v>26656</v>
      </c>
      <c r="G4934" s="8" t="s">
        <v>26682</v>
      </c>
      <c r="H4934" s="8" t="s">
        <v>26664</v>
      </c>
      <c r="I4934" s="8" t="str">
        <f>HYPERLINK("http://www.fideliodog.it/","www.fideliodog.it")</f>
        <v>www.fideliodog.it</v>
      </c>
      <c r="J4934" s="10">
        <v>4.774</v>
      </c>
      <c r="K4934" s="10">
        <v>4.774</v>
      </c>
      <c r="L4934" s="10">
        <v>2.762</v>
      </c>
      <c r="M4934" s="10">
        <v>-68.248000000000005</v>
      </c>
      <c r="N4934" s="10">
        <v>-68.248000000000005</v>
      </c>
      <c r="O4934" s="10">
        <v>-25.97</v>
      </c>
      <c r="P4934" s="10">
        <v>0</v>
      </c>
      <c r="Q4934" s="10">
        <v>0</v>
      </c>
      <c r="R4934" s="10">
        <v>0</v>
      </c>
    </row>
    <row r="4935" spans="1:18" ht="17" customHeight="1" x14ac:dyDescent="0.15">
      <c r="A4935" s="11" t="s">
        <v>26683</v>
      </c>
      <c r="B4935" s="1" t="s">
        <v>26684</v>
      </c>
      <c r="C4935" s="11" t="s">
        <v>26685</v>
      </c>
      <c r="D4935" s="11" t="s">
        <v>26685</v>
      </c>
      <c r="E4935" s="11" t="s">
        <v>26686</v>
      </c>
      <c r="F4935" s="11" t="s">
        <v>26656</v>
      </c>
      <c r="G4935" s="11" t="s">
        <v>26687</v>
      </c>
      <c r="H4935" s="11" t="s">
        <v>26671</v>
      </c>
      <c r="I4935" s="11" t="str">
        <f>HYPERLINK("http://www.pelletteriag4.com/","www.pelletteriag4.com")</f>
        <v>www.pelletteriag4.com</v>
      </c>
      <c r="J4935" s="12">
        <v>1339.83</v>
      </c>
      <c r="K4935" s="12">
        <v>1339.83</v>
      </c>
      <c r="L4935" s="13">
        <v>2.7480000000000002</v>
      </c>
      <c r="M4935" s="12">
        <v>21.202999999999999</v>
      </c>
      <c r="N4935" s="12">
        <v>21.202999999999999</v>
      </c>
      <c r="O4935" s="12">
        <v>-1.633</v>
      </c>
      <c r="P4935" s="12">
        <v>4</v>
      </c>
      <c r="Q4935" s="12">
        <v>4</v>
      </c>
      <c r="R4935" s="14" t="s">
        <v>26658</v>
      </c>
    </row>
    <row r="4936" spans="1:18" ht="17" customHeight="1" x14ac:dyDescent="0.15">
      <c r="A4936" s="8" t="s">
        <v>26688</v>
      </c>
      <c r="B4936" s="9" t="s">
        <v>26689</v>
      </c>
      <c r="C4936" s="8" t="s">
        <v>26690</v>
      </c>
      <c r="D4936" s="8" t="s">
        <v>26690</v>
      </c>
      <c r="E4936" s="8" t="s">
        <v>26691</v>
      </c>
      <c r="F4936" s="8" t="s">
        <v>26692</v>
      </c>
      <c r="G4936" s="8" t="s">
        <v>26693</v>
      </c>
      <c r="H4936" s="8" t="s">
        <v>26694</v>
      </c>
      <c r="I4936" s="8" t="str">
        <f>HYPERLINK("http://www.exkite.it/","www.exkite.it")</f>
        <v>www.exkite.it</v>
      </c>
      <c r="J4936" s="10">
        <v>2.7370000000000001</v>
      </c>
      <c r="K4936" s="15" t="s">
        <v>26658</v>
      </c>
      <c r="L4936" s="10">
        <v>2.7370000000000001</v>
      </c>
      <c r="M4936" s="10">
        <v>-1.5449999999999999</v>
      </c>
      <c r="N4936" s="15" t="s">
        <v>26658</v>
      </c>
      <c r="O4936" s="10">
        <v>-1.5449999999999999</v>
      </c>
      <c r="P4936" s="10">
        <v>0</v>
      </c>
      <c r="Q4936" s="15" t="s">
        <v>26658</v>
      </c>
      <c r="R4936" s="10">
        <v>0</v>
      </c>
    </row>
    <row r="4937" spans="1:18" ht="43" customHeight="1" x14ac:dyDescent="0.15">
      <c r="A4937" s="11" t="s">
        <v>26695</v>
      </c>
      <c r="B4937" s="1" t="s">
        <v>26696</v>
      </c>
      <c r="C4937" s="11" t="s">
        <v>26697</v>
      </c>
      <c r="D4937" s="11" t="s">
        <v>26697</v>
      </c>
      <c r="E4937" s="11" t="s">
        <v>26698</v>
      </c>
      <c r="F4937" s="11" t="s">
        <v>26669</v>
      </c>
      <c r="G4937" s="11" t="s">
        <v>26699</v>
      </c>
      <c r="H4937" s="11" t="s">
        <v>26651</v>
      </c>
      <c r="I4937" s="11" t="str">
        <f>HYPERLINK("http://oljimmy.shop/","oljimmy.shop")</f>
        <v>oljimmy.shop</v>
      </c>
      <c r="J4937" s="12">
        <v>0.63900000000000001</v>
      </c>
      <c r="K4937" s="12">
        <v>0.63900000000000001</v>
      </c>
      <c r="L4937" s="13">
        <v>2.677</v>
      </c>
      <c r="M4937" s="12">
        <v>-0.79600000000000004</v>
      </c>
      <c r="N4937" s="12">
        <v>-0.79600000000000004</v>
      </c>
      <c r="O4937" s="12">
        <v>0.29099999999999998</v>
      </c>
      <c r="P4937" s="12">
        <v>0</v>
      </c>
      <c r="Q4937" s="12">
        <v>0</v>
      </c>
      <c r="R4937" s="12">
        <v>0</v>
      </c>
    </row>
    <row r="4938" spans="1:18" ht="17" customHeight="1" x14ac:dyDescent="0.15">
      <c r="A4938" s="8" t="s">
        <v>26700</v>
      </c>
      <c r="B4938" s="9" t="s">
        <v>26701</v>
      </c>
      <c r="C4938" s="8" t="s">
        <v>26702</v>
      </c>
      <c r="D4938" s="8" t="s">
        <v>26702</v>
      </c>
      <c r="E4938" s="8" t="s">
        <v>26703</v>
      </c>
      <c r="F4938" s="8" t="s">
        <v>26704</v>
      </c>
      <c r="G4938" s="8" t="s">
        <v>26705</v>
      </c>
      <c r="H4938" s="8" t="s">
        <v>26706</v>
      </c>
      <c r="I4938" s="8" t="str">
        <f>HYPERLINK("http://www.spendthrift.it/","www.spendthrift.it")</f>
        <v>www.spendthrift.it</v>
      </c>
      <c r="J4938" s="10">
        <v>27.466999999999999</v>
      </c>
      <c r="K4938" s="10">
        <v>27.466999999999999</v>
      </c>
      <c r="L4938" s="10">
        <v>2.6360000000000001</v>
      </c>
      <c r="M4938" s="10">
        <v>-2.7160000000000002</v>
      </c>
      <c r="N4938" s="10">
        <v>-2.7160000000000002</v>
      </c>
      <c r="O4938" s="10">
        <v>-10.304</v>
      </c>
      <c r="P4938" s="15" t="s">
        <v>26658</v>
      </c>
      <c r="Q4938" s="15" t="s">
        <v>26658</v>
      </c>
      <c r="R4938" s="15" t="s">
        <v>26658</v>
      </c>
    </row>
    <row r="4939" spans="1:18" ht="17" customHeight="1" x14ac:dyDescent="0.15">
      <c r="A4939" s="11" t="s">
        <v>26707</v>
      </c>
      <c r="B4939" s="1" t="s">
        <v>26708</v>
      </c>
      <c r="C4939" s="11" t="s">
        <v>26709</v>
      </c>
      <c r="D4939" s="11" t="s">
        <v>26709</v>
      </c>
      <c r="E4939" s="11" t="s">
        <v>26710</v>
      </c>
      <c r="F4939" s="11" t="s">
        <v>26711</v>
      </c>
      <c r="G4939" s="11" t="s">
        <v>26712</v>
      </c>
      <c r="H4939" s="11" t="s">
        <v>26713</v>
      </c>
      <c r="I4939" s="11" t="str">
        <f>HYPERLINK("http://www.limye.it/","www.limye.it")</f>
        <v>www.limye.it</v>
      </c>
      <c r="J4939" s="12">
        <v>2.4180000000000001</v>
      </c>
      <c r="K4939" s="14" t="s">
        <v>26658</v>
      </c>
      <c r="L4939" s="13">
        <v>2.4180000000000001</v>
      </c>
      <c r="M4939" s="12">
        <v>6.4000000000000001E-2</v>
      </c>
      <c r="N4939" s="14" t="s">
        <v>26658</v>
      </c>
      <c r="O4939" s="12">
        <v>6.4000000000000001E-2</v>
      </c>
      <c r="P4939" s="12">
        <v>1</v>
      </c>
      <c r="Q4939" s="14" t="s">
        <v>26658</v>
      </c>
      <c r="R4939" s="12">
        <v>1</v>
      </c>
    </row>
    <row r="4940" spans="1:18" ht="43" customHeight="1" x14ac:dyDescent="0.15">
      <c r="A4940" s="8" t="s">
        <v>26714</v>
      </c>
      <c r="B4940" s="9" t="s">
        <v>26715</v>
      </c>
      <c r="C4940" s="8" t="s">
        <v>26716</v>
      </c>
      <c r="D4940" s="8" t="s">
        <v>26716</v>
      </c>
      <c r="E4940" s="8" t="s">
        <v>26717</v>
      </c>
      <c r="F4940" s="8" t="s">
        <v>26704</v>
      </c>
      <c r="G4940" s="8" t="s">
        <v>26718</v>
      </c>
      <c r="H4940" s="8" t="s">
        <v>26719</v>
      </c>
      <c r="I4940" s="8" t="str">
        <f>HYPERLINK("http://www.pinkmood.eu/","www.pinkmood.eu")</f>
        <v>www.pinkmood.eu</v>
      </c>
      <c r="J4940" s="10">
        <v>4.383</v>
      </c>
      <c r="K4940" s="10">
        <v>4.383</v>
      </c>
      <c r="L4940" s="10">
        <v>2.25</v>
      </c>
      <c r="M4940" s="10">
        <v>0.97299999999999998</v>
      </c>
      <c r="N4940" s="10">
        <v>0.97299999999999998</v>
      </c>
      <c r="O4940" s="10">
        <v>0.20799999999999999</v>
      </c>
      <c r="P4940" s="10">
        <v>0</v>
      </c>
      <c r="Q4940" s="10">
        <v>0</v>
      </c>
      <c r="R4940" s="10">
        <v>0</v>
      </c>
    </row>
    <row r="4941" spans="1:18" ht="17" customHeight="1" x14ac:dyDescent="0.15">
      <c r="A4941" s="11" t="s">
        <v>26720</v>
      </c>
      <c r="B4941" s="1" t="s">
        <v>26721</v>
      </c>
      <c r="C4941" s="11" t="s">
        <v>26722</v>
      </c>
      <c r="D4941" s="11" t="s">
        <v>26722</v>
      </c>
      <c r="E4941" s="11" t="s">
        <v>26723</v>
      </c>
      <c r="F4941" s="11" t="s">
        <v>26724</v>
      </c>
      <c r="G4941" s="11" t="s">
        <v>26725</v>
      </c>
      <c r="H4941" s="11" t="s">
        <v>26677</v>
      </c>
      <c r="I4941" s="11" t="str">
        <f>HYPERLINK("http://www.andreamarianifirenze.com/","www.andreamarianifirenze.com")</f>
        <v>www.andreamarianifirenze.com</v>
      </c>
      <c r="J4941" s="12">
        <v>2.1779999999999999</v>
      </c>
      <c r="K4941" s="14" t="s">
        <v>26658</v>
      </c>
      <c r="L4941" s="13">
        <v>2.1779999999999999</v>
      </c>
      <c r="M4941" s="12">
        <v>-3.7589999999999999</v>
      </c>
      <c r="N4941" s="14" t="s">
        <v>26658</v>
      </c>
      <c r="O4941" s="12">
        <v>-3.7589999999999999</v>
      </c>
      <c r="P4941" s="14" t="s">
        <v>26658</v>
      </c>
      <c r="Q4941" s="14" t="s">
        <v>26658</v>
      </c>
      <c r="R4941" s="14" t="s">
        <v>26658</v>
      </c>
    </row>
    <row r="4942" spans="1:18" ht="17" customHeight="1" x14ac:dyDescent="0.15">
      <c r="A4942" s="8" t="s">
        <v>26726</v>
      </c>
      <c r="B4942" s="9" t="s">
        <v>26727</v>
      </c>
      <c r="C4942" s="8" t="s">
        <v>26728</v>
      </c>
      <c r="D4942" s="8" t="s">
        <v>26728</v>
      </c>
      <c r="E4942" s="8" t="s">
        <v>26729</v>
      </c>
      <c r="F4942" s="8" t="s">
        <v>26656</v>
      </c>
      <c r="G4942" s="8" t="s">
        <v>26730</v>
      </c>
      <c r="H4942" s="8" t="s">
        <v>26719</v>
      </c>
      <c r="I4942" s="8" t="str">
        <f>HYPERLINK("http://www.setflorence.it/","www.setflorence.it")</f>
        <v>www.setflorence.it</v>
      </c>
      <c r="J4942" s="10">
        <v>1.992</v>
      </c>
      <c r="K4942" s="15" t="s">
        <v>26658</v>
      </c>
      <c r="L4942" s="10">
        <v>1.992</v>
      </c>
      <c r="M4942" s="10">
        <v>-26.266999999999999</v>
      </c>
      <c r="N4942" s="15" t="s">
        <v>26658</v>
      </c>
      <c r="O4942" s="10">
        <v>-26.266999999999999</v>
      </c>
      <c r="P4942" s="10">
        <v>0</v>
      </c>
      <c r="Q4942" s="15" t="s">
        <v>26658</v>
      </c>
      <c r="R4942" s="10">
        <v>0</v>
      </c>
    </row>
    <row r="4943" spans="1:18" ht="17" customHeight="1" x14ac:dyDescent="0.15">
      <c r="A4943" s="11" t="s">
        <v>26731</v>
      </c>
      <c r="B4943" s="1" t="s">
        <v>26732</v>
      </c>
      <c r="C4943" s="11" t="s">
        <v>26733</v>
      </c>
      <c r="D4943" s="11" t="s">
        <v>26733</v>
      </c>
      <c r="E4943" s="11" t="s">
        <v>26734</v>
      </c>
      <c r="F4943" s="11" t="s">
        <v>26669</v>
      </c>
      <c r="G4943" s="11" t="s">
        <v>26735</v>
      </c>
      <c r="H4943" s="11" t="s">
        <v>26719</v>
      </c>
      <c r="I4943" s="11" t="str">
        <f>HYPERLINK("http://www.pisanospa.com/","www.pisanospa.com")</f>
        <v>www.pisanospa.com</v>
      </c>
      <c r="J4943" s="12">
        <v>0</v>
      </c>
      <c r="K4943" s="12">
        <v>0</v>
      </c>
      <c r="L4943" s="13">
        <v>1.9890000000000001</v>
      </c>
      <c r="M4943" s="12">
        <v>3.7650000000000001</v>
      </c>
      <c r="N4943" s="12">
        <v>3.7650000000000001</v>
      </c>
      <c r="O4943" s="12">
        <v>0.35199999999999998</v>
      </c>
      <c r="P4943" s="12">
        <v>1</v>
      </c>
      <c r="Q4943" s="12">
        <v>1</v>
      </c>
      <c r="R4943" s="12">
        <v>1</v>
      </c>
    </row>
    <row r="4944" spans="1:18" ht="17" customHeight="1" x14ac:dyDescent="0.15">
      <c r="A4944" s="8" t="s">
        <v>26736</v>
      </c>
      <c r="B4944" s="9" t="s">
        <v>26737</v>
      </c>
      <c r="C4944" s="8" t="s">
        <v>26738</v>
      </c>
      <c r="D4944" s="8" t="s">
        <v>26738</v>
      </c>
      <c r="E4944" s="8" t="s">
        <v>26739</v>
      </c>
      <c r="F4944" s="8" t="s">
        <v>26656</v>
      </c>
      <c r="G4944" s="8" t="s">
        <v>26705</v>
      </c>
      <c r="H4944" s="8" t="s">
        <v>26706</v>
      </c>
      <c r="I4944" s="8" t="str">
        <f>HYPERLINK("http://www.clutchebag.com/","www.clutchebag.com")</f>
        <v>www.clutchebag.com</v>
      </c>
      <c r="J4944" s="10">
        <v>7.32</v>
      </c>
      <c r="K4944" s="10">
        <v>7.32</v>
      </c>
      <c r="L4944" s="10">
        <v>1.83</v>
      </c>
      <c r="M4944" s="10">
        <v>1.36</v>
      </c>
      <c r="N4944" s="10">
        <v>1.36</v>
      </c>
      <c r="O4944" s="10">
        <v>-5.1319999999999997</v>
      </c>
      <c r="P4944" s="15" t="s">
        <v>26658</v>
      </c>
      <c r="Q4944" s="15" t="s">
        <v>26658</v>
      </c>
      <c r="R4944" s="15" t="s">
        <v>26658</v>
      </c>
    </row>
    <row r="4945" spans="1:18" ht="17" customHeight="1" x14ac:dyDescent="0.15">
      <c r="A4945" s="11" t="s">
        <v>26740</v>
      </c>
      <c r="B4945" s="1" t="s">
        <v>26741</v>
      </c>
      <c r="C4945" s="11" t="s">
        <v>26742</v>
      </c>
      <c r="D4945" s="11" t="s">
        <v>26742</v>
      </c>
      <c r="E4945" s="11" t="s">
        <v>26743</v>
      </c>
      <c r="F4945" s="11" t="s">
        <v>26744</v>
      </c>
      <c r="G4945" s="11" t="s">
        <v>26745</v>
      </c>
      <c r="H4945" s="11" t="s">
        <v>26677</v>
      </c>
      <c r="I4945" s="11" t="str">
        <f>HYPERLINK("http://ylya.it/","ylya.it")</f>
        <v>ylya.it</v>
      </c>
      <c r="J4945" s="12">
        <v>4.0199999999999996</v>
      </c>
      <c r="K4945" s="12">
        <v>4.0199999999999996</v>
      </c>
      <c r="L4945" s="13">
        <v>1.5680000000000001</v>
      </c>
      <c r="M4945" s="12">
        <v>-9.2639999999999993</v>
      </c>
      <c r="N4945" s="12">
        <v>-9.2639999999999993</v>
      </c>
      <c r="O4945" s="12">
        <v>-5.569</v>
      </c>
      <c r="P4945" s="12">
        <v>0</v>
      </c>
      <c r="Q4945" s="12">
        <v>0</v>
      </c>
      <c r="R4945" s="12">
        <v>0</v>
      </c>
    </row>
    <row r="4946" spans="1:18" ht="17" customHeight="1" x14ac:dyDescent="0.15">
      <c r="A4946" s="8" t="s">
        <v>26746</v>
      </c>
      <c r="B4946" s="9" t="s">
        <v>26747</v>
      </c>
      <c r="C4946" s="8" t="s">
        <v>26748</v>
      </c>
      <c r="D4946" s="8" t="s">
        <v>26748</v>
      </c>
      <c r="E4946" s="8" t="s">
        <v>26749</v>
      </c>
      <c r="F4946" s="8" t="s">
        <v>26669</v>
      </c>
      <c r="G4946" s="8" t="s">
        <v>26657</v>
      </c>
      <c r="H4946" s="8" t="s">
        <v>26651</v>
      </c>
      <c r="I4946" s="8" t="str">
        <f>HYPERLINK("http://wsanmarco.com/","wsanmarco.com")</f>
        <v>wsanmarco.com</v>
      </c>
      <c r="J4946" s="10">
        <v>1.857</v>
      </c>
      <c r="K4946" s="10">
        <v>1.857</v>
      </c>
      <c r="L4946" s="10">
        <v>1.554</v>
      </c>
      <c r="M4946" s="10">
        <v>-12.368</v>
      </c>
      <c r="N4946" s="10">
        <v>-12.368</v>
      </c>
      <c r="O4946" s="10">
        <v>-3.4910000000000001</v>
      </c>
      <c r="P4946" s="10">
        <v>0</v>
      </c>
      <c r="Q4946" s="10">
        <v>0</v>
      </c>
      <c r="R4946" s="10">
        <v>0</v>
      </c>
    </row>
    <row r="4947" spans="1:18" ht="29.5" customHeight="1" x14ac:dyDescent="0.15">
      <c r="A4947" s="11" t="s">
        <v>26750</v>
      </c>
      <c r="B4947" s="1" t="s">
        <v>26751</v>
      </c>
      <c r="C4947" s="11" t="s">
        <v>26752</v>
      </c>
      <c r="D4947" s="11" t="s">
        <v>26752</v>
      </c>
      <c r="E4947" s="11" t="s">
        <v>26753</v>
      </c>
      <c r="F4947" s="11" t="s">
        <v>26724</v>
      </c>
      <c r="G4947" s="11" t="s">
        <v>26754</v>
      </c>
      <c r="H4947" s="11" t="s">
        <v>26671</v>
      </c>
      <c r="I4947" s="11" t="str">
        <f>HYPERLINK("http://bluvirgin.com/","bluvirgin.com")</f>
        <v>bluvirgin.com</v>
      </c>
      <c r="J4947" s="12">
        <v>25.731999999999999</v>
      </c>
      <c r="K4947" s="12">
        <v>25.731999999999999</v>
      </c>
      <c r="L4947" s="13">
        <v>1.294</v>
      </c>
      <c r="M4947" s="12">
        <v>-86.442999999999998</v>
      </c>
      <c r="N4947" s="12">
        <v>-86.442999999999998</v>
      </c>
      <c r="O4947" s="12">
        <v>-45.561</v>
      </c>
      <c r="P4947" s="12">
        <v>0</v>
      </c>
      <c r="Q4947" s="12">
        <v>0</v>
      </c>
      <c r="R4947" s="12">
        <v>0</v>
      </c>
    </row>
    <row r="4948" spans="1:18" ht="17" customHeight="1" x14ac:dyDescent="0.15">
      <c r="A4948" s="8" t="s">
        <v>26755</v>
      </c>
      <c r="B4948" s="9" t="s">
        <v>26756</v>
      </c>
      <c r="C4948" s="8" t="s">
        <v>26757</v>
      </c>
      <c r="D4948" s="8" t="s">
        <v>26757</v>
      </c>
      <c r="E4948" s="8" t="s">
        <v>26758</v>
      </c>
      <c r="F4948" s="8" t="s">
        <v>26704</v>
      </c>
      <c r="G4948" s="8" t="s">
        <v>26676</v>
      </c>
      <c r="H4948" s="8" t="s">
        <v>26677</v>
      </c>
      <c r="I4948" s="8" t="str">
        <f>HYPERLINK("http://angelacarpio.com/","angelacarpio.com")</f>
        <v>angelacarpio.com</v>
      </c>
      <c r="J4948" s="10">
        <v>0</v>
      </c>
      <c r="K4948" s="10">
        <v>0</v>
      </c>
      <c r="L4948" s="10">
        <v>1.2569999999999999</v>
      </c>
      <c r="M4948" s="10">
        <v>5.6849999999999996</v>
      </c>
      <c r="N4948" s="10">
        <v>5.6849999999999996</v>
      </c>
      <c r="O4948" s="10">
        <v>3.9E-2</v>
      </c>
      <c r="P4948" s="10">
        <v>0</v>
      </c>
      <c r="Q4948" s="10">
        <v>0</v>
      </c>
      <c r="R4948" s="10">
        <v>0</v>
      </c>
    </row>
    <row r="4949" spans="1:18" ht="17" customHeight="1" x14ac:dyDescent="0.15">
      <c r="A4949" s="11" t="s">
        <v>26759</v>
      </c>
      <c r="B4949" s="1" t="s">
        <v>26760</v>
      </c>
      <c r="C4949" s="11" t="s">
        <v>26761</v>
      </c>
      <c r="D4949" s="11" t="s">
        <v>26761</v>
      </c>
      <c r="E4949" s="11" t="s">
        <v>26762</v>
      </c>
      <c r="F4949" s="11" t="s">
        <v>26763</v>
      </c>
      <c r="G4949" s="11" t="s">
        <v>26745</v>
      </c>
      <c r="H4949" s="11" t="s">
        <v>26677</v>
      </c>
      <c r="I4949" s="11" t="str">
        <f>HYPERLINK("http://www.libertyofcreation.it/","www.libertyofcreation.it")</f>
        <v>www.libertyofcreation.it</v>
      </c>
      <c r="J4949" s="12">
        <v>1.1850000000000001</v>
      </c>
      <c r="K4949" s="14" t="s">
        <v>26658</v>
      </c>
      <c r="L4949" s="13">
        <v>1.1850000000000001</v>
      </c>
      <c r="M4949" s="12">
        <v>-3.3769999999999998</v>
      </c>
      <c r="N4949" s="14" t="s">
        <v>26658</v>
      </c>
      <c r="O4949" s="12">
        <v>-3.3769999999999998</v>
      </c>
      <c r="P4949" s="12">
        <v>0</v>
      </c>
      <c r="Q4949" s="14" t="s">
        <v>26658</v>
      </c>
      <c r="R4949" s="12">
        <v>0</v>
      </c>
    </row>
    <row r="4950" spans="1:18" ht="43" customHeight="1" x14ac:dyDescent="0.15">
      <c r="A4950" s="8" t="s">
        <v>26764</v>
      </c>
      <c r="B4950" s="9" t="s">
        <v>26765</v>
      </c>
      <c r="C4950" s="8" t="s">
        <v>26766</v>
      </c>
      <c r="D4950" s="8" t="s">
        <v>26766</v>
      </c>
      <c r="E4950" s="8" t="s">
        <v>26767</v>
      </c>
      <c r="F4950" s="8" t="s">
        <v>26704</v>
      </c>
      <c r="G4950" s="8" t="s">
        <v>26670</v>
      </c>
      <c r="H4950" s="8" t="s">
        <v>26671</v>
      </c>
      <c r="I4950" s="8" t="str">
        <f>HYPERLINK("http://www.ateliersannino.it/","www.ateliersannino.it")</f>
        <v>www.ateliersannino.it</v>
      </c>
      <c r="J4950" s="10">
        <v>1.2130000000000001</v>
      </c>
      <c r="K4950" s="15" t="s">
        <v>26658</v>
      </c>
      <c r="L4950" s="10">
        <v>1.2130000000000001</v>
      </c>
      <c r="M4950" s="10">
        <v>-5.4219999999999997</v>
      </c>
      <c r="N4950" s="15" t="s">
        <v>26658</v>
      </c>
      <c r="O4950" s="10">
        <v>-5.4219999999999997</v>
      </c>
      <c r="P4950" s="10">
        <v>0</v>
      </c>
      <c r="Q4950" s="15" t="s">
        <v>26658</v>
      </c>
      <c r="R4950" s="10">
        <v>0</v>
      </c>
    </row>
    <row r="4951" spans="1:18" ht="17" customHeight="1" x14ac:dyDescent="0.15">
      <c r="A4951" s="11" t="s">
        <v>26768</v>
      </c>
      <c r="B4951" s="1" t="s">
        <v>26769</v>
      </c>
      <c r="C4951" s="11" t="s">
        <v>26770</v>
      </c>
      <c r="D4951" s="11" t="s">
        <v>26770</v>
      </c>
      <c r="E4951" s="11" t="s">
        <v>26771</v>
      </c>
      <c r="F4951" s="11" t="s">
        <v>26772</v>
      </c>
      <c r="G4951" s="11" t="s">
        <v>26663</v>
      </c>
      <c r="H4951" s="11" t="s">
        <v>26664</v>
      </c>
      <c r="I4951" s="11" t="str">
        <f>HYPERLINK("http://www.capable.design/","www.capable.design")</f>
        <v>www.capable.design</v>
      </c>
      <c r="J4951" s="12">
        <v>71.212000000000003</v>
      </c>
      <c r="K4951" s="12">
        <v>71.212000000000003</v>
      </c>
      <c r="L4951" s="13">
        <v>1.121</v>
      </c>
      <c r="M4951" s="12">
        <v>0.39100000000000001</v>
      </c>
      <c r="N4951" s="12">
        <v>0.39100000000000001</v>
      </c>
      <c r="O4951" s="12">
        <v>-0.52300000000000002</v>
      </c>
      <c r="P4951" s="12">
        <v>0</v>
      </c>
      <c r="Q4951" s="12">
        <v>0</v>
      </c>
      <c r="R4951" s="12">
        <v>0</v>
      </c>
    </row>
    <row r="4952" spans="1:18" ht="17" customHeight="1" x14ac:dyDescent="0.15">
      <c r="A4952" s="8" t="s">
        <v>26773</v>
      </c>
      <c r="B4952" s="9" t="s">
        <v>26774</v>
      </c>
      <c r="C4952" s="8" t="s">
        <v>26775</v>
      </c>
      <c r="D4952" s="8" t="s">
        <v>26775</v>
      </c>
      <c r="E4952" s="8" t="s">
        <v>26776</v>
      </c>
      <c r="F4952" s="8" t="s">
        <v>26777</v>
      </c>
      <c r="G4952" s="8" t="s">
        <v>26650</v>
      </c>
      <c r="H4952" s="8" t="s">
        <v>26651</v>
      </c>
      <c r="I4952" s="8" t="str">
        <f>HYPERLINK("http://www.toschipellicce.com/","www.toschipellicce.com")</f>
        <v>www.toschipellicce.com</v>
      </c>
      <c r="J4952" s="10">
        <v>6.4980000000000002</v>
      </c>
      <c r="K4952" s="10">
        <v>6.4980000000000002</v>
      </c>
      <c r="L4952" s="10">
        <v>1.1080000000000001</v>
      </c>
      <c r="M4952" s="10">
        <v>-7.3559999999999999</v>
      </c>
      <c r="N4952" s="10">
        <v>-7.3559999999999999</v>
      </c>
      <c r="O4952" s="10">
        <v>-9.68</v>
      </c>
      <c r="P4952" s="15" t="s">
        <v>26658</v>
      </c>
      <c r="Q4952" s="15" t="s">
        <v>26658</v>
      </c>
      <c r="R4952" s="10">
        <v>1</v>
      </c>
    </row>
    <row r="4953" spans="1:18" ht="29.5" customHeight="1" x14ac:dyDescent="0.15">
      <c r="A4953" s="11" t="s">
        <v>26778</v>
      </c>
      <c r="B4953" s="1" t="s">
        <v>26779</v>
      </c>
      <c r="C4953" s="11" t="s">
        <v>26780</v>
      </c>
      <c r="D4953" s="11" t="s">
        <v>26780</v>
      </c>
      <c r="E4953" s="11" t="s">
        <v>26781</v>
      </c>
      <c r="F4953" s="11" t="s">
        <v>26669</v>
      </c>
      <c r="G4953" s="11" t="s">
        <v>26782</v>
      </c>
      <c r="H4953" s="11" t="s">
        <v>26677</v>
      </c>
      <c r="I4953" s="11" t="str">
        <f>HYPERLINK("http://www.balducci.it/","www.balducci.it")</f>
        <v>www.balducci.it</v>
      </c>
      <c r="J4953" s="12">
        <v>0.52600000000000002</v>
      </c>
      <c r="K4953" s="12">
        <v>0.52600000000000002</v>
      </c>
      <c r="L4953" s="13">
        <v>1.0940000000000001</v>
      </c>
      <c r="M4953" s="12">
        <v>-15.185</v>
      </c>
      <c r="N4953" s="12">
        <v>-15.185</v>
      </c>
      <c r="O4953" s="12">
        <v>-73.518000000000001</v>
      </c>
      <c r="P4953" s="14" t="s">
        <v>26658</v>
      </c>
      <c r="Q4953" s="14" t="s">
        <v>26658</v>
      </c>
      <c r="R4953" s="14" t="s">
        <v>26658</v>
      </c>
    </row>
    <row r="4954" spans="1:18" ht="17" customHeight="1" x14ac:dyDescent="0.15">
      <c r="A4954" s="8" t="s">
        <v>26783</v>
      </c>
      <c r="B4954" s="9" t="s">
        <v>26784</v>
      </c>
      <c r="C4954" s="8" t="s">
        <v>26785</v>
      </c>
      <c r="D4954" s="8" t="s">
        <v>26785</v>
      </c>
      <c r="E4954" s="8" t="s">
        <v>26786</v>
      </c>
      <c r="F4954" s="8" t="s">
        <v>26711</v>
      </c>
      <c r="G4954" s="8" t="s">
        <v>26787</v>
      </c>
      <c r="H4954" s="8" t="s">
        <v>26788</v>
      </c>
      <c r="I4954" s="8" t="str">
        <f>HYPERLINK("http://www.bolami.com/","www.bolami.com")</f>
        <v>www.bolami.com</v>
      </c>
      <c r="J4954" s="10">
        <v>4.0229999999999997</v>
      </c>
      <c r="K4954" s="10">
        <v>4.0229999999999997</v>
      </c>
      <c r="L4954" s="10">
        <v>0.91100000000000003</v>
      </c>
      <c r="M4954" s="10">
        <v>-51.195</v>
      </c>
      <c r="N4954" s="10">
        <v>-51.195</v>
      </c>
      <c r="O4954" s="10">
        <v>-18.222000000000001</v>
      </c>
      <c r="P4954" s="10">
        <v>1</v>
      </c>
      <c r="Q4954" s="10">
        <v>1</v>
      </c>
      <c r="R4954" s="10">
        <v>0</v>
      </c>
    </row>
    <row r="4955" spans="1:18" ht="43" customHeight="1" x14ac:dyDescent="0.15">
      <c r="A4955" s="11" t="s">
        <v>26789</v>
      </c>
      <c r="B4955" s="1" t="s">
        <v>26790</v>
      </c>
      <c r="C4955" s="11" t="s">
        <v>26791</v>
      </c>
      <c r="D4955" s="11" t="s">
        <v>26791</v>
      </c>
      <c r="E4955" s="11" t="s">
        <v>26792</v>
      </c>
      <c r="F4955" s="11" t="s">
        <v>26656</v>
      </c>
      <c r="G4955" s="11" t="s">
        <v>26793</v>
      </c>
      <c r="H4955" s="11" t="s">
        <v>26794</v>
      </c>
      <c r="I4955" s="11" t="str">
        <f>HYPERLINK("http://www.veterestyle.it/","www.veterestyle.it")</f>
        <v>www.veterestyle.it</v>
      </c>
      <c r="J4955" s="12">
        <v>1.21</v>
      </c>
      <c r="K4955" s="12">
        <v>1.21</v>
      </c>
      <c r="L4955" s="13">
        <v>0.83399999999999996</v>
      </c>
      <c r="M4955" s="12">
        <v>-2.5990000000000002</v>
      </c>
      <c r="N4955" s="12">
        <v>-2.5990000000000002</v>
      </c>
      <c r="O4955" s="12">
        <v>-2.387</v>
      </c>
      <c r="P4955" s="12">
        <v>0</v>
      </c>
      <c r="Q4955" s="12">
        <v>0</v>
      </c>
      <c r="R4955" s="12">
        <v>1</v>
      </c>
    </row>
    <row r="4956" spans="1:18" ht="17" customHeight="1" x14ac:dyDescent="0.15">
      <c r="A4956" s="8" t="s">
        <v>26795</v>
      </c>
      <c r="B4956" s="9" t="s">
        <v>26796</v>
      </c>
      <c r="C4956" s="8" t="s">
        <v>26797</v>
      </c>
      <c r="D4956" s="8" t="s">
        <v>26797</v>
      </c>
      <c r="E4956" s="8" t="s">
        <v>26798</v>
      </c>
      <c r="F4956" s="8" t="s">
        <v>26711</v>
      </c>
      <c r="G4956" s="8" t="s">
        <v>26799</v>
      </c>
      <c r="H4956" s="8" t="s">
        <v>26800</v>
      </c>
      <c r="I4956" s="8" t="str">
        <f>HYPERLINK("http://claudiadandrea.com/","claudiadandrea.com")</f>
        <v>claudiadandrea.com</v>
      </c>
      <c r="J4956" s="10">
        <v>1.2</v>
      </c>
      <c r="K4956" s="10">
        <v>1.2</v>
      </c>
      <c r="L4956" s="10">
        <v>0.82</v>
      </c>
      <c r="M4956" s="10">
        <v>-14.375</v>
      </c>
      <c r="N4956" s="10">
        <v>-14.375</v>
      </c>
      <c r="O4956" s="10">
        <v>-11.68</v>
      </c>
      <c r="P4956" s="10">
        <v>1</v>
      </c>
      <c r="Q4956" s="10">
        <v>1</v>
      </c>
      <c r="R4956" s="10">
        <v>0</v>
      </c>
    </row>
    <row r="4957" spans="1:18" ht="17" customHeight="1" x14ac:dyDescent="0.15">
      <c r="A4957" s="11" t="s">
        <v>26801</v>
      </c>
      <c r="B4957" s="1" t="s">
        <v>26802</v>
      </c>
      <c r="C4957" s="11" t="s">
        <v>26803</v>
      </c>
      <c r="D4957" s="11" t="s">
        <v>26803</v>
      </c>
      <c r="E4957" s="11" t="s">
        <v>26804</v>
      </c>
      <c r="F4957" s="11" t="s">
        <v>26692</v>
      </c>
      <c r="G4957" s="11" t="s">
        <v>26676</v>
      </c>
      <c r="H4957" s="11" t="s">
        <v>26677</v>
      </c>
      <c r="I4957" s="11" t="str">
        <f>HYPERLINK("http://www.lawley.it/","www.lawley.it")</f>
        <v>www.lawley.it</v>
      </c>
      <c r="J4957" s="12">
        <v>0.8</v>
      </c>
      <c r="K4957" s="14" t="s">
        <v>26658</v>
      </c>
      <c r="L4957" s="13">
        <v>0.8</v>
      </c>
      <c r="M4957" s="12">
        <v>-77.445999999999998</v>
      </c>
      <c r="N4957" s="14" t="s">
        <v>26658</v>
      </c>
      <c r="O4957" s="12">
        <v>-77.445999999999998</v>
      </c>
      <c r="P4957" s="12">
        <v>0</v>
      </c>
      <c r="Q4957" s="14" t="s">
        <v>26658</v>
      </c>
      <c r="R4957" s="12">
        <v>0</v>
      </c>
    </row>
    <row r="4958" spans="1:18" ht="17" customHeight="1" x14ac:dyDescent="0.15">
      <c r="A4958" s="8" t="s">
        <v>26805</v>
      </c>
      <c r="B4958" s="9" t="s">
        <v>26806</v>
      </c>
      <c r="C4958" s="8" t="s">
        <v>26807</v>
      </c>
      <c r="D4958" s="8" t="s">
        <v>26807</v>
      </c>
      <c r="E4958" s="8" t="s">
        <v>26808</v>
      </c>
      <c r="F4958" s="8" t="s">
        <v>26772</v>
      </c>
      <c r="G4958" s="8" t="s">
        <v>26809</v>
      </c>
      <c r="H4958" s="8" t="s">
        <v>26788</v>
      </c>
      <c r="I4958" s="8" t="str">
        <f>HYPERLINK("http://www.elisafanti.it/","www.elisafanti.it")</f>
        <v>www.elisafanti.it</v>
      </c>
      <c r="J4958" s="10">
        <v>0</v>
      </c>
      <c r="K4958" s="10">
        <v>0</v>
      </c>
      <c r="L4958" s="10">
        <v>0.47199999999999998</v>
      </c>
      <c r="M4958" s="10">
        <v>1750.1079999999999</v>
      </c>
      <c r="N4958" s="10">
        <v>-1.486</v>
      </c>
      <c r="O4958" s="10">
        <v>-1.903</v>
      </c>
      <c r="P4958" s="10">
        <v>0</v>
      </c>
      <c r="Q4958" s="10">
        <v>0</v>
      </c>
      <c r="R4958" s="10">
        <v>0</v>
      </c>
    </row>
    <row r="4959" spans="1:18" ht="17" customHeight="1" x14ac:dyDescent="0.15">
      <c r="A4959" s="11" t="s">
        <v>26810</v>
      </c>
      <c r="B4959" s="1" t="s">
        <v>26811</v>
      </c>
      <c r="C4959" s="11" t="s">
        <v>26812</v>
      </c>
      <c r="D4959" s="11" t="s">
        <v>26812</v>
      </c>
      <c r="E4959" s="11" t="s">
        <v>26813</v>
      </c>
      <c r="F4959" s="11" t="s">
        <v>26692</v>
      </c>
      <c r="G4959" s="11" t="s">
        <v>26650</v>
      </c>
      <c r="H4959" s="11" t="s">
        <v>26651</v>
      </c>
      <c r="I4959" s="11" t="str">
        <f>HYPERLINK("http://www.michelafrancia.com/","www.michelafrancia.com")</f>
        <v>www.michelafrancia.com</v>
      </c>
      <c r="J4959" s="12">
        <v>8.1739999999999995</v>
      </c>
      <c r="K4959" s="12">
        <v>8.1739999999999995</v>
      </c>
      <c r="L4959" s="13">
        <v>0.38100000000000001</v>
      </c>
      <c r="M4959" s="12">
        <v>-6.7169999999999996</v>
      </c>
      <c r="N4959" s="12">
        <v>-6.7169999999999996</v>
      </c>
      <c r="O4959" s="12">
        <v>-4.5490000000000004</v>
      </c>
      <c r="P4959" s="12">
        <v>0</v>
      </c>
      <c r="Q4959" s="12">
        <v>0</v>
      </c>
      <c r="R4959" s="12">
        <v>0</v>
      </c>
    </row>
    <row r="4960" spans="1:18" ht="17" customHeight="1" x14ac:dyDescent="0.15">
      <c r="A4960" s="8" t="s">
        <v>26814</v>
      </c>
      <c r="B4960" s="9" t="s">
        <v>26815</v>
      </c>
      <c r="C4960" s="8" t="s">
        <v>26816</v>
      </c>
      <c r="D4960" s="8" t="s">
        <v>26816</v>
      </c>
      <c r="E4960" s="8" t="s">
        <v>26817</v>
      </c>
      <c r="F4960" s="8" t="s">
        <v>26669</v>
      </c>
      <c r="G4960" s="8" t="s">
        <v>26754</v>
      </c>
      <c r="H4960" s="8" t="s">
        <v>26671</v>
      </c>
      <c r="I4960" s="8" t="str">
        <f>HYPERLINK("http://nothinkshoes.com/","nothinkshoes.com")</f>
        <v>nothinkshoes.com</v>
      </c>
      <c r="J4960" s="10">
        <v>5.2510000000000003</v>
      </c>
      <c r="K4960" s="10">
        <v>5.2510000000000003</v>
      </c>
      <c r="L4960" s="10">
        <v>0.41899999999999998</v>
      </c>
      <c r="M4960" s="10">
        <v>-29.952000000000002</v>
      </c>
      <c r="N4960" s="10">
        <v>-29.952000000000002</v>
      </c>
      <c r="O4960" s="10">
        <v>-30.356999999999999</v>
      </c>
      <c r="P4960" s="10">
        <v>0</v>
      </c>
      <c r="Q4960" s="10">
        <v>0</v>
      </c>
      <c r="R4960" s="10">
        <v>0</v>
      </c>
    </row>
    <row r="4961" spans="1:18" ht="17" customHeight="1" x14ac:dyDescent="0.15">
      <c r="A4961" s="11" t="s">
        <v>26818</v>
      </c>
      <c r="B4961" s="1" t="s">
        <v>26819</v>
      </c>
      <c r="C4961" s="11" t="s">
        <v>26820</v>
      </c>
      <c r="D4961" s="11" t="s">
        <v>26820</v>
      </c>
      <c r="E4961" s="11" t="s">
        <v>26821</v>
      </c>
      <c r="F4961" s="11" t="s">
        <v>26822</v>
      </c>
      <c r="G4961" s="11" t="s">
        <v>26823</v>
      </c>
      <c r="H4961" s="11" t="s">
        <v>26824</v>
      </c>
      <c r="I4961" s="11" t="str">
        <f>HYPERLINK("http://www.ligian.it/","www.ligian.it")</f>
        <v>www.ligian.it</v>
      </c>
      <c r="J4961" s="12">
        <v>47.896999999999998</v>
      </c>
      <c r="K4961" s="12">
        <v>47.896999999999998</v>
      </c>
      <c r="L4961" s="13">
        <v>0.26900000000000002</v>
      </c>
      <c r="M4961" s="12">
        <v>-1.399</v>
      </c>
      <c r="N4961" s="12">
        <v>-1.399</v>
      </c>
      <c r="O4961" s="12">
        <v>4.3209999999999997</v>
      </c>
      <c r="P4961" s="12">
        <v>0</v>
      </c>
      <c r="Q4961" s="12">
        <v>0</v>
      </c>
      <c r="R4961" s="12">
        <v>0</v>
      </c>
    </row>
    <row r="4962" spans="1:18" ht="17" customHeight="1" x14ac:dyDescent="0.15">
      <c r="A4962" s="8" t="s">
        <v>26825</v>
      </c>
      <c r="B4962" s="9" t="s">
        <v>26826</v>
      </c>
      <c r="C4962" s="8" t="s">
        <v>26827</v>
      </c>
      <c r="D4962" s="8" t="s">
        <v>26827</v>
      </c>
      <c r="E4962" s="8" t="s">
        <v>26828</v>
      </c>
      <c r="F4962" s="8" t="s">
        <v>26829</v>
      </c>
      <c r="G4962" s="8" t="s">
        <v>26830</v>
      </c>
      <c r="H4962" s="8" t="s">
        <v>26831</v>
      </c>
      <c r="I4962" s="8" t="str">
        <f>HYPERLINK("http://www.mykap.it/","www.mykap.it")</f>
        <v>www.mykap.it</v>
      </c>
      <c r="J4962" s="10">
        <v>0.88500000000000001</v>
      </c>
      <c r="K4962" s="10">
        <v>0.88500000000000001</v>
      </c>
      <c r="L4962" s="10">
        <v>0.29099999999999998</v>
      </c>
      <c r="M4962" s="10">
        <v>-2.1560000000000001</v>
      </c>
      <c r="N4962" s="10">
        <v>-2.1560000000000001</v>
      </c>
      <c r="O4962" s="10">
        <v>-1.794</v>
      </c>
      <c r="P4962" s="10">
        <v>0</v>
      </c>
      <c r="Q4962" s="10">
        <v>0</v>
      </c>
      <c r="R4962" s="10">
        <v>0</v>
      </c>
    </row>
    <row r="4963" spans="1:18" ht="29.5" customHeight="1" x14ac:dyDescent="0.15">
      <c r="A4963" s="11" t="s">
        <v>26832</v>
      </c>
      <c r="B4963" s="1" t="s">
        <v>26833</v>
      </c>
      <c r="C4963" s="11" t="s">
        <v>26834</v>
      </c>
      <c r="D4963" s="11" t="s">
        <v>26834</v>
      </c>
      <c r="E4963" s="11" t="s">
        <v>26835</v>
      </c>
      <c r="F4963" s="11" t="s">
        <v>26836</v>
      </c>
      <c r="G4963" s="11" t="s">
        <v>26837</v>
      </c>
      <c r="H4963" s="11" t="s">
        <v>26824</v>
      </c>
      <c r="I4963" s="11" t="s">
        <v>26838</v>
      </c>
      <c r="J4963" s="12">
        <v>0.49</v>
      </c>
      <c r="K4963" s="12">
        <v>0.49</v>
      </c>
      <c r="L4963" s="13">
        <v>0.316</v>
      </c>
      <c r="M4963" s="12">
        <v>-8.1379999999999999</v>
      </c>
      <c r="N4963" s="12">
        <v>-8.1379999999999999</v>
      </c>
      <c r="O4963" s="12">
        <v>-93.918000000000006</v>
      </c>
      <c r="P4963" s="14" t="s">
        <v>26839</v>
      </c>
      <c r="Q4963" s="14" t="s">
        <v>26839</v>
      </c>
      <c r="R4963" s="12">
        <v>2</v>
      </c>
    </row>
    <row r="4964" spans="1:18" ht="17" customHeight="1" x14ac:dyDescent="0.15">
      <c r="A4964" s="8" t="s">
        <v>26840</v>
      </c>
      <c r="B4964" s="9" t="s">
        <v>26841</v>
      </c>
      <c r="C4964" s="8" t="s">
        <v>26842</v>
      </c>
      <c r="D4964" s="8" t="s">
        <v>26842</v>
      </c>
      <c r="E4964" s="8" t="s">
        <v>26843</v>
      </c>
      <c r="F4964" s="8" t="s">
        <v>26844</v>
      </c>
      <c r="G4964" s="8" t="s">
        <v>26845</v>
      </c>
      <c r="H4964" s="8" t="s">
        <v>26846</v>
      </c>
      <c r="I4964" s="8" t="str">
        <f>HYPERLINK("http://www.tricotaporter.com/","www.tricotaporter.com")</f>
        <v>www.tricotaporter.com</v>
      </c>
      <c r="J4964" s="10">
        <v>6.1790000000000003</v>
      </c>
      <c r="K4964" s="10">
        <v>6.1790000000000003</v>
      </c>
      <c r="L4964" s="10">
        <v>0.23200000000000001</v>
      </c>
      <c r="M4964" s="10">
        <v>-5.1159999999999997</v>
      </c>
      <c r="N4964" s="10">
        <v>-5.1159999999999997</v>
      </c>
      <c r="O4964" s="10">
        <v>-6.5069999999999997</v>
      </c>
      <c r="P4964" s="10">
        <v>0</v>
      </c>
      <c r="Q4964" s="10">
        <v>0</v>
      </c>
      <c r="R4964" s="10">
        <v>0</v>
      </c>
    </row>
    <row r="4965" spans="1:18" ht="68" customHeight="1" x14ac:dyDescent="0.15">
      <c r="A4965" s="11" t="s">
        <v>26847</v>
      </c>
      <c r="B4965" s="1" t="s">
        <v>26848</v>
      </c>
      <c r="C4965" s="11" t="s">
        <v>26849</v>
      </c>
      <c r="D4965" s="11" t="s">
        <v>26849</v>
      </c>
      <c r="E4965" s="11" t="s">
        <v>26850</v>
      </c>
      <c r="F4965" s="11" t="s">
        <v>26851</v>
      </c>
      <c r="G4965" s="11" t="s">
        <v>26852</v>
      </c>
      <c r="H4965" s="11" t="s">
        <v>26853</v>
      </c>
      <c r="I4965" s="11" t="str">
        <f>HYPERLINK("http://www.polsyle.it/","www.polsyle.it")</f>
        <v>www.polsyle.it</v>
      </c>
      <c r="J4965" s="12">
        <v>3.0249999999999999</v>
      </c>
      <c r="K4965" s="12">
        <v>3.0249999999999999</v>
      </c>
      <c r="L4965" s="13">
        <v>0.248</v>
      </c>
      <c r="M4965" s="12">
        <v>-21.120999999999999</v>
      </c>
      <c r="N4965" s="12">
        <v>-21.120999999999999</v>
      </c>
      <c r="O4965" s="12">
        <v>-17.003</v>
      </c>
      <c r="P4965" s="14" t="s">
        <v>26839</v>
      </c>
      <c r="Q4965" s="14" t="s">
        <v>26839</v>
      </c>
      <c r="R4965" s="14" t="s">
        <v>26839</v>
      </c>
    </row>
    <row r="4966" spans="1:18" ht="17" customHeight="1" x14ac:dyDescent="0.15">
      <c r="A4966" s="8" t="s">
        <v>26854</v>
      </c>
      <c r="B4966" s="9" t="s">
        <v>26855</v>
      </c>
      <c r="C4966" s="8" t="s">
        <v>26856</v>
      </c>
      <c r="D4966" s="8" t="s">
        <v>26856</v>
      </c>
      <c r="E4966" s="8" t="s">
        <v>26857</v>
      </c>
      <c r="F4966" s="8" t="s">
        <v>26858</v>
      </c>
      <c r="G4966" s="8" t="s">
        <v>26859</v>
      </c>
      <c r="H4966" s="8" t="s">
        <v>26860</v>
      </c>
      <c r="I4966" s="8" t="str">
        <f>HYPERLINK("http://www.tradinnovazione.it/","www.tradinnovazione.it")</f>
        <v>www.tradinnovazione.it</v>
      </c>
      <c r="J4966" s="10">
        <v>0</v>
      </c>
      <c r="K4966" s="10">
        <v>0</v>
      </c>
      <c r="L4966" s="10">
        <v>0.19700000000000001</v>
      </c>
      <c r="M4966" s="10">
        <v>1.393</v>
      </c>
      <c r="N4966" s="10">
        <v>1.393</v>
      </c>
      <c r="O4966" s="10">
        <v>0.433</v>
      </c>
      <c r="P4966" s="10">
        <v>0</v>
      </c>
      <c r="Q4966" s="10">
        <v>0</v>
      </c>
      <c r="R4966" s="10">
        <v>0</v>
      </c>
    </row>
    <row r="4967" spans="1:18" ht="17" customHeight="1" x14ac:dyDescent="0.15">
      <c r="A4967" s="11" t="s">
        <v>26861</v>
      </c>
      <c r="B4967" s="1" t="s">
        <v>26862</v>
      </c>
      <c r="C4967" s="11" t="s">
        <v>26863</v>
      </c>
      <c r="D4967" s="11" t="s">
        <v>26863</v>
      </c>
      <c r="E4967" s="11" t="s">
        <v>26864</v>
      </c>
      <c r="F4967" s="11" t="s">
        <v>26844</v>
      </c>
      <c r="G4967" s="11" t="s">
        <v>26845</v>
      </c>
      <c r="H4967" s="11" t="s">
        <v>26846</v>
      </c>
      <c r="I4967" s="11" t="str">
        <f>HYPERLINK("http://trend.gruppoflorence.it/","trend.gruppoflorence.it")</f>
        <v>trend.gruppoflorence.it</v>
      </c>
      <c r="J4967" s="12">
        <v>651302.022</v>
      </c>
      <c r="K4967" s="12">
        <v>651302.022</v>
      </c>
      <c r="L4967" s="13">
        <v>0</v>
      </c>
      <c r="M4967" s="12">
        <v>18440.434000000001</v>
      </c>
      <c r="N4967" s="12">
        <v>18440.434000000001</v>
      </c>
      <c r="O4967" s="12">
        <v>-37.978999999999999</v>
      </c>
      <c r="P4967" s="12">
        <v>2469</v>
      </c>
      <c r="Q4967" s="12">
        <v>2469</v>
      </c>
      <c r="R4967" s="12">
        <v>0</v>
      </c>
    </row>
    <row r="4968" spans="1:18" ht="17" customHeight="1" x14ac:dyDescent="0.15">
      <c r="A4968" s="8" t="s">
        <v>26865</v>
      </c>
      <c r="B4968" s="9" t="s">
        <v>26866</v>
      </c>
      <c r="C4968" s="8" t="s">
        <v>26867</v>
      </c>
      <c r="D4968" s="8" t="s">
        <v>26867</v>
      </c>
      <c r="E4968" s="8" t="s">
        <v>26868</v>
      </c>
      <c r="F4968" s="8" t="s">
        <v>26869</v>
      </c>
      <c r="G4968" s="8" t="s">
        <v>26870</v>
      </c>
      <c r="H4968" s="8" t="s">
        <v>26860</v>
      </c>
      <c r="I4968" s="8" t="str">
        <f>HYPERLINK("http://www.lunarossaleathers.com/","www.lunarossaleathers.com")</f>
        <v>www.lunarossaleathers.com</v>
      </c>
      <c r="J4968" s="10">
        <v>5232.93</v>
      </c>
      <c r="K4968" s="10">
        <v>5232.93</v>
      </c>
      <c r="L4968" s="10">
        <v>0</v>
      </c>
      <c r="M4968" s="10">
        <v>249.851</v>
      </c>
      <c r="N4968" s="10">
        <v>249.851</v>
      </c>
      <c r="O4968" s="10">
        <v>0</v>
      </c>
      <c r="P4968" s="15" t="s">
        <v>26839</v>
      </c>
      <c r="Q4968" s="15" t="s">
        <v>26839</v>
      </c>
      <c r="R4968" s="10">
        <v>0</v>
      </c>
    </row>
    <row r="4969" spans="1:18" ht="43" customHeight="1" x14ac:dyDescent="0.15">
      <c r="A4969" s="11" t="s">
        <v>26871</v>
      </c>
      <c r="B4969" s="1" t="s">
        <v>26872</v>
      </c>
      <c r="C4969" s="11" t="s">
        <v>26873</v>
      </c>
      <c r="D4969" s="11" t="s">
        <v>26873</v>
      </c>
      <c r="E4969" s="11" t="s">
        <v>26874</v>
      </c>
      <c r="F4969" s="11" t="s">
        <v>26822</v>
      </c>
      <c r="G4969" s="11" t="s">
        <v>26823</v>
      </c>
      <c r="H4969" s="11" t="s">
        <v>26824</v>
      </c>
      <c r="I4969" s="11" t="str">
        <f>HYPERLINK("http://zingoni-counters.com/","zingoni-counters.com")</f>
        <v>zingoni-counters.com</v>
      </c>
      <c r="J4969" s="12">
        <v>2406.4169999999999</v>
      </c>
      <c r="K4969" s="12">
        <v>2406.4169999999999</v>
      </c>
      <c r="L4969" s="13">
        <v>0</v>
      </c>
      <c r="M4969" s="12">
        <v>4.6820000000000004</v>
      </c>
      <c r="N4969" s="12">
        <v>4.6820000000000004</v>
      </c>
      <c r="O4969" s="12">
        <v>-1.069</v>
      </c>
      <c r="P4969" s="14" t="s">
        <v>26839</v>
      </c>
      <c r="Q4969" s="14" t="s">
        <v>26839</v>
      </c>
      <c r="R4969" s="12">
        <v>0</v>
      </c>
    </row>
    <row r="4970" spans="1:18" ht="55.75" customHeight="1" x14ac:dyDescent="0.15">
      <c r="A4970" s="8" t="s">
        <v>26875</v>
      </c>
      <c r="B4970" s="9" t="s">
        <v>26876</v>
      </c>
      <c r="C4970" s="8" t="s">
        <v>26877</v>
      </c>
      <c r="D4970" s="8" t="s">
        <v>26877</v>
      </c>
      <c r="E4970" s="8" t="s">
        <v>26878</v>
      </c>
      <c r="F4970" s="8" t="s">
        <v>26829</v>
      </c>
      <c r="G4970" s="8" t="s">
        <v>26879</v>
      </c>
      <c r="H4970" s="8" t="s">
        <v>26824</v>
      </c>
      <c r="I4970" s="8" t="str">
        <f>HYPERLINK("http://www.oldangler.com/","www.oldangler.com")</f>
        <v>www.oldangler.com</v>
      </c>
      <c r="J4970" s="10">
        <v>769.85799999999995</v>
      </c>
      <c r="K4970" s="10">
        <v>769.85799999999995</v>
      </c>
      <c r="L4970" s="10">
        <v>0</v>
      </c>
      <c r="M4970" s="10">
        <v>8.2639999999999993</v>
      </c>
      <c r="N4970" s="10">
        <v>8.2639999999999993</v>
      </c>
      <c r="O4970" s="10">
        <v>-0.61699999999999999</v>
      </c>
      <c r="P4970" s="10">
        <v>8</v>
      </c>
      <c r="Q4970" s="10">
        <v>8</v>
      </c>
      <c r="R4970" s="10">
        <v>0</v>
      </c>
    </row>
    <row r="4971" spans="1:18" ht="17" customHeight="1" x14ac:dyDescent="0.15">
      <c r="A4971" s="11" t="s">
        <v>26880</v>
      </c>
      <c r="B4971" s="1" t="s">
        <v>26881</v>
      </c>
      <c r="C4971" s="11" t="s">
        <v>26882</v>
      </c>
      <c r="D4971" s="11" t="s">
        <v>26882</v>
      </c>
      <c r="E4971" s="11" t="s">
        <v>26883</v>
      </c>
      <c r="F4971" s="11" t="s">
        <v>26869</v>
      </c>
      <c r="G4971" s="11" t="s">
        <v>26884</v>
      </c>
      <c r="H4971" s="11" t="s">
        <v>26853</v>
      </c>
      <c r="I4971" s="11" t="str">
        <f>HYPERLINK("http://www.degipellami.it/","www.degipellami.it")</f>
        <v>www.degipellami.it</v>
      </c>
      <c r="J4971" s="12">
        <v>371.21</v>
      </c>
      <c r="K4971" s="12">
        <v>371.21</v>
      </c>
      <c r="L4971" s="13">
        <v>0</v>
      </c>
      <c r="M4971" s="12">
        <v>4.4530000000000003</v>
      </c>
      <c r="N4971" s="12">
        <v>4.4530000000000003</v>
      </c>
      <c r="O4971" s="12">
        <v>-0.245</v>
      </c>
      <c r="P4971" s="12">
        <v>0</v>
      </c>
      <c r="Q4971" s="12">
        <v>0</v>
      </c>
      <c r="R4971" s="12">
        <v>0</v>
      </c>
    </row>
    <row r="4972" spans="1:18" ht="17" customHeight="1" x14ac:dyDescent="0.15">
      <c r="A4972" s="8" t="s">
        <v>26885</v>
      </c>
      <c r="B4972" s="9" t="s">
        <v>26886</v>
      </c>
      <c r="C4972" s="8" t="s">
        <v>26887</v>
      </c>
      <c r="D4972" s="8" t="s">
        <v>26887</v>
      </c>
      <c r="E4972" s="8" t="s">
        <v>26888</v>
      </c>
      <c r="F4972" s="8" t="s">
        <v>26844</v>
      </c>
      <c r="G4972" s="8" t="s">
        <v>26845</v>
      </c>
      <c r="H4972" s="8" t="s">
        <v>26846</v>
      </c>
      <c r="I4972" s="8" t="str">
        <f>HYPERLINK("http://www.smartshirt.it/","www.smartshirt.it")</f>
        <v>www.smartshirt.it</v>
      </c>
      <c r="J4972" s="10">
        <v>235.78200000000001</v>
      </c>
      <c r="K4972" s="10">
        <v>235.78200000000001</v>
      </c>
      <c r="L4972" s="10">
        <v>0</v>
      </c>
      <c r="M4972" s="10">
        <v>11.701000000000001</v>
      </c>
      <c r="N4972" s="10">
        <v>11.701000000000001</v>
      </c>
      <c r="O4972" s="10">
        <v>-0.84699999999999998</v>
      </c>
      <c r="P4972" s="15" t="s">
        <v>26839</v>
      </c>
      <c r="Q4972" s="15" t="s">
        <v>26839</v>
      </c>
      <c r="R4972" s="10">
        <v>0</v>
      </c>
    </row>
    <row r="4973" spans="1:18" ht="17" customHeight="1" x14ac:dyDescent="0.15">
      <c r="A4973" s="11" t="s">
        <v>26889</v>
      </c>
      <c r="B4973" s="1" t="s">
        <v>26890</v>
      </c>
      <c r="C4973" s="11" t="s">
        <v>26891</v>
      </c>
      <c r="D4973" s="11" t="s">
        <v>26891</v>
      </c>
      <c r="E4973" s="11" t="s">
        <v>26892</v>
      </c>
      <c r="F4973" s="11" t="s">
        <v>26893</v>
      </c>
      <c r="G4973" s="11" t="s">
        <v>26894</v>
      </c>
      <c r="H4973" s="11" t="s">
        <v>26895</v>
      </c>
      <c r="I4973" s="11" t="str">
        <f>HYPERLINK("http://www.teodoribrothers.it/","www.teodoribrothers.it")</f>
        <v>www.teodoribrothers.it</v>
      </c>
      <c r="J4973" s="12">
        <v>162.69900000000001</v>
      </c>
      <c r="K4973" s="12">
        <v>162.69900000000001</v>
      </c>
      <c r="L4973" s="13">
        <v>0</v>
      </c>
      <c r="M4973" s="12">
        <v>4.3769999999999998</v>
      </c>
      <c r="N4973" s="12">
        <v>4.3769999999999998</v>
      </c>
      <c r="O4973" s="12">
        <v>1E-3</v>
      </c>
      <c r="P4973" s="12">
        <v>0</v>
      </c>
      <c r="Q4973" s="12">
        <v>0</v>
      </c>
      <c r="R4973" s="12">
        <v>0</v>
      </c>
    </row>
    <row r="4974" spans="1:18" ht="17" customHeight="1" x14ac:dyDescent="0.15">
      <c r="A4974" s="8" t="s">
        <v>26896</v>
      </c>
      <c r="B4974" s="9" t="s">
        <v>26897</v>
      </c>
      <c r="C4974" s="8" t="s">
        <v>26898</v>
      </c>
      <c r="D4974" s="8" t="s">
        <v>26898</v>
      </c>
      <c r="E4974" s="8" t="s">
        <v>26899</v>
      </c>
      <c r="F4974" s="8" t="s">
        <v>26900</v>
      </c>
      <c r="G4974" s="8" t="s">
        <v>26901</v>
      </c>
      <c r="H4974" s="8" t="s">
        <v>26902</v>
      </c>
      <c r="I4974" s="8" t="str">
        <f>HYPERLINK("http://www.prettymode.it/","www.prettymode.it")</f>
        <v>www.prettymode.it</v>
      </c>
      <c r="J4974" s="10">
        <v>120</v>
      </c>
      <c r="K4974" s="10">
        <v>120</v>
      </c>
      <c r="L4974" s="10">
        <v>0</v>
      </c>
      <c r="M4974" s="10">
        <v>1.2E-2</v>
      </c>
      <c r="N4974" s="10">
        <v>1.2E-2</v>
      </c>
      <c r="O4974" s="10">
        <v>352.63600000000002</v>
      </c>
      <c r="P4974" s="10">
        <v>0</v>
      </c>
      <c r="Q4974" s="10">
        <v>0</v>
      </c>
      <c r="R4974" s="10">
        <v>0</v>
      </c>
    </row>
    <row r="4975" spans="1:18" ht="17" customHeight="1" x14ac:dyDescent="0.15">
      <c r="A4975" s="11" t="s">
        <v>26903</v>
      </c>
      <c r="B4975" s="1" t="s">
        <v>26904</v>
      </c>
      <c r="C4975" s="11" t="s">
        <v>26905</v>
      </c>
      <c r="D4975" s="11" t="s">
        <v>26905</v>
      </c>
      <c r="E4975" s="11" t="s">
        <v>26906</v>
      </c>
      <c r="F4975" s="11" t="s">
        <v>26907</v>
      </c>
      <c r="G4975" s="11" t="s">
        <v>26830</v>
      </c>
      <c r="H4975" s="11" t="s">
        <v>26831</v>
      </c>
      <c r="I4975" s="11" t="str">
        <f>HYPERLINK("http://www.latitta.it/","www.latitta.it")</f>
        <v>www.latitta.it</v>
      </c>
      <c r="J4975" s="12">
        <v>109.712</v>
      </c>
      <c r="K4975" s="12">
        <v>109.712</v>
      </c>
      <c r="L4975" s="13">
        <v>0</v>
      </c>
      <c r="M4975" s="12">
        <v>2.2480000000000002</v>
      </c>
      <c r="N4975" s="12">
        <v>2.2480000000000002</v>
      </c>
      <c r="O4975" s="12">
        <v>-3.86</v>
      </c>
      <c r="P4975" s="12">
        <v>2</v>
      </c>
      <c r="Q4975" s="12">
        <v>2</v>
      </c>
      <c r="R4975" s="12">
        <v>1</v>
      </c>
    </row>
    <row r="4976" spans="1:18" ht="43" customHeight="1" x14ac:dyDescent="0.15">
      <c r="A4976" s="8" t="s">
        <v>26908</v>
      </c>
      <c r="B4976" s="9" t="s">
        <v>26909</v>
      </c>
      <c r="C4976" s="8" t="s">
        <v>26910</v>
      </c>
      <c r="D4976" s="8" t="s">
        <v>26910</v>
      </c>
      <c r="E4976" s="8" t="s">
        <v>26911</v>
      </c>
      <c r="F4976" s="8" t="s">
        <v>26858</v>
      </c>
      <c r="G4976" s="8" t="s">
        <v>26912</v>
      </c>
      <c r="H4976" s="8" t="s">
        <v>26913</v>
      </c>
      <c r="I4976" s="8" t="str">
        <f>HYPERLINK("http://www.guidomaggi.it/","www.guidomaggi.it")</f>
        <v>www.guidomaggi.it</v>
      </c>
      <c r="J4976" s="10">
        <v>83.045000000000002</v>
      </c>
      <c r="K4976" s="10">
        <v>83.045000000000002</v>
      </c>
      <c r="L4976" s="10">
        <v>0</v>
      </c>
      <c r="M4976" s="10">
        <v>0.05</v>
      </c>
      <c r="N4976" s="10">
        <v>0.05</v>
      </c>
      <c r="O4976" s="10">
        <v>-11.509</v>
      </c>
      <c r="P4976" s="10">
        <v>0</v>
      </c>
      <c r="Q4976" s="10">
        <v>0</v>
      </c>
      <c r="R4976" s="10">
        <v>0</v>
      </c>
    </row>
    <row r="4977" spans="1:18" ht="17" customHeight="1" x14ac:dyDescent="0.15">
      <c r="A4977" s="11" t="s">
        <v>26914</v>
      </c>
      <c r="B4977" s="1" t="s">
        <v>26915</v>
      </c>
      <c r="C4977" s="11" t="s">
        <v>26916</v>
      </c>
      <c r="D4977" s="11" t="s">
        <v>26916</v>
      </c>
      <c r="E4977" s="11" t="s">
        <v>26917</v>
      </c>
      <c r="F4977" s="11" t="s">
        <v>26918</v>
      </c>
      <c r="G4977" s="11" t="s">
        <v>26852</v>
      </c>
      <c r="H4977" s="11" t="s">
        <v>26853</v>
      </c>
      <c r="I4977" s="11" t="str">
        <f>HYPERLINK("http://www.vael.it/","www.vael.it")</f>
        <v>www.vael.it</v>
      </c>
      <c r="J4977" s="12">
        <v>75.093000000000004</v>
      </c>
      <c r="K4977" s="12">
        <v>75.093000000000004</v>
      </c>
      <c r="L4977" s="13">
        <v>0</v>
      </c>
      <c r="M4977" s="12">
        <v>19.638000000000002</v>
      </c>
      <c r="N4977" s="12">
        <v>19.638000000000002</v>
      </c>
      <c r="O4977" s="12">
        <v>0</v>
      </c>
      <c r="P4977" s="12">
        <v>3</v>
      </c>
      <c r="Q4977" s="12">
        <v>3</v>
      </c>
      <c r="R4977" s="12">
        <v>0</v>
      </c>
    </row>
    <row r="4978" spans="1:18" ht="17" customHeight="1" x14ac:dyDescent="0.15">
      <c r="A4978" s="8" t="s">
        <v>26919</v>
      </c>
      <c r="B4978" s="9" t="s">
        <v>26920</v>
      </c>
      <c r="C4978" s="8" t="s">
        <v>26921</v>
      </c>
      <c r="D4978" s="8" t="s">
        <v>26921</v>
      </c>
      <c r="E4978" s="8" t="s">
        <v>26922</v>
      </c>
      <c r="F4978" s="8" t="s">
        <v>26851</v>
      </c>
      <c r="G4978" s="8" t="s">
        <v>26923</v>
      </c>
      <c r="H4978" s="8" t="s">
        <v>26860</v>
      </c>
      <c r="I4978" s="8" t="str">
        <f>HYPERLINK("http://www.galaeco.it/","www.galaeco.it")</f>
        <v>www.galaeco.it</v>
      </c>
      <c r="J4978" s="10">
        <v>39.39</v>
      </c>
      <c r="K4978" s="10">
        <v>39.39</v>
      </c>
      <c r="L4978" s="10">
        <v>0</v>
      </c>
      <c r="M4978" s="10">
        <v>-25.747</v>
      </c>
      <c r="N4978" s="10">
        <v>-25.747</v>
      </c>
      <c r="O4978" s="10">
        <v>3.835</v>
      </c>
      <c r="P4978" s="10">
        <v>0</v>
      </c>
      <c r="Q4978" s="10">
        <v>0</v>
      </c>
      <c r="R4978" s="10">
        <v>0</v>
      </c>
    </row>
    <row r="4979" spans="1:18" ht="17" customHeight="1" x14ac:dyDescent="0.15">
      <c r="A4979" s="11" t="s">
        <v>26924</v>
      </c>
      <c r="B4979" s="1" t="s">
        <v>26925</v>
      </c>
      <c r="C4979" s="11" t="s">
        <v>26926</v>
      </c>
      <c r="D4979" s="11" t="s">
        <v>26926</v>
      </c>
      <c r="E4979" s="11" t="s">
        <v>26927</v>
      </c>
      <c r="F4979" s="11" t="s">
        <v>26844</v>
      </c>
      <c r="G4979" s="11" t="s">
        <v>26901</v>
      </c>
      <c r="H4979" s="11" t="s">
        <v>26902</v>
      </c>
      <c r="I4979" s="11" t="str">
        <f>HYPERLINK("http://www.mauriceabot.net/","www.mauriceabot.net")</f>
        <v>www.mauriceabot.net</v>
      </c>
      <c r="J4979" s="12">
        <v>36</v>
      </c>
      <c r="K4979" s="12">
        <v>36</v>
      </c>
      <c r="L4979" s="13">
        <v>1.2999999999999999E-2</v>
      </c>
      <c r="M4979" s="12">
        <v>-21.193999999999999</v>
      </c>
      <c r="N4979" s="12">
        <v>-21.193999999999999</v>
      </c>
      <c r="O4979" s="12">
        <v>-43.704000000000001</v>
      </c>
      <c r="P4979" s="12">
        <v>0</v>
      </c>
      <c r="Q4979" s="12">
        <v>0</v>
      </c>
      <c r="R4979" s="12">
        <v>0</v>
      </c>
    </row>
    <row r="4980" spans="1:18" ht="55.75" customHeight="1" x14ac:dyDescent="0.15">
      <c r="A4980" s="8" t="s">
        <v>26928</v>
      </c>
      <c r="B4980" s="9" t="s">
        <v>26929</v>
      </c>
      <c r="C4980" s="8" t="s">
        <v>26930</v>
      </c>
      <c r="D4980" s="8" t="s">
        <v>26930</v>
      </c>
      <c r="E4980" s="8" t="s">
        <v>26931</v>
      </c>
      <c r="F4980" s="8" t="s">
        <v>26851</v>
      </c>
      <c r="G4980" s="8" t="s">
        <v>26932</v>
      </c>
      <c r="H4980" s="8" t="s">
        <v>26846</v>
      </c>
      <c r="I4980" s="8" t="str">
        <f>HYPERLINK("http://www.tes.co.it/","www.tes.co.it")</f>
        <v>www.tes.co.it</v>
      </c>
      <c r="J4980" s="10">
        <v>27.05</v>
      </c>
      <c r="K4980" s="10">
        <v>27.05</v>
      </c>
      <c r="L4980" s="10">
        <v>0</v>
      </c>
      <c r="M4980" s="10">
        <v>-11.551</v>
      </c>
      <c r="N4980" s="10">
        <v>-11.551</v>
      </c>
      <c r="O4980" s="10">
        <v>-16.225000000000001</v>
      </c>
      <c r="P4980" s="10">
        <v>0</v>
      </c>
      <c r="Q4980" s="10">
        <v>0</v>
      </c>
      <c r="R4980" s="10">
        <v>0</v>
      </c>
    </row>
    <row r="4981" spans="1:18" ht="17" customHeight="1" x14ac:dyDescent="0.15">
      <c r="A4981" s="11" t="s">
        <v>26933</v>
      </c>
      <c r="B4981" s="1" t="s">
        <v>26934</v>
      </c>
      <c r="C4981" s="11" t="s">
        <v>26935</v>
      </c>
      <c r="D4981" s="11" t="s">
        <v>26935</v>
      </c>
      <c r="E4981" s="11" t="s">
        <v>26936</v>
      </c>
      <c r="F4981" s="11" t="s">
        <v>26844</v>
      </c>
      <c r="G4981" s="11" t="s">
        <v>26884</v>
      </c>
      <c r="H4981" s="11" t="s">
        <v>26853</v>
      </c>
      <c r="I4981" s="11" t="str">
        <f>HYPERLINK("http://manerafashionstudio.com/","manerafashionstudio.com")</f>
        <v>manerafashionstudio.com</v>
      </c>
      <c r="J4981" s="12">
        <v>22.273</v>
      </c>
      <c r="K4981" s="12">
        <v>22.273</v>
      </c>
      <c r="L4981" s="13">
        <v>0</v>
      </c>
      <c r="M4981" s="12">
        <v>13.348000000000001</v>
      </c>
      <c r="N4981" s="12">
        <v>13.348000000000001</v>
      </c>
      <c r="O4981" s="12">
        <v>-3.2010000000000001</v>
      </c>
      <c r="P4981" s="12">
        <v>1</v>
      </c>
      <c r="Q4981" s="12">
        <v>1</v>
      </c>
      <c r="R4981" s="12">
        <v>0</v>
      </c>
    </row>
    <row r="4982" spans="1:18" ht="17" customHeight="1" x14ac:dyDescent="0.15">
      <c r="A4982" s="8" t="s">
        <v>26937</v>
      </c>
      <c r="B4982" s="9" t="s">
        <v>26938</v>
      </c>
      <c r="C4982" s="8" t="s">
        <v>26939</v>
      </c>
      <c r="D4982" s="8" t="s">
        <v>26939</v>
      </c>
      <c r="E4982" s="8" t="s">
        <v>26940</v>
      </c>
      <c r="F4982" s="8" t="s">
        <v>26844</v>
      </c>
      <c r="G4982" s="8" t="s">
        <v>26941</v>
      </c>
      <c r="H4982" s="8" t="s">
        <v>26846</v>
      </c>
      <c r="I4982" s="8" t="str">
        <f>HYPERLINK("http://mon-elysee.com/","mon-elysee.com")</f>
        <v>mon-elysee.com</v>
      </c>
      <c r="J4982" s="10">
        <v>22.158999999999999</v>
      </c>
      <c r="K4982" s="10">
        <v>22.158999999999999</v>
      </c>
      <c r="L4982" s="10">
        <v>3.9E-2</v>
      </c>
      <c r="M4982" s="10">
        <v>0.25800000000000001</v>
      </c>
      <c r="N4982" s="10">
        <v>0.25800000000000001</v>
      </c>
      <c r="O4982" s="10">
        <v>-13.471</v>
      </c>
      <c r="P4982" s="10">
        <v>0</v>
      </c>
      <c r="Q4982" s="10">
        <v>0</v>
      </c>
      <c r="R4982" s="10">
        <v>0</v>
      </c>
    </row>
    <row r="4983" spans="1:18" ht="17" customHeight="1" x14ac:dyDescent="0.15">
      <c r="A4983" s="11" t="s">
        <v>26942</v>
      </c>
      <c r="B4983" s="1" t="s">
        <v>26943</v>
      </c>
      <c r="C4983" s="11" t="s">
        <v>26944</v>
      </c>
      <c r="D4983" s="11" t="s">
        <v>26944</v>
      </c>
      <c r="E4983" s="11" t="s">
        <v>26945</v>
      </c>
      <c r="F4983" s="11" t="s">
        <v>26829</v>
      </c>
      <c r="G4983" s="11" t="s">
        <v>26879</v>
      </c>
      <c r="H4983" s="11" t="s">
        <v>26824</v>
      </c>
      <c r="I4983" s="11" t="str">
        <f>HYPERLINK("http://www.catedianagiotti.it/","www.catedianagiotti.it")</f>
        <v>www.catedianagiotti.it</v>
      </c>
      <c r="J4983" s="12">
        <v>20</v>
      </c>
      <c r="K4983" s="12">
        <v>20</v>
      </c>
      <c r="L4983" s="13">
        <v>0</v>
      </c>
      <c r="M4983" s="12">
        <v>9.5820000000000007</v>
      </c>
      <c r="N4983" s="12">
        <v>9.5820000000000007</v>
      </c>
      <c r="O4983" s="12">
        <v>-6.3579999999999997</v>
      </c>
      <c r="P4983" s="12">
        <v>0</v>
      </c>
      <c r="Q4983" s="12">
        <v>0</v>
      </c>
      <c r="R4983" s="12">
        <v>0</v>
      </c>
    </row>
    <row r="4984" spans="1:18" ht="29.5" customHeight="1" x14ac:dyDescent="0.15">
      <c r="A4984" s="8" t="s">
        <v>26946</v>
      </c>
      <c r="B4984" s="9" t="s">
        <v>26947</v>
      </c>
      <c r="C4984" s="8" t="s">
        <v>26948</v>
      </c>
      <c r="D4984" s="8" t="s">
        <v>26948</v>
      </c>
      <c r="E4984" s="8" t="s">
        <v>26949</v>
      </c>
      <c r="F4984" s="8" t="s">
        <v>26858</v>
      </c>
      <c r="G4984" s="8" t="s">
        <v>26950</v>
      </c>
      <c r="H4984" s="8" t="s">
        <v>26951</v>
      </c>
      <c r="I4984" s="8" t="str">
        <f>HYPERLINK("http://www.hardandguard.com/","www.hardandguard.com")</f>
        <v>www.hardandguard.com</v>
      </c>
      <c r="J4984" s="10">
        <v>16.257999999999999</v>
      </c>
      <c r="K4984" s="10">
        <v>16.257999999999999</v>
      </c>
      <c r="L4984" s="10">
        <v>0</v>
      </c>
      <c r="M4984" s="10">
        <v>-72.546000000000006</v>
      </c>
      <c r="N4984" s="10">
        <v>-72.546000000000006</v>
      </c>
      <c r="O4984" s="10">
        <v>-24.379000000000001</v>
      </c>
      <c r="P4984" s="10">
        <v>4</v>
      </c>
      <c r="Q4984" s="10">
        <v>4</v>
      </c>
      <c r="R4984" s="10">
        <v>0</v>
      </c>
    </row>
    <row r="4985" spans="1:18" ht="17" customHeight="1" x14ac:dyDescent="0.15">
      <c r="A4985" s="11" t="s">
        <v>26952</v>
      </c>
      <c r="B4985" s="1" t="s">
        <v>26953</v>
      </c>
      <c r="C4985" s="11" t="s">
        <v>26954</v>
      </c>
      <c r="D4985" s="11" t="s">
        <v>26954</v>
      </c>
      <c r="E4985" s="11" t="s">
        <v>26955</v>
      </c>
      <c r="F4985" s="11" t="s">
        <v>26851</v>
      </c>
      <c r="G4985" s="11" t="s">
        <v>26845</v>
      </c>
      <c r="H4985" s="11" t="s">
        <v>26846</v>
      </c>
      <c r="I4985" s="11" t="str">
        <f>HYPERLINK("http://www.piumeno.it/","www.piumeno.it")</f>
        <v>www.piumeno.it</v>
      </c>
      <c r="J4985" s="12">
        <v>15.885</v>
      </c>
      <c r="K4985" s="12">
        <v>15.885</v>
      </c>
      <c r="L4985" s="13">
        <v>0</v>
      </c>
      <c r="M4985" s="12">
        <v>-39.093000000000004</v>
      </c>
      <c r="N4985" s="12">
        <v>-39.093000000000004</v>
      </c>
      <c r="O4985" s="12">
        <v>-1.288</v>
      </c>
      <c r="P4985" s="12">
        <v>0</v>
      </c>
      <c r="Q4985" s="12">
        <v>0</v>
      </c>
      <c r="R4985" s="12">
        <v>0</v>
      </c>
    </row>
    <row r="4986" spans="1:18" ht="17" customHeight="1" x14ac:dyDescent="0.15">
      <c r="A4986" s="8" t="s">
        <v>26956</v>
      </c>
      <c r="B4986" s="9" t="s">
        <v>26957</v>
      </c>
      <c r="C4986" s="8" t="s">
        <v>26958</v>
      </c>
      <c r="D4986" s="8" t="s">
        <v>26958</v>
      </c>
      <c r="E4986" s="8" t="s">
        <v>26959</v>
      </c>
      <c r="F4986" s="8" t="s">
        <v>26960</v>
      </c>
      <c r="G4986" s="8" t="s">
        <v>26845</v>
      </c>
      <c r="H4986" s="8" t="s">
        <v>26846</v>
      </c>
      <c r="I4986" s="8" t="str">
        <f>HYPERLINK("http://foulon.it/","foulon.it")</f>
        <v>foulon.it</v>
      </c>
      <c r="J4986" s="10">
        <v>14.294</v>
      </c>
      <c r="K4986" s="10">
        <v>14.294</v>
      </c>
      <c r="L4986" s="10">
        <v>0</v>
      </c>
      <c r="M4986" s="10">
        <v>-37.726999999999997</v>
      </c>
      <c r="N4986" s="10">
        <v>-37.726999999999997</v>
      </c>
      <c r="O4986" s="10">
        <v>-5.0830000000000002</v>
      </c>
      <c r="P4986" s="10">
        <v>0</v>
      </c>
      <c r="Q4986" s="10">
        <v>0</v>
      </c>
      <c r="R4986" s="10">
        <v>0</v>
      </c>
    </row>
    <row r="4987" spans="1:18" ht="29.5" customHeight="1" x14ac:dyDescent="0.15">
      <c r="A4987" s="11" t="s">
        <v>26961</v>
      </c>
      <c r="B4987" s="1" t="s">
        <v>26962</v>
      </c>
      <c r="C4987" s="11" t="s">
        <v>26963</v>
      </c>
      <c r="D4987" s="11" t="s">
        <v>26963</v>
      </c>
      <c r="E4987" s="11" t="s">
        <v>26964</v>
      </c>
      <c r="F4987" s="11" t="s">
        <v>26829</v>
      </c>
      <c r="G4987" s="11" t="s">
        <v>26852</v>
      </c>
      <c r="H4987" s="11" t="s">
        <v>26853</v>
      </c>
      <c r="I4987" s="11" t="str">
        <f>HYPERLINK("http://mauro-produzione-pelletterie-srl-09022731211.quantofattura.com/","mauro-produzione-pelletterie-srl-09022731211.quantofattura.com")</f>
        <v>mauro-produzione-pelletterie-srl-09022731211.quantofattura.com</v>
      </c>
      <c r="J4987" s="12">
        <v>12</v>
      </c>
      <c r="K4987" s="12">
        <v>12</v>
      </c>
      <c r="L4987" s="13">
        <v>0</v>
      </c>
      <c r="M4987" s="12">
        <v>8.3480000000000008</v>
      </c>
      <c r="N4987" s="12">
        <v>8.3480000000000008</v>
      </c>
      <c r="O4987" s="12">
        <v>-5.1050000000000004</v>
      </c>
      <c r="P4987" s="12">
        <v>0</v>
      </c>
      <c r="Q4987" s="12">
        <v>0</v>
      </c>
      <c r="R4987" s="12">
        <v>0</v>
      </c>
    </row>
    <row r="4988" spans="1:18" ht="17" customHeight="1" x14ac:dyDescent="0.15">
      <c r="A4988" s="8" t="s">
        <v>26965</v>
      </c>
      <c r="B4988" s="9" t="s">
        <v>26966</v>
      </c>
      <c r="C4988" s="8" t="s">
        <v>26967</v>
      </c>
      <c r="D4988" s="8" t="s">
        <v>26967</v>
      </c>
      <c r="E4988" s="8" t="s">
        <v>26968</v>
      </c>
      <c r="F4988" s="8" t="s">
        <v>26858</v>
      </c>
      <c r="G4988" s="8" t="s">
        <v>26969</v>
      </c>
      <c r="H4988" s="8" t="s">
        <v>26970</v>
      </c>
      <c r="I4988" s="8" t="str">
        <f>HYPERLINK("http://purershoes.com/","purershoes.com")</f>
        <v>purershoes.com</v>
      </c>
      <c r="J4988" s="10">
        <v>8.8230000000000004</v>
      </c>
      <c r="K4988" s="10">
        <v>8.8230000000000004</v>
      </c>
      <c r="L4988" s="10">
        <v>0</v>
      </c>
      <c r="M4988" s="10">
        <v>-38.838999999999999</v>
      </c>
      <c r="N4988" s="10">
        <v>-38.838999999999999</v>
      </c>
      <c r="O4988" s="10">
        <v>-14.757999999999999</v>
      </c>
      <c r="P4988" s="10">
        <v>0</v>
      </c>
      <c r="Q4988" s="10">
        <v>0</v>
      </c>
      <c r="R4988" s="10">
        <v>0</v>
      </c>
    </row>
    <row r="4989" spans="1:18" ht="17" customHeight="1" x14ac:dyDescent="0.15">
      <c r="A4989" s="11" t="s">
        <v>26971</v>
      </c>
      <c r="B4989" s="1" t="s">
        <v>26972</v>
      </c>
      <c r="C4989" s="11" t="s">
        <v>26973</v>
      </c>
      <c r="D4989" s="11" t="s">
        <v>26973</v>
      </c>
      <c r="E4989" s="11" t="s">
        <v>26974</v>
      </c>
      <c r="F4989" s="11" t="s">
        <v>26844</v>
      </c>
      <c r="G4989" s="11" t="s">
        <v>26975</v>
      </c>
      <c r="H4989" s="11" t="s">
        <v>26976</v>
      </c>
      <c r="I4989" s="11" t="str">
        <f>HYPERLINK("http://temp2111.dylog.it/","temp2111.dylog.it")</f>
        <v>temp2111.dylog.it</v>
      </c>
      <c r="J4989" s="12">
        <v>7.2569999999999997</v>
      </c>
      <c r="K4989" s="12">
        <v>7.2569999999999997</v>
      </c>
      <c r="L4989" s="13">
        <v>0</v>
      </c>
      <c r="M4989" s="12">
        <v>-137.28700000000001</v>
      </c>
      <c r="N4989" s="12">
        <v>-137.28700000000001</v>
      </c>
      <c r="O4989" s="12">
        <v>45.536999999999999</v>
      </c>
      <c r="P4989" s="12">
        <v>0</v>
      </c>
      <c r="Q4989" s="12">
        <v>0</v>
      </c>
      <c r="R4989" s="12">
        <v>0</v>
      </c>
    </row>
    <row r="4990" spans="1:18" ht="43" customHeight="1" x14ac:dyDescent="0.15">
      <c r="A4990" s="8" t="s">
        <v>26977</v>
      </c>
      <c r="B4990" s="9" t="s">
        <v>26978</v>
      </c>
      <c r="C4990" s="8" t="s">
        <v>26979</v>
      </c>
      <c r="D4990" s="8" t="s">
        <v>26979</v>
      </c>
      <c r="E4990" s="8" t="s">
        <v>26980</v>
      </c>
      <c r="F4990" s="8" t="s">
        <v>26844</v>
      </c>
      <c r="G4990" s="8" t="s">
        <v>26894</v>
      </c>
      <c r="H4990" s="8" t="s">
        <v>26895</v>
      </c>
      <c r="I4990" s="8" t="str">
        <f>HYPERLINK("http://radiosaatelier.it/","radiosaatelier.it")</f>
        <v>radiosaatelier.it</v>
      </c>
      <c r="J4990" s="10">
        <v>6.1669999999999998</v>
      </c>
      <c r="K4990" s="10">
        <v>6.1669999999999998</v>
      </c>
      <c r="L4990" s="10">
        <v>0</v>
      </c>
      <c r="M4990" s="10">
        <v>-0.81399999999999995</v>
      </c>
      <c r="N4990" s="10">
        <v>-0.81399999999999995</v>
      </c>
      <c r="O4990" s="10">
        <v>-5.2560000000000002</v>
      </c>
      <c r="P4990" s="10">
        <v>0</v>
      </c>
      <c r="Q4990" s="10">
        <v>0</v>
      </c>
      <c r="R4990" s="10">
        <v>0</v>
      </c>
    </row>
    <row r="4991" spans="1:18" ht="17" customHeight="1" x14ac:dyDescent="0.15">
      <c r="A4991" s="11" t="s">
        <v>26981</v>
      </c>
      <c r="B4991" s="1" t="s">
        <v>26982</v>
      </c>
      <c r="C4991" s="11" t="s">
        <v>26983</v>
      </c>
      <c r="D4991" s="11" t="s">
        <v>26983</v>
      </c>
      <c r="E4991" s="11" t="s">
        <v>26984</v>
      </c>
      <c r="F4991" s="11" t="s">
        <v>26858</v>
      </c>
      <c r="G4991" s="11" t="s">
        <v>26879</v>
      </c>
      <c r="H4991" s="11" t="s">
        <v>26824</v>
      </c>
      <c r="I4991" s="11" t="str">
        <f>HYPERLINK("http://carlos.it/","carlos.it")</f>
        <v>carlos.it</v>
      </c>
      <c r="J4991" s="12">
        <v>4.9950000000000001</v>
      </c>
      <c r="K4991" s="12">
        <v>4.9950000000000001</v>
      </c>
      <c r="L4991" s="13">
        <v>0</v>
      </c>
      <c r="M4991" s="12">
        <v>-9.5359999999999996</v>
      </c>
      <c r="N4991" s="12">
        <v>-9.5359999999999996</v>
      </c>
      <c r="O4991" s="12">
        <v>6.351</v>
      </c>
      <c r="P4991" s="12">
        <v>0</v>
      </c>
      <c r="Q4991" s="12">
        <v>0</v>
      </c>
      <c r="R4991" s="12">
        <v>0</v>
      </c>
    </row>
    <row r="4992" spans="1:18" ht="29.5" customHeight="1" x14ac:dyDescent="0.15">
      <c r="A4992" s="8" t="s">
        <v>26985</v>
      </c>
      <c r="B4992" s="9" t="s">
        <v>26986</v>
      </c>
      <c r="C4992" s="8" t="s">
        <v>26987</v>
      </c>
      <c r="D4992" s="8" t="s">
        <v>26987</v>
      </c>
      <c r="E4992" s="8" t="s">
        <v>26988</v>
      </c>
      <c r="F4992" s="8" t="s">
        <v>26858</v>
      </c>
      <c r="G4992" s="8" t="s">
        <v>26989</v>
      </c>
      <c r="H4992" s="8" t="s">
        <v>26824</v>
      </c>
      <c r="I4992" s="8" t="str">
        <f>HYPERLINK("http://www.carli1937.it/","www.carli1937.it")</f>
        <v>www.carli1937.it</v>
      </c>
      <c r="J4992" s="10">
        <v>3.8109999999999999</v>
      </c>
      <c r="K4992" s="10">
        <v>3.8109999999999999</v>
      </c>
      <c r="L4992" s="10">
        <v>0</v>
      </c>
      <c r="M4992" s="10">
        <v>-53.79</v>
      </c>
      <c r="N4992" s="10">
        <v>-53.79</v>
      </c>
      <c r="O4992" s="10">
        <v>29.927</v>
      </c>
      <c r="P4992" s="15" t="s">
        <v>26839</v>
      </c>
      <c r="Q4992" s="15" t="s">
        <v>26839</v>
      </c>
      <c r="R4992" s="10">
        <v>0</v>
      </c>
    </row>
    <row r="4993" spans="1:18" ht="17" customHeight="1" x14ac:dyDescent="0.15">
      <c r="A4993" s="11" t="s">
        <v>26990</v>
      </c>
      <c r="B4993" s="1" t="s">
        <v>26991</v>
      </c>
      <c r="C4993" s="11" t="s">
        <v>26992</v>
      </c>
      <c r="D4993" s="11" t="s">
        <v>26992</v>
      </c>
      <c r="E4993" s="11" t="s">
        <v>26993</v>
      </c>
      <c r="F4993" s="11" t="s">
        <v>26994</v>
      </c>
      <c r="G4993" s="11" t="s">
        <v>26995</v>
      </c>
      <c r="H4993" s="11" t="s">
        <v>26996</v>
      </c>
      <c r="I4993" s="11" t="str">
        <f>HYPERLINK("http://www.bech-milano.com/","www.bech-milano.com")</f>
        <v>www.bech-milano.com</v>
      </c>
      <c r="J4993" s="12">
        <v>0.69299999999999995</v>
      </c>
      <c r="K4993" s="12">
        <v>0.69299999999999995</v>
      </c>
      <c r="L4993" s="13">
        <v>0</v>
      </c>
      <c r="M4993" s="12">
        <v>-2.9209999999999998</v>
      </c>
      <c r="N4993" s="12">
        <v>-2.9209999999999998</v>
      </c>
      <c r="O4993" s="12">
        <v>-1.1619999999999999</v>
      </c>
      <c r="P4993" s="12">
        <v>0</v>
      </c>
      <c r="Q4993" s="12">
        <v>0</v>
      </c>
      <c r="R4993" s="12">
        <v>0</v>
      </c>
    </row>
    <row r="4994" spans="1:18" ht="17" customHeight="1" x14ac:dyDescent="0.15">
      <c r="A4994" s="8" t="s">
        <v>26997</v>
      </c>
      <c r="B4994" s="9" t="s">
        <v>26998</v>
      </c>
      <c r="C4994" s="8" t="s">
        <v>26999</v>
      </c>
      <c r="D4994" s="8" t="s">
        <v>26999</v>
      </c>
      <c r="E4994" s="8" t="s">
        <v>27000</v>
      </c>
      <c r="F4994" s="8" t="s">
        <v>27001</v>
      </c>
      <c r="G4994" s="8" t="s">
        <v>27002</v>
      </c>
      <c r="H4994" s="8" t="s">
        <v>27003</v>
      </c>
      <c r="I4994" s="8" t="str">
        <f>HYPERLINK("http://www.mnkbymanal.it/","www.mnkbymanal.it")</f>
        <v>www.mnkbymanal.it</v>
      </c>
      <c r="J4994" s="10">
        <v>0.5</v>
      </c>
      <c r="K4994" s="10">
        <v>0.5</v>
      </c>
      <c r="L4994" s="10">
        <v>0</v>
      </c>
      <c r="M4994" s="10">
        <v>0.5</v>
      </c>
      <c r="N4994" s="10">
        <v>0.5</v>
      </c>
      <c r="O4994" s="10">
        <v>0</v>
      </c>
      <c r="P4994" s="10">
        <v>0</v>
      </c>
      <c r="Q4994" s="10">
        <v>0</v>
      </c>
      <c r="R4994" s="10">
        <v>0</v>
      </c>
    </row>
    <row r="4995" spans="1:18" ht="17" customHeight="1" x14ac:dyDescent="0.15">
      <c r="A4995" s="11" t="s">
        <v>27004</v>
      </c>
      <c r="B4995" s="1" t="s">
        <v>27005</v>
      </c>
      <c r="C4995" s="11" t="s">
        <v>27006</v>
      </c>
      <c r="D4995" s="11" t="s">
        <v>27006</v>
      </c>
      <c r="E4995" s="11" t="s">
        <v>27007</v>
      </c>
      <c r="F4995" s="11" t="s">
        <v>27008</v>
      </c>
      <c r="G4995" s="11" t="s">
        <v>27009</v>
      </c>
      <c r="H4995" s="11" t="s">
        <v>27010</v>
      </c>
      <c r="I4995" s="11" t="str">
        <f>HYPERLINK("http://www.mondosposa.org/","www.mondosposa.org")</f>
        <v>www.mondosposa.org</v>
      </c>
      <c r="J4995" s="12">
        <v>0</v>
      </c>
      <c r="K4995" s="12">
        <v>0</v>
      </c>
      <c r="L4995" s="13">
        <v>0</v>
      </c>
      <c r="M4995" s="12">
        <v>-1.5449999999999999</v>
      </c>
      <c r="N4995" s="12">
        <v>-1.5449999999999999</v>
      </c>
      <c r="O4995" s="12">
        <v>-0.998</v>
      </c>
      <c r="P4995" s="12">
        <v>0</v>
      </c>
      <c r="Q4995" s="12">
        <v>0</v>
      </c>
      <c r="R4995" s="12">
        <v>0</v>
      </c>
    </row>
    <row r="4996" spans="1:18" ht="29.5" customHeight="1" x14ac:dyDescent="0.15">
      <c r="A4996" s="8" t="s">
        <v>27011</v>
      </c>
      <c r="B4996" s="9" t="s">
        <v>27012</v>
      </c>
      <c r="C4996" s="8" t="s">
        <v>27013</v>
      </c>
      <c r="D4996" s="8" t="s">
        <v>27013</v>
      </c>
      <c r="E4996" s="8" t="s">
        <v>27014</v>
      </c>
      <c r="F4996" s="8" t="s">
        <v>27015</v>
      </c>
      <c r="G4996" s="8" t="s">
        <v>27016</v>
      </c>
      <c r="H4996" s="8" t="s">
        <v>27017</v>
      </c>
      <c r="I4996" s="8" t="str">
        <f>HYPERLINK("http://www.nuovasalutebenessere.it/","www.nuovasalutebenessere.it")</f>
        <v>www.nuovasalutebenessere.it</v>
      </c>
      <c r="J4996" s="10">
        <v>0</v>
      </c>
      <c r="K4996" s="10">
        <v>0</v>
      </c>
      <c r="L4996" s="10">
        <v>0</v>
      </c>
      <c r="M4996" s="10">
        <v>1.458</v>
      </c>
      <c r="N4996" s="10">
        <v>1.458</v>
      </c>
      <c r="O4996" s="10">
        <v>6.4770000000000003</v>
      </c>
      <c r="P4996" s="10">
        <v>0</v>
      </c>
      <c r="Q4996" s="10">
        <v>0</v>
      </c>
      <c r="R4996" s="10">
        <v>0</v>
      </c>
    </row>
    <row r="4997" spans="1:18" ht="29.5" customHeight="1" x14ac:dyDescent="0.15">
      <c r="A4997" s="11" t="s">
        <v>27018</v>
      </c>
      <c r="B4997" s="1" t="s">
        <v>27019</v>
      </c>
      <c r="C4997" s="11" t="s">
        <v>27020</v>
      </c>
      <c r="D4997" s="11" t="s">
        <v>27020</v>
      </c>
      <c r="E4997" s="11" t="s">
        <v>27021</v>
      </c>
      <c r="F4997" s="11" t="s">
        <v>27022</v>
      </c>
      <c r="G4997" s="11" t="s">
        <v>27016</v>
      </c>
      <c r="H4997" s="11" t="s">
        <v>27017</v>
      </c>
      <c r="I4997" s="11" t="str">
        <f>HYPERLINK("http://www.stilman.it/","www.stilman.it")</f>
        <v>www.stilman.it</v>
      </c>
      <c r="J4997" s="12">
        <v>0</v>
      </c>
      <c r="K4997" s="12">
        <v>0</v>
      </c>
      <c r="L4997" s="13">
        <v>0</v>
      </c>
      <c r="M4997" s="12">
        <v>-0.91900000000000004</v>
      </c>
      <c r="N4997" s="12">
        <v>-0.91900000000000004</v>
      </c>
      <c r="O4997" s="12">
        <v>-34.503999999999998</v>
      </c>
      <c r="P4997" s="12">
        <v>0</v>
      </c>
      <c r="Q4997" s="12">
        <v>0</v>
      </c>
      <c r="R4997" s="12">
        <v>0</v>
      </c>
    </row>
    <row r="4998" spans="1:18" ht="43" customHeight="1" x14ac:dyDescent="0.15">
      <c r="A4998" s="8" t="s">
        <v>27023</v>
      </c>
      <c r="B4998" s="9" t="s">
        <v>27024</v>
      </c>
      <c r="C4998" s="8" t="s">
        <v>27025</v>
      </c>
      <c r="D4998" s="8" t="s">
        <v>27025</v>
      </c>
      <c r="E4998" s="8" t="s">
        <v>27026</v>
      </c>
      <c r="F4998" s="8" t="s">
        <v>27001</v>
      </c>
      <c r="G4998" s="8" t="s">
        <v>27027</v>
      </c>
      <c r="H4998" s="8" t="s">
        <v>27017</v>
      </c>
      <c r="I4998" s="8" t="str">
        <f>HYPERLINK("http://www.francoziche.com/","www.francoziche.com")</f>
        <v>www.francoziche.com</v>
      </c>
      <c r="J4998" s="10">
        <v>0</v>
      </c>
      <c r="K4998" s="10">
        <v>0</v>
      </c>
      <c r="L4998" s="10">
        <v>0</v>
      </c>
      <c r="M4998" s="10">
        <v>-1333.7909999999999</v>
      </c>
      <c r="N4998" s="10">
        <v>-1333.7909999999999</v>
      </c>
      <c r="O4998" s="10">
        <v>-48.737000000000002</v>
      </c>
      <c r="P4998" s="10">
        <v>0</v>
      </c>
      <c r="Q4998" s="10">
        <v>0</v>
      </c>
      <c r="R4998" s="10">
        <v>0</v>
      </c>
    </row>
    <row r="4999" spans="1:18" ht="17" customHeight="1" x14ac:dyDescent="0.15">
      <c r="A4999" s="11" t="s">
        <v>27028</v>
      </c>
      <c r="B4999" s="1" t="s">
        <v>27029</v>
      </c>
      <c r="C4999" s="11" t="s">
        <v>27030</v>
      </c>
      <c r="D4999" s="11" t="s">
        <v>27030</v>
      </c>
      <c r="E4999" s="11" t="s">
        <v>27031</v>
      </c>
      <c r="F4999" s="11" t="s">
        <v>27032</v>
      </c>
      <c r="G4999" s="11" t="s">
        <v>27027</v>
      </c>
      <c r="H4999" s="11" t="s">
        <v>27017</v>
      </c>
      <c r="I4999" s="11" t="str">
        <f>HYPERLINK("http://www.verapellami.it/","www.verapellami.it")</f>
        <v>www.verapellami.it</v>
      </c>
      <c r="J4999" s="12">
        <v>0</v>
      </c>
      <c r="K4999" s="12">
        <v>0</v>
      </c>
      <c r="L4999" s="13">
        <v>4.9000000000000002E-2</v>
      </c>
      <c r="M4999" s="12">
        <v>3.4940000000000002</v>
      </c>
      <c r="N4999" s="12">
        <v>3.4940000000000002</v>
      </c>
      <c r="O4999" s="12">
        <v>12.754</v>
      </c>
      <c r="P4999" s="12">
        <v>0</v>
      </c>
      <c r="Q4999" s="12">
        <v>0</v>
      </c>
      <c r="R4999" s="12">
        <v>0</v>
      </c>
    </row>
    <row r="5000" spans="1:18" ht="43" customHeight="1" x14ac:dyDescent="0.15">
      <c r="A5000" s="8" t="s">
        <v>27033</v>
      </c>
      <c r="B5000" s="9" t="s">
        <v>27034</v>
      </c>
      <c r="C5000" s="8" t="s">
        <v>27035</v>
      </c>
      <c r="D5000" s="8" t="s">
        <v>27035</v>
      </c>
      <c r="E5000" s="8" t="s">
        <v>27036</v>
      </c>
      <c r="F5000" s="8" t="s">
        <v>27032</v>
      </c>
      <c r="G5000" s="8" t="s">
        <v>27027</v>
      </c>
      <c r="H5000" s="8" t="s">
        <v>27017</v>
      </c>
      <c r="I5000" s="8" t="str">
        <f>HYPERLINK("http://ambraleather.com/","ambraleather.com")</f>
        <v>ambraleather.com</v>
      </c>
      <c r="J5000" s="10">
        <v>0</v>
      </c>
      <c r="K5000" s="10">
        <v>0</v>
      </c>
      <c r="L5000" s="10">
        <v>0</v>
      </c>
      <c r="M5000" s="10">
        <v>-898.149</v>
      </c>
      <c r="N5000" s="10">
        <v>-898.149</v>
      </c>
      <c r="O5000" s="10">
        <v>-63.698999999999998</v>
      </c>
      <c r="P5000" s="10">
        <v>0</v>
      </c>
      <c r="Q5000" s="10">
        <v>0</v>
      </c>
      <c r="R5000" s="10">
        <v>0</v>
      </c>
    </row>
    <row r="5001" spans="1:18" ht="43" customHeight="1" x14ac:dyDescent="0.15">
      <c r="A5001" s="11" t="s">
        <v>27037</v>
      </c>
      <c r="B5001" s="1" t="s">
        <v>27038</v>
      </c>
      <c r="C5001" s="11" t="s">
        <v>27039</v>
      </c>
      <c r="D5001" s="11" t="s">
        <v>27039</v>
      </c>
      <c r="E5001" s="11" t="s">
        <v>27040</v>
      </c>
      <c r="F5001" s="11" t="s">
        <v>27032</v>
      </c>
      <c r="G5001" s="11" t="s">
        <v>27027</v>
      </c>
      <c r="H5001" s="11" t="s">
        <v>27017</v>
      </c>
      <c r="I5001" s="11" t="str">
        <f>HYPERLINK("http://www.conceriatigre.com/","www.conceriatigre.com")</f>
        <v>www.conceriatigre.com</v>
      </c>
      <c r="J5001" s="12">
        <v>0</v>
      </c>
      <c r="K5001" s="12">
        <v>0</v>
      </c>
      <c r="L5001" s="13">
        <v>0</v>
      </c>
      <c r="M5001" s="12">
        <v>-5332.0240000000003</v>
      </c>
      <c r="N5001" s="12">
        <v>-5332.0240000000003</v>
      </c>
      <c r="O5001" s="12">
        <v>-51.905999999999999</v>
      </c>
      <c r="P5001" s="12">
        <v>0</v>
      </c>
      <c r="Q5001" s="12">
        <v>0</v>
      </c>
      <c r="R5001" s="12">
        <v>0</v>
      </c>
    </row>
    <row r="5002" spans="1:18" ht="17" customHeight="1" x14ac:dyDescent="0.15">
      <c r="A5002" s="8" t="s">
        <v>27041</v>
      </c>
      <c r="B5002" s="9" t="s">
        <v>27042</v>
      </c>
      <c r="C5002" s="8" t="s">
        <v>27043</v>
      </c>
      <c r="D5002" s="8" t="s">
        <v>27043</v>
      </c>
      <c r="E5002" s="8" t="s">
        <v>27044</v>
      </c>
      <c r="F5002" s="8" t="s">
        <v>27045</v>
      </c>
      <c r="G5002" s="8" t="s">
        <v>27046</v>
      </c>
      <c r="H5002" s="8" t="s">
        <v>27003</v>
      </c>
      <c r="I5002" s="8" t="str">
        <f>HYPERLINK("http://www.crespi.com/","www.crespi.com")</f>
        <v>www.crespi.com</v>
      </c>
      <c r="J5002" s="10">
        <v>0</v>
      </c>
      <c r="K5002" s="10">
        <v>0</v>
      </c>
      <c r="L5002" s="10">
        <v>0</v>
      </c>
      <c r="M5002" s="10">
        <v>-2014.452</v>
      </c>
      <c r="N5002" s="10">
        <v>-2014.452</v>
      </c>
      <c r="O5002" s="10">
        <v>-20.771999999999998</v>
      </c>
      <c r="P5002" s="10">
        <v>0</v>
      </c>
      <c r="Q5002" s="10">
        <v>0</v>
      </c>
      <c r="R5002" s="10">
        <v>0</v>
      </c>
    </row>
    <row r="5003" spans="1:18" ht="17" customHeight="1" x14ac:dyDescent="0.15">
      <c r="A5003" s="11" t="s">
        <v>27047</v>
      </c>
      <c r="B5003" s="1" t="s">
        <v>27048</v>
      </c>
      <c r="C5003" s="11" t="s">
        <v>27049</v>
      </c>
      <c r="D5003" s="11" t="s">
        <v>27049</v>
      </c>
      <c r="E5003" s="11" t="s">
        <v>27050</v>
      </c>
      <c r="F5003" s="11" t="s">
        <v>26994</v>
      </c>
      <c r="G5003" s="11" t="s">
        <v>27051</v>
      </c>
      <c r="H5003" s="11" t="s">
        <v>27017</v>
      </c>
      <c r="I5003" s="11" t="str">
        <f>HYPERLINK("http://www.nst-nuovasupertaglio.com/","www.nst-nuovasupertaglio.com")</f>
        <v>www.nst-nuovasupertaglio.com</v>
      </c>
      <c r="J5003" s="12">
        <v>0</v>
      </c>
      <c r="K5003" s="12">
        <v>0</v>
      </c>
      <c r="L5003" s="13">
        <v>0</v>
      </c>
      <c r="M5003" s="12">
        <v>-23.632000000000001</v>
      </c>
      <c r="N5003" s="12">
        <v>-23.632000000000001</v>
      </c>
      <c r="O5003" s="12">
        <v>-14.868</v>
      </c>
      <c r="P5003" s="12">
        <v>0</v>
      </c>
      <c r="Q5003" s="12">
        <v>0</v>
      </c>
      <c r="R5003" s="12">
        <v>0</v>
      </c>
    </row>
    <row r="5004" spans="1:18" ht="29.5" customHeight="1" x14ac:dyDescent="0.15">
      <c r="A5004" s="8" t="s">
        <v>27052</v>
      </c>
      <c r="B5004" s="9" t="s">
        <v>27053</v>
      </c>
      <c r="C5004" s="8" t="s">
        <v>27054</v>
      </c>
      <c r="D5004" s="8" t="s">
        <v>27054</v>
      </c>
      <c r="E5004" s="8" t="s">
        <v>27055</v>
      </c>
      <c r="F5004" s="8" t="s">
        <v>27001</v>
      </c>
      <c r="G5004" s="8" t="s">
        <v>27051</v>
      </c>
      <c r="H5004" s="8" t="s">
        <v>27017</v>
      </c>
      <c r="I5004" s="8" t="str">
        <f>HYPERLINK("http://www.dressing.it/","www.dressing.it")</f>
        <v>www.dressing.it</v>
      </c>
      <c r="J5004" s="10">
        <v>0</v>
      </c>
      <c r="K5004" s="10">
        <v>0</v>
      </c>
      <c r="L5004" s="10">
        <v>0</v>
      </c>
      <c r="M5004" s="10">
        <v>0.96399999999999997</v>
      </c>
      <c r="N5004" s="10">
        <v>0.96399999999999997</v>
      </c>
      <c r="O5004" s="10">
        <v>1.5569999999999999</v>
      </c>
      <c r="P5004" s="10">
        <v>0</v>
      </c>
      <c r="Q5004" s="10">
        <v>0</v>
      </c>
      <c r="R5004" s="10">
        <v>0</v>
      </c>
    </row>
    <row r="5005" spans="1:18" ht="17" customHeight="1" x14ac:dyDescent="0.15">
      <c r="A5005" s="11" t="s">
        <v>27056</v>
      </c>
      <c r="B5005" s="1" t="s">
        <v>27057</v>
      </c>
      <c r="C5005" s="11" t="s">
        <v>27058</v>
      </c>
      <c r="D5005" s="11" t="s">
        <v>27058</v>
      </c>
      <c r="E5005" s="11" t="s">
        <v>27059</v>
      </c>
      <c r="F5005" s="11" t="s">
        <v>27022</v>
      </c>
      <c r="G5005" s="11" t="s">
        <v>27051</v>
      </c>
      <c r="H5005" s="11" t="s">
        <v>27017</v>
      </c>
      <c r="I5005" s="11" t="str">
        <f>HYPERLINK("http://www.diadora.it/","www.diadora.it")</f>
        <v>www.diadora.it</v>
      </c>
      <c r="J5005" s="12">
        <v>0</v>
      </c>
      <c r="K5005" s="12">
        <v>0</v>
      </c>
      <c r="L5005" s="13">
        <v>0</v>
      </c>
      <c r="M5005" s="12">
        <v>3750.8420000000001</v>
      </c>
      <c r="N5005" s="12">
        <v>3750.8420000000001</v>
      </c>
      <c r="O5005" s="12">
        <v>651.452</v>
      </c>
      <c r="P5005" s="12">
        <v>0</v>
      </c>
      <c r="Q5005" s="12">
        <v>0</v>
      </c>
      <c r="R5005" s="12">
        <v>0</v>
      </c>
    </row>
    <row r="5006" spans="1:18" ht="17" customHeight="1" x14ac:dyDescent="0.15">
      <c r="A5006" s="8" t="s">
        <v>27060</v>
      </c>
      <c r="B5006" s="9" t="s">
        <v>27061</v>
      </c>
      <c r="C5006" s="8" t="s">
        <v>27062</v>
      </c>
      <c r="D5006" s="8" t="s">
        <v>27062</v>
      </c>
      <c r="E5006" s="8" t="s">
        <v>27063</v>
      </c>
      <c r="F5006" s="8" t="s">
        <v>27064</v>
      </c>
      <c r="G5006" s="8" t="s">
        <v>27065</v>
      </c>
      <c r="H5006" s="8" t="s">
        <v>27066</v>
      </c>
      <c r="I5006" s="8" t="str">
        <f>HYPERLINK("http://www.ego-italy.com/","www.ego-italy.com")</f>
        <v>www.ego-italy.com</v>
      </c>
      <c r="J5006" s="10">
        <v>0</v>
      </c>
      <c r="K5006" s="10">
        <v>0</v>
      </c>
      <c r="L5006" s="10">
        <v>0</v>
      </c>
      <c r="M5006" s="10">
        <v>-3.0110000000000001</v>
      </c>
      <c r="N5006" s="10">
        <v>-3.0110000000000001</v>
      </c>
      <c r="O5006" s="10">
        <v>-2.7370000000000001</v>
      </c>
      <c r="P5006" s="10">
        <v>0</v>
      </c>
      <c r="Q5006" s="10">
        <v>0</v>
      </c>
      <c r="R5006" s="10">
        <v>0</v>
      </c>
    </row>
    <row r="5007" spans="1:18" ht="43" customHeight="1" x14ac:dyDescent="0.15">
      <c r="A5007" s="11" t="s">
        <v>27067</v>
      </c>
      <c r="B5007" s="1" t="s">
        <v>27068</v>
      </c>
      <c r="C5007" s="11" t="s">
        <v>27069</v>
      </c>
      <c r="D5007" s="11" t="s">
        <v>27069</v>
      </c>
      <c r="E5007" s="11" t="s">
        <v>27070</v>
      </c>
      <c r="F5007" s="11" t="s">
        <v>27071</v>
      </c>
      <c r="G5007" s="11" t="s">
        <v>27072</v>
      </c>
      <c r="H5007" s="11" t="s">
        <v>27073</v>
      </c>
      <c r="I5007" s="11" t="str">
        <f>HYPERLINK("http://www.blessice.it/","www.blessice.it")</f>
        <v>www.blessice.it</v>
      </c>
      <c r="J5007" s="12">
        <v>0</v>
      </c>
      <c r="K5007" s="12">
        <v>0</v>
      </c>
      <c r="L5007" s="13">
        <v>0</v>
      </c>
      <c r="M5007" s="12">
        <v>-4.0789999999999997</v>
      </c>
      <c r="N5007" s="12">
        <v>-4.0789999999999997</v>
      </c>
      <c r="O5007" s="12">
        <v>-4.0720000000000001</v>
      </c>
      <c r="P5007" s="12">
        <v>0</v>
      </c>
      <c r="Q5007" s="12">
        <v>0</v>
      </c>
      <c r="R5007" s="12">
        <v>0</v>
      </c>
    </row>
    <row r="5008" spans="1:18" ht="17" customHeight="1" x14ac:dyDescent="0.15">
      <c r="A5008" s="8" t="s">
        <v>27074</v>
      </c>
      <c r="B5008" s="9" t="s">
        <v>27075</v>
      </c>
      <c r="C5008" s="8" t="s">
        <v>27076</v>
      </c>
      <c r="D5008" s="8" t="s">
        <v>27076</v>
      </c>
      <c r="E5008" s="8" t="s">
        <v>27077</v>
      </c>
      <c r="F5008" s="8" t="s">
        <v>27001</v>
      </c>
      <c r="G5008" s="8" t="s">
        <v>27078</v>
      </c>
      <c r="H5008" s="8" t="s">
        <v>27079</v>
      </c>
      <c r="I5008" s="8" t="str">
        <f>HYPERLINK("http://www.montefiore.it/","www.montefiore.it")</f>
        <v>www.montefiore.it</v>
      </c>
      <c r="J5008" s="10">
        <v>0</v>
      </c>
      <c r="K5008" s="10">
        <v>0</v>
      </c>
      <c r="L5008" s="10">
        <v>0</v>
      </c>
      <c r="M5008" s="10">
        <v>-39.734000000000002</v>
      </c>
      <c r="N5008" s="10">
        <v>-39.734000000000002</v>
      </c>
      <c r="O5008" s="10">
        <v>-2766.7840000000001</v>
      </c>
      <c r="P5008" s="10">
        <v>0</v>
      </c>
      <c r="Q5008" s="10">
        <v>0</v>
      </c>
      <c r="R5008" s="10">
        <v>0</v>
      </c>
    </row>
    <row r="5009" spans="1:18" ht="17" customHeight="1" x14ac:dyDescent="0.15">
      <c r="A5009" s="11" t="s">
        <v>27080</v>
      </c>
      <c r="B5009" s="1" t="s">
        <v>27081</v>
      </c>
      <c r="C5009" s="11" t="s">
        <v>27082</v>
      </c>
      <c r="D5009" s="11" t="s">
        <v>27082</v>
      </c>
      <c r="E5009" s="11" t="s">
        <v>27083</v>
      </c>
      <c r="F5009" s="11" t="s">
        <v>27084</v>
      </c>
      <c r="G5009" s="11" t="s">
        <v>27078</v>
      </c>
      <c r="H5009" s="11" t="s">
        <v>27079</v>
      </c>
      <c r="I5009" s="11" t="str">
        <f>HYPERLINK("http://www.diellemanifatture.it/","www.diellemanifatture.it")</f>
        <v>www.diellemanifatture.it</v>
      </c>
      <c r="J5009" s="12">
        <v>0</v>
      </c>
      <c r="K5009" s="12">
        <v>0</v>
      </c>
      <c r="L5009" s="13">
        <v>0</v>
      </c>
      <c r="M5009" s="12">
        <v>29.068000000000001</v>
      </c>
      <c r="N5009" s="12">
        <v>29.068000000000001</v>
      </c>
      <c r="O5009" s="12">
        <v>24.523</v>
      </c>
      <c r="P5009" s="12">
        <v>0</v>
      </c>
      <c r="Q5009" s="12">
        <v>0</v>
      </c>
      <c r="R5009" s="12">
        <v>0</v>
      </c>
    </row>
    <row r="5010" spans="1:18" ht="17" customHeight="1" x14ac:dyDescent="0.15">
      <c r="A5010" s="8" t="s">
        <v>27085</v>
      </c>
      <c r="B5010" s="9" t="s">
        <v>27086</v>
      </c>
      <c r="C5010" s="8" t="s">
        <v>27087</v>
      </c>
      <c r="D5010" s="8" t="s">
        <v>27087</v>
      </c>
      <c r="E5010" s="8" t="s">
        <v>27088</v>
      </c>
      <c r="F5010" s="8" t="s">
        <v>27015</v>
      </c>
      <c r="G5010" s="8" t="s">
        <v>27089</v>
      </c>
      <c r="H5010" s="8" t="s">
        <v>26996</v>
      </c>
      <c r="I5010" s="8" t="str">
        <f>HYPERLINK("http://www.selenaneilux.com/","www.selenaneilux.com")</f>
        <v>www.selenaneilux.com</v>
      </c>
      <c r="J5010" s="10">
        <v>0</v>
      </c>
      <c r="K5010" s="10">
        <v>0</v>
      </c>
      <c r="L5010" s="10">
        <v>0</v>
      </c>
      <c r="M5010" s="10">
        <v>-7.1260000000000003</v>
      </c>
      <c r="N5010" s="10">
        <v>-7.1260000000000003</v>
      </c>
      <c r="O5010" s="10">
        <v>-1.5249999999999999</v>
      </c>
      <c r="P5010" s="10">
        <v>0</v>
      </c>
      <c r="Q5010" s="10">
        <v>0</v>
      </c>
      <c r="R5010" s="10">
        <v>0</v>
      </c>
    </row>
    <row r="5011" spans="1:18" ht="17" customHeight="1" x14ac:dyDescent="0.15">
      <c r="A5011" s="11" t="s">
        <v>27090</v>
      </c>
      <c r="B5011" s="1" t="s">
        <v>27091</v>
      </c>
      <c r="C5011" s="11" t="s">
        <v>27092</v>
      </c>
      <c r="D5011" s="11" t="s">
        <v>27092</v>
      </c>
      <c r="E5011" s="11" t="s">
        <v>27093</v>
      </c>
      <c r="F5011" s="11" t="s">
        <v>27064</v>
      </c>
      <c r="G5011" s="11" t="s">
        <v>27089</v>
      </c>
      <c r="H5011" s="11" t="s">
        <v>26996</v>
      </c>
      <c r="I5011" s="11" t="str">
        <f>HYPERLINK("http://en.gi-emme.com/","en.gi-emme.com")</f>
        <v>en.gi-emme.com</v>
      </c>
      <c r="J5011" s="12">
        <v>0</v>
      </c>
      <c r="K5011" s="12">
        <v>0</v>
      </c>
      <c r="L5011" s="13">
        <v>0</v>
      </c>
      <c r="M5011" s="12">
        <v>-1.645</v>
      </c>
      <c r="N5011" s="12">
        <v>-1.645</v>
      </c>
      <c r="O5011" s="12">
        <v>-11.855</v>
      </c>
      <c r="P5011" s="12">
        <v>0</v>
      </c>
      <c r="Q5011" s="12">
        <v>0</v>
      </c>
      <c r="R5011" s="12">
        <v>0</v>
      </c>
    </row>
    <row r="5012" spans="1:18" ht="43" customHeight="1" x14ac:dyDescent="0.15">
      <c r="A5012" s="8" t="s">
        <v>27094</v>
      </c>
      <c r="B5012" s="9" t="s">
        <v>27095</v>
      </c>
      <c r="C5012" s="8" t="s">
        <v>27096</v>
      </c>
      <c r="D5012" s="8" t="s">
        <v>27096</v>
      </c>
      <c r="E5012" s="8" t="s">
        <v>27097</v>
      </c>
      <c r="F5012" s="8" t="s">
        <v>26994</v>
      </c>
      <c r="G5012" s="8" t="s">
        <v>27098</v>
      </c>
      <c r="H5012" s="8" t="s">
        <v>27099</v>
      </c>
      <c r="I5012" s="8" t="str">
        <f>HYPERLINK("http://whiteroads.it/","whiteroads.it")</f>
        <v>whiteroads.it</v>
      </c>
      <c r="J5012" s="10">
        <v>0</v>
      </c>
      <c r="K5012" s="10">
        <v>0</v>
      </c>
      <c r="L5012" s="10">
        <v>0</v>
      </c>
      <c r="M5012" s="10">
        <v>-1.6120000000000001</v>
      </c>
      <c r="N5012" s="10">
        <v>-1.6120000000000001</v>
      </c>
      <c r="O5012" s="10">
        <v>-1.383</v>
      </c>
      <c r="P5012" s="15" t="s">
        <v>27100</v>
      </c>
      <c r="Q5012" s="15" t="s">
        <v>27100</v>
      </c>
      <c r="R5012" s="15" t="s">
        <v>27100</v>
      </c>
    </row>
    <row r="5013" spans="1:18" ht="29.5" customHeight="1" x14ac:dyDescent="0.15">
      <c r="A5013" s="11" t="s">
        <v>27101</v>
      </c>
      <c r="B5013" s="1" t="s">
        <v>27102</v>
      </c>
      <c r="C5013" s="11" t="s">
        <v>27103</v>
      </c>
      <c r="D5013" s="11" t="s">
        <v>27103</v>
      </c>
      <c r="E5013" s="11" t="s">
        <v>27104</v>
      </c>
      <c r="F5013" s="11" t="s">
        <v>27105</v>
      </c>
      <c r="G5013" s="11" t="s">
        <v>27106</v>
      </c>
      <c r="H5013" s="11" t="s">
        <v>27017</v>
      </c>
      <c r="I5013" s="11" t="str">
        <f>HYPERLINK("http://www.grecotex.it/","www.grecotex.it")</f>
        <v>www.grecotex.it</v>
      </c>
      <c r="J5013" s="12">
        <v>0</v>
      </c>
      <c r="K5013" s="12">
        <v>0</v>
      </c>
      <c r="L5013" s="13">
        <v>0</v>
      </c>
      <c r="M5013" s="12">
        <v>-2.5609999999999999</v>
      </c>
      <c r="N5013" s="12">
        <v>-2.5609999999999999</v>
      </c>
      <c r="O5013" s="12">
        <v>-1.206</v>
      </c>
      <c r="P5013" s="12">
        <v>0</v>
      </c>
      <c r="Q5013" s="12">
        <v>0</v>
      </c>
      <c r="R5013" s="12">
        <v>0</v>
      </c>
    </row>
    <row r="5014" spans="1:18" ht="17" customHeight="1" x14ac:dyDescent="0.15">
      <c r="A5014" s="8" t="s">
        <v>27107</v>
      </c>
      <c r="B5014" s="9" t="s">
        <v>27108</v>
      </c>
      <c r="C5014" s="8" t="s">
        <v>27109</v>
      </c>
      <c r="D5014" s="8" t="s">
        <v>27109</v>
      </c>
      <c r="E5014" s="8" t="s">
        <v>27110</v>
      </c>
      <c r="F5014" s="8" t="s">
        <v>27022</v>
      </c>
      <c r="G5014" s="8" t="s">
        <v>27111</v>
      </c>
      <c r="H5014" s="8" t="s">
        <v>27112</v>
      </c>
      <c r="I5014" s="8" t="str">
        <f>HYPERLINK("http://dynamic-cleats.it/","dynamic-cleats.it")</f>
        <v>dynamic-cleats.it</v>
      </c>
      <c r="J5014" s="10">
        <v>0</v>
      </c>
      <c r="K5014" s="10">
        <v>0</v>
      </c>
      <c r="L5014" s="10">
        <v>0</v>
      </c>
      <c r="M5014" s="10">
        <v>-2.694</v>
      </c>
      <c r="N5014" s="10">
        <v>-2.694</v>
      </c>
      <c r="O5014" s="10">
        <v>-2.5870000000000002</v>
      </c>
      <c r="P5014" s="10">
        <v>0</v>
      </c>
      <c r="Q5014" s="10">
        <v>0</v>
      </c>
      <c r="R5014" s="10">
        <v>0</v>
      </c>
    </row>
    <row r="5015" spans="1:18" ht="17" customHeight="1" x14ac:dyDescent="0.15">
      <c r="A5015" s="11" t="s">
        <v>27113</v>
      </c>
      <c r="B5015" s="1" t="s">
        <v>27114</v>
      </c>
      <c r="C5015" s="11" t="s">
        <v>27115</v>
      </c>
      <c r="D5015" s="11" t="s">
        <v>27115</v>
      </c>
      <c r="E5015" s="11" t="s">
        <v>27116</v>
      </c>
      <c r="F5015" s="11" t="s">
        <v>27064</v>
      </c>
      <c r="G5015" s="11" t="s">
        <v>27111</v>
      </c>
      <c r="H5015" s="11" t="s">
        <v>27112</v>
      </c>
      <c r="I5015" s="11" t="str">
        <f>HYPERLINK("http://www.brianbrome.com/","www.brianbrome.com")</f>
        <v>www.brianbrome.com</v>
      </c>
      <c r="J5015" s="12">
        <v>0</v>
      </c>
      <c r="K5015" s="14" t="s">
        <v>27100</v>
      </c>
      <c r="L5015" s="13">
        <v>0</v>
      </c>
      <c r="M5015" s="12">
        <v>-5.1950000000000003</v>
      </c>
      <c r="N5015" s="14" t="s">
        <v>27100</v>
      </c>
      <c r="O5015" s="12">
        <v>-5.1950000000000003</v>
      </c>
      <c r="P5015" s="12">
        <v>0</v>
      </c>
      <c r="Q5015" s="14" t="s">
        <v>27100</v>
      </c>
      <c r="R5015" s="12">
        <v>0</v>
      </c>
    </row>
    <row r="5016" spans="1:18" ht="17" customHeight="1" x14ac:dyDescent="0.15">
      <c r="A5016" s="8" t="s">
        <v>27117</v>
      </c>
      <c r="B5016" s="9" t="s">
        <v>27118</v>
      </c>
      <c r="C5016" s="8" t="s">
        <v>27119</v>
      </c>
      <c r="D5016" s="8" t="s">
        <v>27119</v>
      </c>
      <c r="E5016" s="8" t="s">
        <v>27120</v>
      </c>
      <c r="F5016" s="8" t="s">
        <v>26994</v>
      </c>
      <c r="G5016" s="8" t="s">
        <v>27111</v>
      </c>
      <c r="H5016" s="8" t="s">
        <v>27112</v>
      </c>
      <c r="I5016" s="8" t="str">
        <f>HYPERLINK("http://rebeccaecarolapuglisi.com/","rebeccaecarolapuglisi.com")</f>
        <v>rebeccaecarolapuglisi.com</v>
      </c>
      <c r="J5016" s="10">
        <v>0</v>
      </c>
      <c r="K5016" s="15" t="s">
        <v>27100</v>
      </c>
      <c r="L5016" s="10">
        <v>0</v>
      </c>
      <c r="M5016" s="10">
        <v>-4.625</v>
      </c>
      <c r="N5016" s="15" t="s">
        <v>27100</v>
      </c>
      <c r="O5016" s="10">
        <v>-4.625</v>
      </c>
      <c r="P5016" s="10">
        <v>0</v>
      </c>
      <c r="Q5016" s="15" t="s">
        <v>27100</v>
      </c>
      <c r="R5016" s="10">
        <v>0</v>
      </c>
    </row>
    <row r="5017" spans="1:18" ht="29.5" customHeight="1" x14ac:dyDescent="0.15">
      <c r="A5017" s="11" t="s">
        <v>27121</v>
      </c>
      <c r="B5017" s="1" t="s">
        <v>27122</v>
      </c>
      <c r="C5017" s="11" t="s">
        <v>27123</v>
      </c>
      <c r="D5017" s="11" t="s">
        <v>27123</v>
      </c>
      <c r="E5017" s="11" t="s">
        <v>27124</v>
      </c>
      <c r="F5017" s="11" t="s">
        <v>27015</v>
      </c>
      <c r="G5017" s="11" t="s">
        <v>27111</v>
      </c>
      <c r="H5017" s="11" t="s">
        <v>27112</v>
      </c>
      <c r="I5017" s="11" t="str">
        <f>HYPERLINK("http://www.aviasrl.it/","www.aviasrl.it")</f>
        <v>www.aviasrl.it</v>
      </c>
      <c r="J5017" s="12">
        <v>0</v>
      </c>
      <c r="K5017" s="14" t="s">
        <v>27100</v>
      </c>
      <c r="L5017" s="13">
        <v>0</v>
      </c>
      <c r="M5017" s="12">
        <v>0</v>
      </c>
      <c r="N5017" s="14" t="s">
        <v>27100</v>
      </c>
      <c r="O5017" s="12">
        <v>0</v>
      </c>
      <c r="P5017" s="12">
        <v>0</v>
      </c>
      <c r="Q5017" s="14" t="s">
        <v>27100</v>
      </c>
      <c r="R5017" s="12">
        <v>0</v>
      </c>
    </row>
    <row r="5018" spans="1:18" ht="29.5" customHeight="1" x14ac:dyDescent="0.15">
      <c r="A5018" s="8" t="s">
        <v>27125</v>
      </c>
      <c r="B5018" s="9" t="s">
        <v>27126</v>
      </c>
      <c r="C5018" s="8" t="s">
        <v>27127</v>
      </c>
      <c r="D5018" s="8" t="s">
        <v>27127</v>
      </c>
      <c r="E5018" s="8" t="s">
        <v>27128</v>
      </c>
      <c r="F5018" s="8" t="s">
        <v>27001</v>
      </c>
      <c r="G5018" s="8" t="s">
        <v>27129</v>
      </c>
      <c r="H5018" s="8" t="s">
        <v>27099</v>
      </c>
      <c r="I5018" s="8" t="str">
        <f>HYPERLINK("http://www.dubinsport.it/","www.dubinsport.it")</f>
        <v>www.dubinsport.it</v>
      </c>
      <c r="J5018" s="10">
        <v>0</v>
      </c>
      <c r="K5018" s="10">
        <v>0</v>
      </c>
      <c r="L5018" s="10">
        <v>0</v>
      </c>
      <c r="M5018" s="10">
        <v>-1.2E-2</v>
      </c>
      <c r="N5018" s="10">
        <v>-1.2E-2</v>
      </c>
      <c r="O5018" s="10">
        <v>-8.0000000000000002E-3</v>
      </c>
      <c r="P5018" s="10">
        <v>0</v>
      </c>
      <c r="Q5018" s="10">
        <v>0</v>
      </c>
      <c r="R5018" s="10">
        <v>0</v>
      </c>
    </row>
    <row r="5019" spans="1:18" ht="17" customHeight="1" x14ac:dyDescent="0.15">
      <c r="A5019" s="11" t="s">
        <v>27130</v>
      </c>
      <c r="B5019" s="1" t="s">
        <v>27131</v>
      </c>
      <c r="C5019" s="11" t="s">
        <v>27132</v>
      </c>
      <c r="D5019" s="11" t="s">
        <v>27132</v>
      </c>
      <c r="E5019" s="11" t="s">
        <v>27133</v>
      </c>
      <c r="F5019" s="11" t="s">
        <v>27045</v>
      </c>
      <c r="G5019" s="11" t="s">
        <v>27134</v>
      </c>
      <c r="H5019" s="11" t="s">
        <v>27135</v>
      </c>
      <c r="I5019" s="11" t="str">
        <f>HYPERLINK("http://vittoriapaci.it/","vittoriapaci.it")</f>
        <v>vittoriapaci.it</v>
      </c>
      <c r="J5019" s="12">
        <v>0</v>
      </c>
      <c r="K5019" s="14" t="s">
        <v>27100</v>
      </c>
      <c r="L5019" s="13">
        <v>0</v>
      </c>
      <c r="M5019" s="12">
        <v>1.7000000000000001E-2</v>
      </c>
      <c r="N5019" s="14" t="s">
        <v>27100</v>
      </c>
      <c r="O5019" s="12">
        <v>1.7000000000000001E-2</v>
      </c>
      <c r="P5019" s="12">
        <v>0</v>
      </c>
      <c r="Q5019" s="14" t="s">
        <v>27100</v>
      </c>
      <c r="R5019" s="12">
        <v>0</v>
      </c>
    </row>
    <row r="5020" spans="1:18" ht="29.5" customHeight="1" x14ac:dyDescent="0.15">
      <c r="A5020" s="8" t="s">
        <v>27136</v>
      </c>
      <c r="B5020" s="9" t="s">
        <v>27137</v>
      </c>
      <c r="C5020" s="8" t="s">
        <v>27138</v>
      </c>
      <c r="D5020" s="8" t="s">
        <v>27138</v>
      </c>
      <c r="E5020" s="8" t="s">
        <v>27139</v>
      </c>
      <c r="F5020" s="8" t="s">
        <v>27001</v>
      </c>
      <c r="G5020" s="8" t="s">
        <v>27134</v>
      </c>
      <c r="H5020" s="8" t="s">
        <v>27135</v>
      </c>
      <c r="I5020" s="8" t="str">
        <f>HYPERLINK("http://miss-maggie.com/","miss-maggie.com")</f>
        <v>miss-maggie.com</v>
      </c>
      <c r="J5020" s="10">
        <v>0</v>
      </c>
      <c r="K5020" s="10">
        <v>0</v>
      </c>
      <c r="L5020" s="10">
        <v>0</v>
      </c>
      <c r="M5020" s="10">
        <v>-1.8919999999999999</v>
      </c>
      <c r="N5020" s="10">
        <v>-1.8919999999999999</v>
      </c>
      <c r="O5020" s="10">
        <v>-2.294</v>
      </c>
      <c r="P5020" s="10">
        <v>0</v>
      </c>
      <c r="Q5020" s="10">
        <v>0</v>
      </c>
      <c r="R5020" s="10">
        <v>0</v>
      </c>
    </row>
    <row r="5021" spans="1:18" ht="17" customHeight="1" x14ac:dyDescent="0.15">
      <c r="A5021" s="11" t="s">
        <v>27140</v>
      </c>
      <c r="B5021" s="1" t="s">
        <v>27141</v>
      </c>
      <c r="C5021" s="11" t="s">
        <v>27142</v>
      </c>
      <c r="D5021" s="11" t="s">
        <v>27142</v>
      </c>
      <c r="E5021" s="11" t="s">
        <v>27143</v>
      </c>
      <c r="F5021" s="11" t="s">
        <v>26994</v>
      </c>
      <c r="G5021" s="11" t="s">
        <v>27144</v>
      </c>
      <c r="H5021" s="11" t="s">
        <v>27145</v>
      </c>
      <c r="I5021" s="11" t="str">
        <f>HYPERLINK("http://www.dress-natural.com/","www.dress-natural.com")</f>
        <v>www.dress-natural.com</v>
      </c>
      <c r="J5021" s="12">
        <v>0</v>
      </c>
      <c r="K5021" s="14" t="s">
        <v>27100</v>
      </c>
      <c r="L5021" s="13">
        <v>0</v>
      </c>
      <c r="M5021" s="12">
        <v>-5.5819999999999999</v>
      </c>
      <c r="N5021" s="14" t="s">
        <v>27100</v>
      </c>
      <c r="O5021" s="12">
        <v>-5.5819999999999999</v>
      </c>
      <c r="P5021" s="12">
        <v>0</v>
      </c>
      <c r="Q5021" s="14" t="s">
        <v>27100</v>
      </c>
      <c r="R5021" s="12">
        <v>0</v>
      </c>
    </row>
    <row r="5022" spans="1:18" ht="17" customHeight="1" x14ac:dyDescent="0.15">
      <c r="A5022" s="8" t="s">
        <v>27146</v>
      </c>
      <c r="B5022" s="9" t="s">
        <v>27147</v>
      </c>
      <c r="C5022" s="8" t="s">
        <v>27148</v>
      </c>
      <c r="D5022" s="8" t="s">
        <v>27148</v>
      </c>
      <c r="E5022" s="8" t="s">
        <v>27149</v>
      </c>
      <c r="F5022" s="8" t="s">
        <v>27045</v>
      </c>
      <c r="G5022" s="8" t="s">
        <v>27150</v>
      </c>
      <c r="H5022" s="8" t="s">
        <v>27099</v>
      </c>
      <c r="I5022" s="8" t="str">
        <f>HYPERLINK("http://sanfredi.com/","sanfredi.com")</f>
        <v>sanfredi.com</v>
      </c>
      <c r="J5022" s="10">
        <v>0</v>
      </c>
      <c r="K5022" s="10">
        <v>0</v>
      </c>
      <c r="L5022" s="10">
        <v>0</v>
      </c>
      <c r="M5022" s="10">
        <v>-1.4259999999999999</v>
      </c>
      <c r="N5022" s="10">
        <v>-1.4259999999999999</v>
      </c>
      <c r="O5022" s="10">
        <v>-1.498</v>
      </c>
      <c r="P5022" s="10">
        <v>0</v>
      </c>
      <c r="Q5022" s="10">
        <v>0</v>
      </c>
      <c r="R5022" s="10">
        <v>0</v>
      </c>
    </row>
    <row r="5023" spans="1:18" ht="17" customHeight="1" x14ac:dyDescent="0.15">
      <c r="A5023" s="11" t="s">
        <v>27151</v>
      </c>
      <c r="B5023" s="1" t="s">
        <v>27152</v>
      </c>
      <c r="C5023" s="11" t="s">
        <v>27153</v>
      </c>
      <c r="D5023" s="11" t="s">
        <v>27153</v>
      </c>
      <c r="E5023" s="11" t="s">
        <v>27154</v>
      </c>
      <c r="F5023" s="11" t="s">
        <v>27045</v>
      </c>
      <c r="G5023" s="11" t="s">
        <v>27150</v>
      </c>
      <c r="H5023" s="11" t="s">
        <v>27099</v>
      </c>
      <c r="I5023" s="11" t="str">
        <f>HYPERLINK("http://www.gpstricot.it/","www.gpstricot.it")</f>
        <v>www.gpstricot.it</v>
      </c>
      <c r="J5023" s="12">
        <v>0</v>
      </c>
      <c r="K5023" s="12">
        <v>0</v>
      </c>
      <c r="L5023" s="13">
        <v>0</v>
      </c>
      <c r="M5023" s="12">
        <v>3.9990000000000001</v>
      </c>
      <c r="N5023" s="12">
        <v>3.9990000000000001</v>
      </c>
      <c r="O5023" s="12">
        <v>5.49</v>
      </c>
      <c r="P5023" s="12">
        <v>0</v>
      </c>
      <c r="Q5023" s="12">
        <v>0</v>
      </c>
      <c r="R5023" s="12">
        <v>0</v>
      </c>
    </row>
    <row r="5024" spans="1:18" ht="55.75" customHeight="1" x14ac:dyDescent="0.15">
      <c r="A5024" s="8" t="s">
        <v>27155</v>
      </c>
      <c r="B5024" s="9" t="s">
        <v>27156</v>
      </c>
      <c r="C5024" s="8" t="s">
        <v>27157</v>
      </c>
      <c r="D5024" s="8" t="s">
        <v>27157</v>
      </c>
      <c r="E5024" s="8" t="s">
        <v>27158</v>
      </c>
      <c r="F5024" s="8" t="s">
        <v>26994</v>
      </c>
      <c r="G5024" s="8" t="s">
        <v>27150</v>
      </c>
      <c r="H5024" s="8" t="s">
        <v>27099</v>
      </c>
      <c r="I5024" s="8" t="str">
        <f>HYPERLINK("http://giama.com/","giama.com")</f>
        <v>giama.com</v>
      </c>
      <c r="J5024" s="10">
        <v>0</v>
      </c>
      <c r="K5024" s="10">
        <v>0</v>
      </c>
      <c r="L5024" s="10">
        <v>0</v>
      </c>
      <c r="M5024" s="10">
        <v>7.3010000000000002</v>
      </c>
      <c r="N5024" s="10">
        <v>7.3010000000000002</v>
      </c>
      <c r="O5024" s="10">
        <v>-10.215999999999999</v>
      </c>
      <c r="P5024" s="10">
        <v>0</v>
      </c>
      <c r="Q5024" s="10">
        <v>0</v>
      </c>
      <c r="R5024" s="10">
        <v>0</v>
      </c>
    </row>
    <row r="5025" spans="1:18" ht="29.5" customHeight="1" x14ac:dyDescent="0.15">
      <c r="A5025" s="11" t="s">
        <v>27159</v>
      </c>
      <c r="B5025" s="1" t="s">
        <v>27160</v>
      </c>
      <c r="C5025" s="11" t="s">
        <v>27161</v>
      </c>
      <c r="D5025" s="11" t="s">
        <v>27161</v>
      </c>
      <c r="E5025" s="11" t="s">
        <v>27162</v>
      </c>
      <c r="F5025" s="11" t="s">
        <v>27163</v>
      </c>
      <c r="G5025" s="11" t="s">
        <v>27164</v>
      </c>
      <c r="H5025" s="11" t="s">
        <v>27165</v>
      </c>
      <c r="I5025" s="11" t="str">
        <f>HYPERLINK("http://www.lobelia.it/","www.lobelia.it")</f>
        <v>www.lobelia.it</v>
      </c>
      <c r="J5025" s="12">
        <v>0</v>
      </c>
      <c r="K5025" s="12">
        <v>0</v>
      </c>
      <c r="L5025" s="13">
        <v>0</v>
      </c>
      <c r="M5025" s="12">
        <v>1.413</v>
      </c>
      <c r="N5025" s="12">
        <v>1.413</v>
      </c>
      <c r="O5025" s="12">
        <v>-5.2380000000000004</v>
      </c>
      <c r="P5025" s="12">
        <v>0</v>
      </c>
      <c r="Q5025" s="12">
        <v>0</v>
      </c>
      <c r="R5025" s="12">
        <v>0</v>
      </c>
    </row>
    <row r="5026" spans="1:18" ht="17" customHeight="1" x14ac:dyDescent="0.15">
      <c r="A5026" s="8" t="s">
        <v>27166</v>
      </c>
      <c r="B5026" s="9" t="s">
        <v>27167</v>
      </c>
      <c r="C5026" s="8" t="s">
        <v>27168</v>
      </c>
      <c r="D5026" s="8" t="s">
        <v>27168</v>
      </c>
      <c r="E5026" s="8" t="s">
        <v>27169</v>
      </c>
      <c r="F5026" s="8" t="s">
        <v>27170</v>
      </c>
      <c r="G5026" s="8" t="s">
        <v>27171</v>
      </c>
      <c r="H5026" s="8" t="s">
        <v>27165</v>
      </c>
      <c r="I5026" s="8" t="str">
        <f>HYPERLINK("http://www.espadasrl.it/","www.espadasrl.it")</f>
        <v>www.espadasrl.it</v>
      </c>
      <c r="J5026" s="10">
        <v>0</v>
      </c>
      <c r="K5026" s="15" t="s">
        <v>27172</v>
      </c>
      <c r="L5026" s="10">
        <v>0</v>
      </c>
      <c r="M5026" s="10">
        <v>-2.677</v>
      </c>
      <c r="N5026" s="15" t="s">
        <v>27172</v>
      </c>
      <c r="O5026" s="10">
        <v>-2.677</v>
      </c>
      <c r="P5026" s="10">
        <v>0</v>
      </c>
      <c r="Q5026" s="15" t="s">
        <v>27172</v>
      </c>
      <c r="R5026" s="10">
        <v>0</v>
      </c>
    </row>
    <row r="5027" spans="1:18" ht="43" customHeight="1" x14ac:dyDescent="0.15">
      <c r="A5027" s="11" t="s">
        <v>27173</v>
      </c>
      <c r="B5027" s="1" t="s">
        <v>27174</v>
      </c>
      <c r="C5027" s="11" t="s">
        <v>27175</v>
      </c>
      <c r="D5027" s="11" t="s">
        <v>27175</v>
      </c>
      <c r="E5027" s="11" t="s">
        <v>27176</v>
      </c>
      <c r="F5027" s="11" t="s">
        <v>27170</v>
      </c>
      <c r="G5027" s="11" t="s">
        <v>27171</v>
      </c>
      <c r="H5027" s="11" t="s">
        <v>27165</v>
      </c>
      <c r="I5027" s="11" t="str">
        <f>HYPERLINK("http://www.bluehides.com/","www.bluehides.com")</f>
        <v>www.bluehides.com</v>
      </c>
      <c r="J5027" s="12">
        <v>0</v>
      </c>
      <c r="K5027" s="12">
        <v>0</v>
      </c>
      <c r="L5027" s="13">
        <v>0</v>
      </c>
      <c r="M5027" s="12">
        <v>0</v>
      </c>
      <c r="N5027" s="12">
        <v>0</v>
      </c>
      <c r="O5027" s="12">
        <v>0</v>
      </c>
      <c r="P5027" s="12">
        <v>0</v>
      </c>
      <c r="Q5027" s="12">
        <v>0</v>
      </c>
      <c r="R5027" s="12">
        <v>0</v>
      </c>
    </row>
    <row r="5028" spans="1:18" ht="17" customHeight="1" x14ac:dyDescent="0.15">
      <c r="A5028" s="8" t="s">
        <v>27177</v>
      </c>
      <c r="B5028" s="9" t="s">
        <v>27178</v>
      </c>
      <c r="C5028" s="8" t="s">
        <v>27179</v>
      </c>
      <c r="D5028" s="8" t="s">
        <v>27179</v>
      </c>
      <c r="E5028" s="8" t="s">
        <v>27180</v>
      </c>
      <c r="F5028" s="8" t="s">
        <v>27170</v>
      </c>
      <c r="G5028" s="8" t="s">
        <v>27171</v>
      </c>
      <c r="H5028" s="8" t="s">
        <v>27165</v>
      </c>
      <c r="I5028" s="8" t="str">
        <f>HYPERLINK("http://www.lissatriceflacco.com/","www.lissatriceflacco.com")</f>
        <v>www.lissatriceflacco.com</v>
      </c>
      <c r="J5028" s="10">
        <v>0</v>
      </c>
      <c r="K5028" s="10">
        <v>0</v>
      </c>
      <c r="L5028" s="10">
        <v>0</v>
      </c>
      <c r="M5028" s="10">
        <v>2.9950000000000001</v>
      </c>
      <c r="N5028" s="10">
        <v>2.9950000000000001</v>
      </c>
      <c r="O5028" s="10">
        <v>-2.5219999999999998</v>
      </c>
      <c r="P5028" s="10">
        <v>0</v>
      </c>
      <c r="Q5028" s="10">
        <v>0</v>
      </c>
      <c r="R5028" s="10">
        <v>0</v>
      </c>
    </row>
    <row r="5029" spans="1:18" ht="43" customHeight="1" x14ac:dyDescent="0.15">
      <c r="A5029" s="11" t="s">
        <v>27181</v>
      </c>
      <c r="B5029" s="1" t="s">
        <v>27182</v>
      </c>
      <c r="C5029" s="11" t="s">
        <v>27183</v>
      </c>
      <c r="D5029" s="11" t="s">
        <v>27183</v>
      </c>
      <c r="E5029" s="11" t="s">
        <v>27184</v>
      </c>
      <c r="F5029" s="11" t="s">
        <v>27185</v>
      </c>
      <c r="G5029" s="11" t="s">
        <v>27171</v>
      </c>
      <c r="H5029" s="11" t="s">
        <v>27165</v>
      </c>
      <c r="I5029" s="11" t="str">
        <f>HYPERLINK("http://www.tremp.it/","www.tremp.it")</f>
        <v>www.tremp.it</v>
      </c>
      <c r="J5029" s="12">
        <v>0</v>
      </c>
      <c r="K5029" s="12">
        <v>0</v>
      </c>
      <c r="L5029" s="13">
        <v>0</v>
      </c>
      <c r="M5029" s="12">
        <v>-5.39</v>
      </c>
      <c r="N5029" s="12">
        <v>-7.3090000000000002</v>
      </c>
      <c r="O5029" s="12">
        <v>-52.384</v>
      </c>
      <c r="P5029" s="12">
        <v>0</v>
      </c>
      <c r="Q5029" s="12">
        <v>0</v>
      </c>
      <c r="R5029" s="12">
        <v>0</v>
      </c>
    </row>
    <row r="5030" spans="1:18" ht="17" customHeight="1" x14ac:dyDescent="0.15">
      <c r="A5030" s="8" t="s">
        <v>27186</v>
      </c>
      <c r="B5030" s="9" t="s">
        <v>27187</v>
      </c>
      <c r="C5030" s="8" t="s">
        <v>27188</v>
      </c>
      <c r="D5030" s="8" t="s">
        <v>27189</v>
      </c>
      <c r="E5030" s="8" t="s">
        <v>27190</v>
      </c>
      <c r="F5030" s="8" t="s">
        <v>27191</v>
      </c>
      <c r="G5030" s="8" t="s">
        <v>27171</v>
      </c>
      <c r="H5030" s="8" t="s">
        <v>27165</v>
      </c>
      <c r="I5030" s="8" t="str">
        <f>HYPERLINK("http://www.cbycrust.com/","www.cbycrust.com")</f>
        <v>www.cbycrust.com</v>
      </c>
      <c r="J5030" s="10">
        <v>0</v>
      </c>
      <c r="K5030" s="10">
        <v>0</v>
      </c>
      <c r="L5030" s="10">
        <v>0</v>
      </c>
      <c r="M5030" s="10">
        <v>-1.208</v>
      </c>
      <c r="N5030" s="10">
        <v>-1.208</v>
      </c>
      <c r="O5030" s="10">
        <v>76.125</v>
      </c>
      <c r="P5030" s="10">
        <v>0</v>
      </c>
      <c r="Q5030" s="10">
        <v>0</v>
      </c>
      <c r="R5030" s="10">
        <v>0</v>
      </c>
    </row>
    <row r="5031" spans="1:18" ht="17" customHeight="1" x14ac:dyDescent="0.15">
      <c r="A5031" s="11" t="s">
        <v>27192</v>
      </c>
      <c r="B5031" s="1" t="s">
        <v>27193</v>
      </c>
      <c r="C5031" s="11" t="s">
        <v>27194</v>
      </c>
      <c r="D5031" s="11" t="s">
        <v>27194</v>
      </c>
      <c r="E5031" s="11" t="s">
        <v>27195</v>
      </c>
      <c r="F5031" s="11" t="s">
        <v>27185</v>
      </c>
      <c r="G5031" s="11" t="s">
        <v>27196</v>
      </c>
      <c r="H5031" s="11" t="s">
        <v>27197</v>
      </c>
      <c r="I5031" s="11" t="str">
        <f>HYPERLINK("http://easy-shoes.it/","easy-shoes.it")</f>
        <v>easy-shoes.it</v>
      </c>
      <c r="J5031" s="12">
        <v>0</v>
      </c>
      <c r="K5031" s="12">
        <v>0</v>
      </c>
      <c r="L5031" s="13">
        <v>0</v>
      </c>
      <c r="M5031" s="12">
        <v>-7.9210000000000003</v>
      </c>
      <c r="N5031" s="12">
        <v>-7.9210000000000003</v>
      </c>
      <c r="O5031" s="12">
        <v>-0.78600000000000003</v>
      </c>
      <c r="P5031" s="14" t="s">
        <v>27172</v>
      </c>
      <c r="Q5031" s="14" t="s">
        <v>27172</v>
      </c>
      <c r="R5031" s="14" t="s">
        <v>27172</v>
      </c>
    </row>
    <row r="5032" spans="1:18" ht="29.5" customHeight="1" x14ac:dyDescent="0.15">
      <c r="A5032" s="8" t="s">
        <v>27198</v>
      </c>
      <c r="B5032" s="9" t="s">
        <v>27199</v>
      </c>
      <c r="C5032" s="8" t="s">
        <v>27200</v>
      </c>
      <c r="D5032" s="8" t="s">
        <v>27200</v>
      </c>
      <c r="E5032" s="8" t="s">
        <v>27201</v>
      </c>
      <c r="F5032" s="8" t="s">
        <v>27202</v>
      </c>
      <c r="G5032" s="8" t="s">
        <v>27196</v>
      </c>
      <c r="H5032" s="8" t="s">
        <v>27197</v>
      </c>
      <c r="I5032" s="8" t="str">
        <f>HYPERLINK("http://www.massimilianozanieri.com/","www.massimilianozanieri.com")</f>
        <v>www.massimilianozanieri.com</v>
      </c>
      <c r="J5032" s="10">
        <v>0</v>
      </c>
      <c r="K5032" s="15" t="s">
        <v>27172</v>
      </c>
      <c r="L5032" s="10">
        <v>0</v>
      </c>
      <c r="M5032" s="10">
        <v>-33.197000000000003</v>
      </c>
      <c r="N5032" s="15" t="s">
        <v>27172</v>
      </c>
      <c r="O5032" s="10">
        <v>-33.197000000000003</v>
      </c>
      <c r="P5032" s="10">
        <v>0</v>
      </c>
      <c r="Q5032" s="15" t="s">
        <v>27172</v>
      </c>
      <c r="R5032" s="10">
        <v>0</v>
      </c>
    </row>
    <row r="5033" spans="1:18" ht="29.5" customHeight="1" x14ac:dyDescent="0.15">
      <c r="A5033" s="11" t="s">
        <v>27203</v>
      </c>
      <c r="B5033" s="1" t="s">
        <v>27204</v>
      </c>
      <c r="C5033" s="11" t="s">
        <v>27205</v>
      </c>
      <c r="D5033" s="11" t="s">
        <v>27205</v>
      </c>
      <c r="E5033" s="11" t="s">
        <v>27206</v>
      </c>
      <c r="F5033" s="11" t="s">
        <v>27185</v>
      </c>
      <c r="G5033" s="11" t="s">
        <v>27207</v>
      </c>
      <c r="H5033" s="11" t="s">
        <v>27208</v>
      </c>
      <c r="I5033" s="11" t="str">
        <f>HYPERLINK("http://maripe.com/","maripe.com")</f>
        <v>maripe.com</v>
      </c>
      <c r="J5033" s="12">
        <v>0</v>
      </c>
      <c r="K5033" s="12">
        <v>0</v>
      </c>
      <c r="L5033" s="13">
        <v>0</v>
      </c>
      <c r="M5033" s="12">
        <v>-157.97499999999999</v>
      </c>
      <c r="N5033" s="12">
        <v>-157.97499999999999</v>
      </c>
      <c r="O5033" s="12">
        <v>-796.62300000000005</v>
      </c>
      <c r="P5033" s="12">
        <v>0</v>
      </c>
      <c r="Q5033" s="12">
        <v>0</v>
      </c>
      <c r="R5033" s="12">
        <v>0</v>
      </c>
    </row>
    <row r="5034" spans="1:18" ht="17" customHeight="1" x14ac:dyDescent="0.15">
      <c r="A5034" s="8" t="s">
        <v>27209</v>
      </c>
      <c r="B5034" s="9" t="s">
        <v>27210</v>
      </c>
      <c r="C5034" s="8" t="s">
        <v>27211</v>
      </c>
      <c r="D5034" s="8" t="s">
        <v>27211</v>
      </c>
      <c r="E5034" s="8" t="s">
        <v>27212</v>
      </c>
      <c r="F5034" s="8" t="s">
        <v>27202</v>
      </c>
      <c r="G5034" s="8" t="s">
        <v>27207</v>
      </c>
      <c r="H5034" s="8" t="s">
        <v>27208</v>
      </c>
      <c r="I5034" s="8" t="str">
        <f>HYPERLINK("http://www.aldegherishop.com/","www.aldegherishop.com")</f>
        <v>www.aldegherishop.com</v>
      </c>
      <c r="J5034" s="10">
        <v>0</v>
      </c>
      <c r="K5034" s="10">
        <v>0</v>
      </c>
      <c r="L5034" s="10">
        <v>0</v>
      </c>
      <c r="M5034" s="10">
        <v>-3.407</v>
      </c>
      <c r="N5034" s="10">
        <v>-3.407</v>
      </c>
      <c r="O5034" s="10">
        <v>-6.8609999999999998</v>
      </c>
      <c r="P5034" s="10">
        <v>0</v>
      </c>
      <c r="Q5034" s="10">
        <v>0</v>
      </c>
      <c r="R5034" s="10">
        <v>0</v>
      </c>
    </row>
    <row r="5035" spans="1:18" ht="29.5" customHeight="1" x14ac:dyDescent="0.15">
      <c r="A5035" s="11" t="s">
        <v>27213</v>
      </c>
      <c r="B5035" s="1" t="s">
        <v>27214</v>
      </c>
      <c r="C5035" s="11" t="s">
        <v>27215</v>
      </c>
      <c r="D5035" s="11" t="s">
        <v>27215</v>
      </c>
      <c r="E5035" s="11" t="s">
        <v>27216</v>
      </c>
      <c r="F5035" s="11" t="s">
        <v>27191</v>
      </c>
      <c r="G5035" s="11" t="s">
        <v>27207</v>
      </c>
      <c r="H5035" s="11" t="s">
        <v>27208</v>
      </c>
      <c r="I5035" s="11" t="str">
        <f>HYPERLINK("http://www.theseafarer.com/","www.theseafarer.com")</f>
        <v>www.theseafarer.com</v>
      </c>
      <c r="J5035" s="12">
        <v>0</v>
      </c>
      <c r="K5035" s="12">
        <v>0</v>
      </c>
      <c r="L5035" s="13">
        <v>0</v>
      </c>
      <c r="M5035" s="12">
        <v>-3.3029999999999999</v>
      </c>
      <c r="N5035" s="12">
        <v>1319.7049999999999</v>
      </c>
      <c r="O5035" s="12">
        <v>114.282</v>
      </c>
      <c r="P5035" s="12">
        <v>0</v>
      </c>
      <c r="Q5035" s="12">
        <v>0</v>
      </c>
      <c r="R5035" s="12">
        <v>0</v>
      </c>
    </row>
    <row r="5036" spans="1:18" ht="29.5" customHeight="1" x14ac:dyDescent="0.15">
      <c r="A5036" s="8" t="s">
        <v>27217</v>
      </c>
      <c r="B5036" s="9" t="s">
        <v>27218</v>
      </c>
      <c r="C5036" s="8" t="s">
        <v>27219</v>
      </c>
      <c r="D5036" s="8" t="s">
        <v>27219</v>
      </c>
      <c r="E5036" s="8" t="s">
        <v>27220</v>
      </c>
      <c r="F5036" s="8" t="s">
        <v>27191</v>
      </c>
      <c r="G5036" s="8" t="s">
        <v>27207</v>
      </c>
      <c r="H5036" s="8" t="s">
        <v>27208</v>
      </c>
      <c r="I5036" s="8" t="str">
        <f>HYPERLINK("http://www.santostefano.com/","www.santostefano.com")</f>
        <v>www.santostefano.com</v>
      </c>
      <c r="J5036" s="10">
        <v>0</v>
      </c>
      <c r="K5036" s="10">
        <v>0</v>
      </c>
      <c r="L5036" s="10">
        <v>0</v>
      </c>
      <c r="M5036" s="10">
        <v>-1.115</v>
      </c>
      <c r="N5036" s="10">
        <v>-1.115</v>
      </c>
      <c r="O5036" s="10">
        <v>-1.1020000000000001</v>
      </c>
      <c r="P5036" s="10">
        <v>0</v>
      </c>
      <c r="Q5036" s="10">
        <v>0</v>
      </c>
      <c r="R5036" s="10">
        <v>0</v>
      </c>
    </row>
    <row r="5037" spans="1:18" ht="17" customHeight="1" x14ac:dyDescent="0.15">
      <c r="A5037" s="11" t="s">
        <v>27221</v>
      </c>
      <c r="B5037" s="1" t="s">
        <v>27222</v>
      </c>
      <c r="C5037" s="11" t="s">
        <v>27223</v>
      </c>
      <c r="D5037" s="11" t="s">
        <v>27223</v>
      </c>
      <c r="E5037" s="11" t="s">
        <v>27224</v>
      </c>
      <c r="F5037" s="11" t="s">
        <v>27163</v>
      </c>
      <c r="G5037" s="11" t="s">
        <v>27225</v>
      </c>
      <c r="H5037" s="11" t="s">
        <v>27226</v>
      </c>
      <c r="I5037" s="11" t="str">
        <f>HYPERLINK("http://www.dandreacollection.com/","www.dandreacollection.com")</f>
        <v>www.dandreacollection.com</v>
      </c>
      <c r="J5037" s="12">
        <v>0</v>
      </c>
      <c r="K5037" s="14" t="s">
        <v>27172</v>
      </c>
      <c r="L5037" s="13">
        <v>0</v>
      </c>
      <c r="M5037" s="12">
        <v>-2.4E-2</v>
      </c>
      <c r="N5037" s="14" t="s">
        <v>27172</v>
      </c>
      <c r="O5037" s="12">
        <v>-2.4E-2</v>
      </c>
      <c r="P5037" s="12">
        <v>0</v>
      </c>
      <c r="Q5037" s="14" t="s">
        <v>27172</v>
      </c>
      <c r="R5037" s="12">
        <v>0</v>
      </c>
    </row>
    <row r="5038" spans="1:18" ht="17" customHeight="1" x14ac:dyDescent="0.15">
      <c r="A5038" s="8" t="s">
        <v>27227</v>
      </c>
      <c r="B5038" s="9" t="s">
        <v>27228</v>
      </c>
      <c r="C5038" s="8" t="s">
        <v>27229</v>
      </c>
      <c r="D5038" s="8" t="s">
        <v>27229</v>
      </c>
      <c r="E5038" s="8" t="s">
        <v>27230</v>
      </c>
      <c r="F5038" s="8" t="s">
        <v>27231</v>
      </c>
      <c r="G5038" s="8" t="s">
        <v>27225</v>
      </c>
      <c r="H5038" s="8" t="s">
        <v>27226</v>
      </c>
      <c r="I5038" s="8" t="str">
        <f>HYPERLINK("https://joysbeachwear.com/","https://joysbeachwear.com/")</f>
        <v>https://joysbeachwear.com/</v>
      </c>
      <c r="J5038" s="10">
        <v>0</v>
      </c>
      <c r="K5038" s="10">
        <v>0</v>
      </c>
      <c r="L5038" s="10">
        <v>0</v>
      </c>
      <c r="M5038" s="10">
        <v>1.048</v>
      </c>
      <c r="N5038" s="10">
        <v>1.048</v>
      </c>
      <c r="O5038" s="10">
        <v>-0.33200000000000002</v>
      </c>
      <c r="P5038" s="10">
        <v>0</v>
      </c>
      <c r="Q5038" s="10">
        <v>0</v>
      </c>
      <c r="R5038" s="10">
        <v>0</v>
      </c>
    </row>
    <row r="5039" spans="1:18" ht="43" customHeight="1" x14ac:dyDescent="0.15">
      <c r="A5039" s="11" t="s">
        <v>27232</v>
      </c>
      <c r="B5039" s="1" t="s">
        <v>27233</v>
      </c>
      <c r="C5039" s="11" t="s">
        <v>27234</v>
      </c>
      <c r="D5039" s="11" t="s">
        <v>27234</v>
      </c>
      <c r="E5039" s="11" t="s">
        <v>27235</v>
      </c>
      <c r="F5039" s="11" t="s">
        <v>27236</v>
      </c>
      <c r="G5039" s="11" t="s">
        <v>27225</v>
      </c>
      <c r="H5039" s="11" t="s">
        <v>27226</v>
      </c>
      <c r="I5039" s="11" t="str">
        <f>HYPERLINK("http://www.sdagher.it/","www.sdagher.it")</f>
        <v>www.sdagher.it</v>
      </c>
      <c r="J5039" s="12">
        <v>0</v>
      </c>
      <c r="K5039" s="14" t="s">
        <v>27172</v>
      </c>
      <c r="L5039" s="13">
        <v>0</v>
      </c>
      <c r="M5039" s="12">
        <v>2.5720000000000001</v>
      </c>
      <c r="N5039" s="14" t="s">
        <v>27172</v>
      </c>
      <c r="O5039" s="12">
        <v>2.5720000000000001</v>
      </c>
      <c r="P5039" s="12">
        <v>0</v>
      </c>
      <c r="Q5039" s="14" t="s">
        <v>27172</v>
      </c>
      <c r="R5039" s="12">
        <v>0</v>
      </c>
    </row>
    <row r="5040" spans="1:18" ht="81.75" customHeight="1" x14ac:dyDescent="0.15">
      <c r="A5040" s="8" t="s">
        <v>27237</v>
      </c>
      <c r="B5040" s="9" t="s">
        <v>27238</v>
      </c>
      <c r="C5040" s="8" t="s">
        <v>27239</v>
      </c>
      <c r="D5040" s="8" t="s">
        <v>27239</v>
      </c>
      <c r="E5040" s="8" t="s">
        <v>27240</v>
      </c>
      <c r="F5040" s="8" t="s">
        <v>27191</v>
      </c>
      <c r="G5040" s="8" t="s">
        <v>27225</v>
      </c>
      <c r="H5040" s="8" t="s">
        <v>27226</v>
      </c>
      <c r="I5040" s="8" t="str">
        <f>HYPERLINK("http://www.salay.it/","www.salay.it")</f>
        <v>www.salay.it</v>
      </c>
      <c r="J5040" s="10">
        <v>0</v>
      </c>
      <c r="K5040" s="10">
        <v>0</v>
      </c>
      <c r="L5040" s="10">
        <v>0</v>
      </c>
      <c r="M5040" s="10">
        <v>-3.3279999999999998</v>
      </c>
      <c r="N5040" s="10">
        <v>-1.2310000000000001</v>
      </c>
      <c r="O5040" s="10">
        <v>-1.236</v>
      </c>
      <c r="P5040" s="10">
        <v>0</v>
      </c>
      <c r="Q5040" s="10">
        <v>0</v>
      </c>
      <c r="R5040" s="10">
        <v>0</v>
      </c>
    </row>
    <row r="5041" spans="1:18" ht="17" customHeight="1" x14ac:dyDescent="0.15">
      <c r="A5041" s="11" t="s">
        <v>27241</v>
      </c>
      <c r="B5041" s="1" t="s">
        <v>27242</v>
      </c>
      <c r="C5041" s="11" t="s">
        <v>27243</v>
      </c>
      <c r="D5041" s="11" t="s">
        <v>27243</v>
      </c>
      <c r="E5041" s="11" t="s">
        <v>27244</v>
      </c>
      <c r="F5041" s="11" t="s">
        <v>27185</v>
      </c>
      <c r="G5041" s="11" t="s">
        <v>27245</v>
      </c>
      <c r="H5041" s="11" t="s">
        <v>27246</v>
      </c>
      <c r="I5041" s="11" t="str">
        <f>HYPERLINK("http://www.mentietalenti.it/","www.mentietalenti.it")</f>
        <v>www.mentietalenti.it</v>
      </c>
      <c r="J5041" s="12">
        <v>0</v>
      </c>
      <c r="K5041" s="12">
        <v>0</v>
      </c>
      <c r="L5041" s="13">
        <v>0</v>
      </c>
      <c r="M5041" s="12">
        <v>-0.43</v>
      </c>
      <c r="N5041" s="12">
        <v>-0.43</v>
      </c>
      <c r="O5041" s="12">
        <v>-0.77</v>
      </c>
      <c r="P5041" s="12">
        <v>0</v>
      </c>
      <c r="Q5041" s="12">
        <v>0</v>
      </c>
      <c r="R5041" s="12">
        <v>0</v>
      </c>
    </row>
    <row r="5042" spans="1:18" ht="17" customHeight="1" x14ac:dyDescent="0.15">
      <c r="A5042" s="8" t="s">
        <v>27247</v>
      </c>
      <c r="B5042" s="9" t="s">
        <v>27248</v>
      </c>
      <c r="C5042" s="8" t="s">
        <v>27249</v>
      </c>
      <c r="D5042" s="8" t="s">
        <v>27249</v>
      </c>
      <c r="E5042" s="8" t="s">
        <v>27250</v>
      </c>
      <c r="F5042" s="8" t="s">
        <v>27251</v>
      </c>
      <c r="G5042" s="8" t="s">
        <v>27245</v>
      </c>
      <c r="H5042" s="8" t="s">
        <v>27246</v>
      </c>
      <c r="I5042" s="8" t="str">
        <f>HYPERLINK("http://www.stardustfashion.it/","www.stardustfashion.it")</f>
        <v>www.stardustfashion.it</v>
      </c>
      <c r="J5042" s="10">
        <v>0</v>
      </c>
      <c r="K5042" s="10">
        <v>0</v>
      </c>
      <c r="L5042" s="10">
        <v>0</v>
      </c>
      <c r="M5042" s="10">
        <v>0</v>
      </c>
      <c r="N5042" s="10">
        <v>0</v>
      </c>
      <c r="O5042" s="10">
        <v>0</v>
      </c>
      <c r="P5042" s="10">
        <v>0</v>
      </c>
      <c r="Q5042" s="10">
        <v>0</v>
      </c>
      <c r="R5042" s="10">
        <v>0</v>
      </c>
    </row>
    <row r="5043" spans="1:18" ht="29.5" customHeight="1" x14ac:dyDescent="0.15">
      <c r="A5043" s="11" t="s">
        <v>27252</v>
      </c>
      <c r="B5043" s="1" t="s">
        <v>27253</v>
      </c>
      <c r="C5043" s="11" t="s">
        <v>27254</v>
      </c>
      <c r="D5043" s="11" t="s">
        <v>27254</v>
      </c>
      <c r="E5043" s="11" t="s">
        <v>27255</v>
      </c>
      <c r="F5043" s="11" t="s">
        <v>27163</v>
      </c>
      <c r="G5043" s="11" t="s">
        <v>27245</v>
      </c>
      <c r="H5043" s="11" t="s">
        <v>27246</v>
      </c>
      <c r="I5043" s="11" t="str">
        <f>HYPERLINK("http://www.sailexp.it/","www.sailexp.it")</f>
        <v>www.sailexp.it</v>
      </c>
      <c r="J5043" s="12">
        <v>0</v>
      </c>
      <c r="K5043" s="14" t="s">
        <v>27172</v>
      </c>
      <c r="L5043" s="13">
        <v>0</v>
      </c>
      <c r="M5043" s="12">
        <v>-0.57199999999999995</v>
      </c>
      <c r="N5043" s="14" t="s">
        <v>27172</v>
      </c>
      <c r="O5043" s="12">
        <v>-0.57199999999999995</v>
      </c>
      <c r="P5043" s="12">
        <v>0</v>
      </c>
      <c r="Q5043" s="14" t="s">
        <v>27172</v>
      </c>
      <c r="R5043" s="12">
        <v>0</v>
      </c>
    </row>
    <row r="5044" spans="1:18" ht="29.5" customHeight="1" x14ac:dyDescent="0.15">
      <c r="A5044" s="8" t="s">
        <v>27256</v>
      </c>
      <c r="B5044" s="9" t="s">
        <v>27257</v>
      </c>
      <c r="C5044" s="8" t="s">
        <v>27258</v>
      </c>
      <c r="D5044" s="8" t="s">
        <v>27258</v>
      </c>
      <c r="E5044" s="8" t="s">
        <v>27259</v>
      </c>
      <c r="F5044" s="8" t="s">
        <v>27260</v>
      </c>
      <c r="G5044" s="8" t="s">
        <v>27261</v>
      </c>
      <c r="H5044" s="8" t="s">
        <v>27262</v>
      </c>
      <c r="I5044" s="8" t="str">
        <f>HYPERLINK("http://www.francobombana.com/","http://www.francobombana.com")</f>
        <v>http://www.francobombana.com</v>
      </c>
      <c r="J5044" s="10">
        <v>0</v>
      </c>
      <c r="K5044" s="10">
        <v>0</v>
      </c>
      <c r="L5044" s="10">
        <v>0</v>
      </c>
      <c r="M5044" s="10">
        <v>-1.7070000000000001</v>
      </c>
      <c r="N5044" s="10">
        <v>-1.7070000000000001</v>
      </c>
      <c r="O5044" s="10">
        <v>-1.214</v>
      </c>
      <c r="P5044" s="10">
        <v>0</v>
      </c>
      <c r="Q5044" s="10">
        <v>0</v>
      </c>
      <c r="R5044" s="10">
        <v>0</v>
      </c>
    </row>
    <row r="5045" spans="1:18" ht="17" customHeight="1" x14ac:dyDescent="0.15">
      <c r="A5045" s="11" t="s">
        <v>27263</v>
      </c>
      <c r="B5045" s="1" t="s">
        <v>27264</v>
      </c>
      <c r="C5045" s="11" t="s">
        <v>27265</v>
      </c>
      <c r="D5045" s="11" t="s">
        <v>27265</v>
      </c>
      <c r="E5045" s="11" t="s">
        <v>27266</v>
      </c>
      <c r="F5045" s="11" t="s">
        <v>27267</v>
      </c>
      <c r="G5045" s="11" t="s">
        <v>27261</v>
      </c>
      <c r="H5045" s="11" t="s">
        <v>27262</v>
      </c>
      <c r="I5045" s="11" t="str">
        <f>HYPERLINK("http://www.alessandra.it/","http://www.alessandra.it")</f>
        <v>http://www.alessandra.it</v>
      </c>
      <c r="J5045" s="12">
        <v>0</v>
      </c>
      <c r="K5045" s="12">
        <v>0</v>
      </c>
      <c r="L5045" s="13">
        <v>0</v>
      </c>
      <c r="M5045" s="12">
        <v>-8.2189999999999994</v>
      </c>
      <c r="N5045" s="12">
        <v>-8.2189999999999994</v>
      </c>
      <c r="O5045" s="12">
        <v>-51.712000000000003</v>
      </c>
      <c r="P5045" s="12">
        <v>0</v>
      </c>
      <c r="Q5045" s="12">
        <v>0</v>
      </c>
      <c r="R5045" s="12">
        <v>0</v>
      </c>
    </row>
    <row r="5046" spans="1:18" ht="68" customHeight="1" x14ac:dyDescent="0.15">
      <c r="A5046" s="8" t="s">
        <v>27268</v>
      </c>
      <c r="B5046" s="9" t="s">
        <v>27269</v>
      </c>
      <c r="C5046" s="8" t="s">
        <v>27270</v>
      </c>
      <c r="D5046" s="8" t="s">
        <v>27270</v>
      </c>
      <c r="E5046" s="8" t="s">
        <v>27271</v>
      </c>
      <c r="F5046" s="8" t="s">
        <v>27236</v>
      </c>
      <c r="G5046" s="8" t="s">
        <v>27272</v>
      </c>
      <c r="H5046" s="8" t="s">
        <v>27262</v>
      </c>
      <c r="I5046" s="8" t="str">
        <f>HYPERLINK("http://robdemilan.it/","robdemilan.it")</f>
        <v>robdemilan.it</v>
      </c>
      <c r="J5046" s="10">
        <v>0</v>
      </c>
      <c r="K5046" s="10">
        <v>0</v>
      </c>
      <c r="L5046" s="10">
        <v>0</v>
      </c>
      <c r="M5046" s="10">
        <v>-45.768000000000001</v>
      </c>
      <c r="N5046" s="10">
        <v>-45.768000000000001</v>
      </c>
      <c r="O5046" s="10">
        <v>-7.8760000000000003</v>
      </c>
      <c r="P5046" s="10">
        <v>0</v>
      </c>
      <c r="Q5046" s="10">
        <v>0</v>
      </c>
      <c r="R5046" s="10">
        <v>0</v>
      </c>
    </row>
    <row r="5047" spans="1:18" ht="17" customHeight="1" x14ac:dyDescent="0.15">
      <c r="A5047" s="11" t="s">
        <v>27273</v>
      </c>
      <c r="B5047" s="1" t="s">
        <v>27274</v>
      </c>
      <c r="C5047" s="11" t="s">
        <v>27275</v>
      </c>
      <c r="D5047" s="11" t="s">
        <v>27275</v>
      </c>
      <c r="E5047" s="11" t="s">
        <v>27276</v>
      </c>
      <c r="F5047" s="11" t="s">
        <v>27191</v>
      </c>
      <c r="G5047" s="11" t="s">
        <v>27272</v>
      </c>
      <c r="H5047" s="11" t="s">
        <v>27262</v>
      </c>
      <c r="I5047" s="11" t="str">
        <f>HYPERLINK("http://vintage55.com/","vintage55.com")</f>
        <v>vintage55.com</v>
      </c>
      <c r="J5047" s="12">
        <v>0</v>
      </c>
      <c r="K5047" s="12">
        <v>0</v>
      </c>
      <c r="L5047" s="13">
        <v>0</v>
      </c>
      <c r="M5047" s="12">
        <v>-16.04</v>
      </c>
      <c r="N5047" s="12">
        <v>-16.04</v>
      </c>
      <c r="O5047" s="12">
        <v>-13.502000000000001</v>
      </c>
      <c r="P5047" s="12">
        <v>0</v>
      </c>
      <c r="Q5047" s="12">
        <v>0</v>
      </c>
      <c r="R5047" s="12">
        <v>0</v>
      </c>
    </row>
    <row r="5048" spans="1:18" ht="17" customHeight="1" x14ac:dyDescent="0.15">
      <c r="A5048" s="8" t="s">
        <v>27277</v>
      </c>
      <c r="B5048" s="9" t="s">
        <v>27278</v>
      </c>
      <c r="C5048" s="8" t="s">
        <v>27279</v>
      </c>
      <c r="D5048" s="8" t="s">
        <v>27279</v>
      </c>
      <c r="E5048" s="8" t="s">
        <v>27280</v>
      </c>
      <c r="F5048" s="8" t="s">
        <v>27281</v>
      </c>
      <c r="G5048" s="8" t="s">
        <v>27272</v>
      </c>
      <c r="H5048" s="8" t="s">
        <v>27262</v>
      </c>
      <c r="I5048" s="8" t="str">
        <f>HYPERLINK("http://jemenfous.it/","jemenfous.it")</f>
        <v>jemenfous.it</v>
      </c>
      <c r="J5048" s="10">
        <v>0</v>
      </c>
      <c r="K5048" s="10">
        <v>0</v>
      </c>
      <c r="L5048" s="10">
        <v>0</v>
      </c>
      <c r="M5048" s="10">
        <v>-7.3929999999999998</v>
      </c>
      <c r="N5048" s="10">
        <v>-7.3929999999999998</v>
      </c>
      <c r="O5048" s="10">
        <v>-9.9139999999999997</v>
      </c>
      <c r="P5048" s="10">
        <v>0</v>
      </c>
      <c r="Q5048" s="10">
        <v>0</v>
      </c>
      <c r="R5048" s="10">
        <v>0</v>
      </c>
    </row>
    <row r="5049" spans="1:18" ht="17" customHeight="1" x14ac:dyDescent="0.15">
      <c r="A5049" s="11" t="s">
        <v>27282</v>
      </c>
      <c r="B5049" s="1" t="s">
        <v>27283</v>
      </c>
      <c r="C5049" s="11" t="s">
        <v>27284</v>
      </c>
      <c r="D5049" s="11" t="s">
        <v>27284</v>
      </c>
      <c r="E5049" s="11" t="s">
        <v>27285</v>
      </c>
      <c r="F5049" s="11" t="s">
        <v>27163</v>
      </c>
      <c r="G5049" s="11" t="s">
        <v>27272</v>
      </c>
      <c r="H5049" s="11" t="s">
        <v>27262</v>
      </c>
      <c r="I5049" s="11" t="str">
        <f>HYPERLINK("http://www.delmar.it/","www.delmar.it")</f>
        <v>www.delmar.it</v>
      </c>
      <c r="J5049" s="12">
        <v>0</v>
      </c>
      <c r="K5049" s="12">
        <v>0</v>
      </c>
      <c r="L5049" s="13">
        <v>0</v>
      </c>
      <c r="M5049" s="12">
        <v>391.64299999999997</v>
      </c>
      <c r="N5049" s="12">
        <v>391.64299999999997</v>
      </c>
      <c r="O5049" s="12">
        <v>-34.241</v>
      </c>
      <c r="P5049" s="12">
        <v>0</v>
      </c>
      <c r="Q5049" s="12">
        <v>0</v>
      </c>
      <c r="R5049" s="12">
        <v>0</v>
      </c>
    </row>
    <row r="5050" spans="1:18" ht="29.5" customHeight="1" x14ac:dyDescent="0.15">
      <c r="A5050" s="8" t="s">
        <v>27286</v>
      </c>
      <c r="B5050" s="9" t="s">
        <v>27287</v>
      </c>
      <c r="C5050" s="8" t="s">
        <v>27288</v>
      </c>
      <c r="D5050" s="8" t="s">
        <v>27288</v>
      </c>
      <c r="E5050" s="8" t="s">
        <v>27289</v>
      </c>
      <c r="F5050" s="8" t="s">
        <v>27290</v>
      </c>
      <c r="G5050" s="8" t="s">
        <v>27272</v>
      </c>
      <c r="H5050" s="8" t="s">
        <v>27262</v>
      </c>
      <c r="I5050" s="8" t="str">
        <f>HYPERLINK("http://www.pelletteriaabe.com/","www.pelletteriaabe.com")</f>
        <v>www.pelletteriaabe.com</v>
      </c>
      <c r="J5050" s="10">
        <v>0</v>
      </c>
      <c r="K5050" s="10">
        <v>0</v>
      </c>
      <c r="L5050" s="10">
        <v>0</v>
      </c>
      <c r="M5050" s="10">
        <v>-4.9269999999999996</v>
      </c>
      <c r="N5050" s="10">
        <v>-4.9269999999999996</v>
      </c>
      <c r="O5050" s="10">
        <v>-2.988</v>
      </c>
      <c r="P5050" s="10">
        <v>0</v>
      </c>
      <c r="Q5050" s="10">
        <v>0</v>
      </c>
      <c r="R5050" s="10">
        <v>0</v>
      </c>
    </row>
    <row r="5051" spans="1:18" ht="17" customHeight="1" x14ac:dyDescent="0.15">
      <c r="A5051" s="11" t="s">
        <v>27291</v>
      </c>
      <c r="B5051" s="1" t="s">
        <v>27292</v>
      </c>
      <c r="C5051" s="11" t="s">
        <v>27293</v>
      </c>
      <c r="D5051" s="11" t="s">
        <v>27293</v>
      </c>
      <c r="E5051" s="11" t="s">
        <v>27294</v>
      </c>
      <c r="F5051" s="11" t="s">
        <v>27191</v>
      </c>
      <c r="G5051" s="11" t="s">
        <v>27295</v>
      </c>
      <c r="H5051" s="11" t="s">
        <v>27296</v>
      </c>
      <c r="I5051" s="11" t="str">
        <f>HYPERLINK("http://www.petitefleur.it/","www.petitefleur.it")</f>
        <v>www.petitefleur.it</v>
      </c>
      <c r="J5051" s="12">
        <v>0</v>
      </c>
      <c r="K5051" s="14" t="s">
        <v>27172</v>
      </c>
      <c r="L5051" s="13">
        <v>0</v>
      </c>
      <c r="M5051" s="12">
        <v>-0.79700000000000004</v>
      </c>
      <c r="N5051" s="14" t="s">
        <v>27172</v>
      </c>
      <c r="O5051" s="12">
        <v>-0.79700000000000004</v>
      </c>
      <c r="P5051" s="12">
        <v>0</v>
      </c>
      <c r="Q5051" s="14" t="s">
        <v>27172</v>
      </c>
      <c r="R5051" s="12">
        <v>0</v>
      </c>
    </row>
    <row r="5052" spans="1:18" ht="17" customHeight="1" x14ac:dyDescent="0.15">
      <c r="A5052" s="8" t="s">
        <v>27297</v>
      </c>
      <c r="B5052" s="9" t="s">
        <v>27298</v>
      </c>
      <c r="C5052" s="8" t="s">
        <v>27299</v>
      </c>
      <c r="D5052" s="8" t="s">
        <v>27299</v>
      </c>
      <c r="E5052" s="8" t="s">
        <v>27300</v>
      </c>
      <c r="F5052" s="8" t="s">
        <v>27301</v>
      </c>
      <c r="G5052" s="8" t="s">
        <v>27302</v>
      </c>
      <c r="H5052" s="8" t="s">
        <v>27303</v>
      </c>
      <c r="I5052" s="8" t="str">
        <f>HYPERLINK("http://www.duelunecalzature.com/","www.duelunecalzature.com")</f>
        <v>www.duelunecalzature.com</v>
      </c>
      <c r="J5052" s="10">
        <v>0</v>
      </c>
      <c r="K5052" s="10">
        <v>0</v>
      </c>
      <c r="L5052" s="10">
        <v>0</v>
      </c>
      <c r="M5052" s="10">
        <v>5.2380000000000004</v>
      </c>
      <c r="N5052" s="10">
        <v>5.2380000000000004</v>
      </c>
      <c r="O5052" s="10">
        <v>-1.2210000000000001</v>
      </c>
      <c r="P5052" s="10">
        <v>0</v>
      </c>
      <c r="Q5052" s="10">
        <v>0</v>
      </c>
      <c r="R5052" s="10">
        <v>0</v>
      </c>
    </row>
    <row r="5053" spans="1:18" ht="43" customHeight="1" x14ac:dyDescent="0.15">
      <c r="A5053" s="11" t="s">
        <v>27304</v>
      </c>
      <c r="B5053" s="1" t="s">
        <v>27305</v>
      </c>
      <c r="C5053" s="11" t="s">
        <v>27306</v>
      </c>
      <c r="D5053" s="11" t="s">
        <v>27306</v>
      </c>
      <c r="E5053" s="11" t="s">
        <v>27307</v>
      </c>
      <c r="F5053" s="11" t="s">
        <v>27163</v>
      </c>
      <c r="G5053" s="11" t="s">
        <v>27302</v>
      </c>
      <c r="H5053" s="11" t="s">
        <v>27303</v>
      </c>
      <c r="I5053" s="11" t="str">
        <f>HYPERLINK("http://www.carnevalisergio.it/","www.carnevalisergio.it")</f>
        <v>www.carnevalisergio.it</v>
      </c>
      <c r="J5053" s="12">
        <v>0</v>
      </c>
      <c r="K5053" s="12">
        <v>0</v>
      </c>
      <c r="L5053" s="13">
        <v>0</v>
      </c>
      <c r="M5053" s="12">
        <v>-1.3759999999999999</v>
      </c>
      <c r="N5053" s="12">
        <v>-1.3759999999999999</v>
      </c>
      <c r="O5053" s="12">
        <v>-1.5940000000000001</v>
      </c>
      <c r="P5053" s="12">
        <v>0</v>
      </c>
      <c r="Q5053" s="12">
        <v>0</v>
      </c>
      <c r="R5053" s="12">
        <v>0</v>
      </c>
    </row>
    <row r="5054" spans="1:18" ht="17" customHeight="1" x14ac:dyDescent="0.15">
      <c r="A5054" s="8" t="s">
        <v>27308</v>
      </c>
      <c r="B5054" s="9" t="s">
        <v>27309</v>
      </c>
      <c r="C5054" s="8" t="s">
        <v>27310</v>
      </c>
      <c r="D5054" s="8" t="s">
        <v>27310</v>
      </c>
      <c r="E5054" s="8" t="s">
        <v>27311</v>
      </c>
      <c r="F5054" s="8" t="s">
        <v>27301</v>
      </c>
      <c r="G5054" s="8" t="s">
        <v>27302</v>
      </c>
      <c r="H5054" s="8" t="s">
        <v>27303</v>
      </c>
      <c r="I5054" s="8" t="str">
        <f>HYPERLINK("http://www.gp-srl.it/","www.gp-srl.it")</f>
        <v>www.gp-srl.it</v>
      </c>
      <c r="J5054" s="10">
        <v>0</v>
      </c>
      <c r="K5054" s="10">
        <v>0</v>
      </c>
      <c r="L5054" s="10">
        <v>0</v>
      </c>
      <c r="M5054" s="10">
        <v>3.5619999999999998</v>
      </c>
      <c r="N5054" s="10">
        <v>3.5619999999999998</v>
      </c>
      <c r="O5054" s="10">
        <v>-0.14399999999999999</v>
      </c>
      <c r="P5054" s="10">
        <v>0</v>
      </c>
      <c r="Q5054" s="10">
        <v>0</v>
      </c>
      <c r="R5054" s="10">
        <v>0</v>
      </c>
    </row>
    <row r="5055" spans="1:18" ht="17" customHeight="1" x14ac:dyDescent="0.15">
      <c r="A5055" s="11" t="s">
        <v>27312</v>
      </c>
      <c r="B5055" s="1" t="s">
        <v>27313</v>
      </c>
      <c r="C5055" s="11" t="s">
        <v>27314</v>
      </c>
      <c r="D5055" s="11" t="s">
        <v>27314</v>
      </c>
      <c r="E5055" s="11" t="s">
        <v>27315</v>
      </c>
      <c r="F5055" s="11" t="s">
        <v>27185</v>
      </c>
      <c r="G5055" s="11" t="s">
        <v>27302</v>
      </c>
      <c r="H5055" s="11" t="s">
        <v>27303</v>
      </c>
      <c r="I5055" s="11" t="str">
        <f>HYPERLINK("http://www.erikarocchi.it/","www.erikarocchi.it")</f>
        <v>www.erikarocchi.it</v>
      </c>
      <c r="J5055" s="12">
        <v>0</v>
      </c>
      <c r="K5055" s="12">
        <v>0</v>
      </c>
      <c r="L5055" s="13">
        <v>0</v>
      </c>
      <c r="M5055" s="12">
        <v>0.35799999999999998</v>
      </c>
      <c r="N5055" s="12">
        <v>0.35799999999999998</v>
      </c>
      <c r="O5055" s="12">
        <v>0.84099999999999997</v>
      </c>
      <c r="P5055" s="12">
        <v>0</v>
      </c>
      <c r="Q5055" s="12">
        <v>0</v>
      </c>
      <c r="R5055" s="12">
        <v>0</v>
      </c>
    </row>
    <row r="5056" spans="1:18" ht="29.5" customHeight="1" x14ac:dyDescent="0.15">
      <c r="A5056" s="8" t="s">
        <v>27316</v>
      </c>
      <c r="B5056" s="9" t="s">
        <v>27317</v>
      </c>
      <c r="C5056" s="8" t="s">
        <v>27318</v>
      </c>
      <c r="D5056" s="8" t="s">
        <v>27318</v>
      </c>
      <c r="E5056" s="8" t="s">
        <v>27319</v>
      </c>
      <c r="F5056" s="8" t="s">
        <v>27185</v>
      </c>
      <c r="G5056" s="8" t="s">
        <v>27302</v>
      </c>
      <c r="H5056" s="8" t="s">
        <v>27303</v>
      </c>
      <c r="I5056" s="8" t="str">
        <f>HYPERLINK("http://www.fornarina.it/","www.fornarina.it")</f>
        <v>www.fornarina.it</v>
      </c>
      <c r="J5056" s="10">
        <v>0</v>
      </c>
      <c r="K5056" s="10">
        <v>0</v>
      </c>
      <c r="L5056" s="10">
        <v>0</v>
      </c>
      <c r="M5056" s="10">
        <v>-19.262</v>
      </c>
      <c r="N5056" s="10">
        <v>-19.262</v>
      </c>
      <c r="O5056" s="10">
        <v>-175.399</v>
      </c>
      <c r="P5056" s="10">
        <v>0</v>
      </c>
      <c r="Q5056" s="10">
        <v>0</v>
      </c>
      <c r="R5056" s="10">
        <v>0</v>
      </c>
    </row>
    <row r="5057" spans="1:18" ht="29.5" customHeight="1" x14ac:dyDescent="0.15">
      <c r="A5057" s="11" t="s">
        <v>27320</v>
      </c>
      <c r="B5057" s="1" t="s">
        <v>27321</v>
      </c>
      <c r="C5057" s="11" t="s">
        <v>27322</v>
      </c>
      <c r="D5057" s="11" t="s">
        <v>27322</v>
      </c>
      <c r="E5057" s="11" t="s">
        <v>27323</v>
      </c>
      <c r="F5057" s="11" t="s">
        <v>27324</v>
      </c>
      <c r="G5057" s="11" t="s">
        <v>27325</v>
      </c>
      <c r="H5057" s="11" t="s">
        <v>27326</v>
      </c>
      <c r="I5057" s="11" t="str">
        <f>HYPERLINK("http://conceriadelchienti.com/","conceriadelchienti.com")</f>
        <v>conceriadelchienti.com</v>
      </c>
      <c r="J5057" s="12">
        <v>0</v>
      </c>
      <c r="K5057" s="14" t="s">
        <v>27327</v>
      </c>
      <c r="L5057" s="13">
        <v>0</v>
      </c>
      <c r="M5057" s="12">
        <v>16144.82</v>
      </c>
      <c r="N5057" s="14" t="s">
        <v>27327</v>
      </c>
      <c r="O5057" s="12">
        <v>16144.82</v>
      </c>
      <c r="P5057" s="12">
        <v>0</v>
      </c>
      <c r="Q5057" s="14" t="s">
        <v>27327</v>
      </c>
      <c r="R5057" s="12">
        <v>0</v>
      </c>
    </row>
    <row r="5058" spans="1:18" ht="29.5" customHeight="1" x14ac:dyDescent="0.15">
      <c r="A5058" s="8" t="s">
        <v>27328</v>
      </c>
      <c r="B5058" s="9" t="s">
        <v>27329</v>
      </c>
      <c r="C5058" s="8" t="s">
        <v>27330</v>
      </c>
      <c r="D5058" s="8" t="s">
        <v>27330</v>
      </c>
      <c r="E5058" s="8" t="s">
        <v>27331</v>
      </c>
      <c r="F5058" s="8" t="s">
        <v>27332</v>
      </c>
      <c r="G5058" s="8" t="s">
        <v>27333</v>
      </c>
      <c r="H5058" s="8" t="s">
        <v>27334</v>
      </c>
      <c r="I5058" s="8" t="str">
        <f>HYPERLINK("http://www.tecnosuolesrl.com/","www.tecnosuolesrl.com")</f>
        <v>www.tecnosuolesrl.com</v>
      </c>
      <c r="J5058" s="10">
        <v>0</v>
      </c>
      <c r="K5058" s="10">
        <v>0</v>
      </c>
      <c r="L5058" s="10">
        <v>0</v>
      </c>
      <c r="M5058" s="10">
        <v>-0.34200000000000003</v>
      </c>
      <c r="N5058" s="10">
        <v>-0.34200000000000003</v>
      </c>
      <c r="O5058" s="10">
        <v>-0.372</v>
      </c>
      <c r="P5058" s="10">
        <v>0</v>
      </c>
      <c r="Q5058" s="10">
        <v>0</v>
      </c>
      <c r="R5058" s="10">
        <v>0</v>
      </c>
    </row>
    <row r="5059" spans="1:18" ht="29.5" customHeight="1" x14ac:dyDescent="0.15">
      <c r="A5059" s="11" t="s">
        <v>27335</v>
      </c>
      <c r="B5059" s="1" t="s">
        <v>27336</v>
      </c>
      <c r="C5059" s="11" t="s">
        <v>27337</v>
      </c>
      <c r="D5059" s="11" t="s">
        <v>27337</v>
      </c>
      <c r="E5059" s="11" t="s">
        <v>27338</v>
      </c>
      <c r="F5059" s="11" t="s">
        <v>27339</v>
      </c>
      <c r="G5059" s="11" t="s">
        <v>27333</v>
      </c>
      <c r="H5059" s="11" t="s">
        <v>27334</v>
      </c>
      <c r="I5059" s="11" t="str">
        <f>HYPERLINK("http://www.filanto.it/","www.filanto.it")</f>
        <v>www.filanto.it</v>
      </c>
      <c r="J5059" s="12">
        <v>0</v>
      </c>
      <c r="K5059" s="12">
        <v>0</v>
      </c>
      <c r="L5059" s="13">
        <v>0</v>
      </c>
      <c r="M5059" s="12">
        <v>379.94799999999998</v>
      </c>
      <c r="N5059" s="12">
        <v>554.03200000000004</v>
      </c>
      <c r="O5059" s="12">
        <v>-274.49900000000002</v>
      </c>
      <c r="P5059" s="14" t="s">
        <v>27327</v>
      </c>
      <c r="Q5059" s="14" t="s">
        <v>27327</v>
      </c>
      <c r="R5059" s="14" t="s">
        <v>27327</v>
      </c>
    </row>
    <row r="5060" spans="1:18" ht="17" customHeight="1" x14ac:dyDescent="0.15">
      <c r="A5060" s="8" t="s">
        <v>27340</v>
      </c>
      <c r="B5060" s="9" t="s">
        <v>27341</v>
      </c>
      <c r="C5060" s="8" t="s">
        <v>27342</v>
      </c>
      <c r="D5060" s="8" t="s">
        <v>27342</v>
      </c>
      <c r="E5060" s="8" t="s">
        <v>27343</v>
      </c>
      <c r="F5060" s="8" t="s">
        <v>27344</v>
      </c>
      <c r="G5060" s="8" t="s">
        <v>27345</v>
      </c>
      <c r="H5060" s="8" t="s">
        <v>27346</v>
      </c>
      <c r="I5060" s="8" t="str">
        <f>HYPERLINK("http://wmcstore.it/","wmcstore.it")</f>
        <v>wmcstore.it</v>
      </c>
      <c r="J5060" s="10">
        <v>0</v>
      </c>
      <c r="K5060" s="15" t="s">
        <v>27327</v>
      </c>
      <c r="L5060" s="10">
        <v>0</v>
      </c>
      <c r="M5060" s="10">
        <v>-7.7430000000000003</v>
      </c>
      <c r="N5060" s="15" t="s">
        <v>27327</v>
      </c>
      <c r="O5060" s="10">
        <v>-7.7430000000000003</v>
      </c>
      <c r="P5060" s="10">
        <v>0</v>
      </c>
      <c r="Q5060" s="15" t="s">
        <v>27327</v>
      </c>
      <c r="R5060" s="10">
        <v>0</v>
      </c>
    </row>
    <row r="5061" spans="1:18" ht="17" customHeight="1" x14ac:dyDescent="0.15">
      <c r="A5061" s="11" t="s">
        <v>27347</v>
      </c>
      <c r="B5061" s="1" t="s">
        <v>27348</v>
      </c>
      <c r="C5061" s="11" t="s">
        <v>27349</v>
      </c>
      <c r="D5061" s="11" t="s">
        <v>27349</v>
      </c>
      <c r="E5061" s="11" t="s">
        <v>27350</v>
      </c>
      <c r="F5061" s="11" t="s">
        <v>27351</v>
      </c>
      <c r="G5061" s="11" t="s">
        <v>27352</v>
      </c>
      <c r="H5061" s="11" t="s">
        <v>27353</v>
      </c>
      <c r="I5061" s="11" t="str">
        <f>HYPERLINK("http://www.divedifferent.it/","www.divedifferent.it")</f>
        <v>www.divedifferent.it</v>
      </c>
      <c r="J5061" s="12">
        <v>0</v>
      </c>
      <c r="K5061" s="12">
        <v>0</v>
      </c>
      <c r="L5061" s="13">
        <v>0</v>
      </c>
      <c r="M5061" s="12">
        <v>-0.43</v>
      </c>
      <c r="N5061" s="12">
        <v>-0.43</v>
      </c>
      <c r="O5061" s="12">
        <v>-1.006</v>
      </c>
      <c r="P5061" s="12">
        <v>0</v>
      </c>
      <c r="Q5061" s="12">
        <v>0</v>
      </c>
      <c r="R5061" s="12">
        <v>0</v>
      </c>
    </row>
    <row r="5062" spans="1:18" ht="17" customHeight="1" x14ac:dyDescent="0.15">
      <c r="A5062" s="8" t="s">
        <v>27354</v>
      </c>
      <c r="B5062" s="9" t="s">
        <v>27355</v>
      </c>
      <c r="C5062" s="8" t="s">
        <v>27356</v>
      </c>
      <c r="D5062" s="8" t="s">
        <v>27356</v>
      </c>
      <c r="E5062" s="8" t="s">
        <v>27357</v>
      </c>
      <c r="F5062" s="8" t="s">
        <v>27344</v>
      </c>
      <c r="G5062" s="8" t="s">
        <v>27358</v>
      </c>
      <c r="H5062" s="8" t="s">
        <v>27359</v>
      </c>
      <c r="I5062" s="8" t="str">
        <f>HYPERLINK("http://www.mauroeffe.com/","www.mauroeffe.com")</f>
        <v>www.mauroeffe.com</v>
      </c>
      <c r="J5062" s="10">
        <v>0</v>
      </c>
      <c r="K5062" s="10">
        <v>0</v>
      </c>
      <c r="L5062" s="10">
        <v>0</v>
      </c>
      <c r="M5062" s="10">
        <v>0</v>
      </c>
      <c r="N5062" s="10">
        <v>0</v>
      </c>
      <c r="O5062" s="10">
        <v>-6.2E-2</v>
      </c>
      <c r="P5062" s="10">
        <v>0</v>
      </c>
      <c r="Q5062" s="10">
        <v>0</v>
      </c>
      <c r="R5062" s="10">
        <v>0</v>
      </c>
    </row>
    <row r="5063" spans="1:18" ht="17" customHeight="1" x14ac:dyDescent="0.15">
      <c r="A5063" s="11" t="s">
        <v>27360</v>
      </c>
      <c r="B5063" s="1" t="s">
        <v>27361</v>
      </c>
      <c r="C5063" s="11" t="s">
        <v>27362</v>
      </c>
      <c r="D5063" s="11" t="s">
        <v>27362</v>
      </c>
      <c r="E5063" s="11" t="s">
        <v>27363</v>
      </c>
      <c r="F5063" s="11" t="s">
        <v>27339</v>
      </c>
      <c r="G5063" s="11" t="s">
        <v>27364</v>
      </c>
      <c r="H5063" s="11" t="s">
        <v>27365</v>
      </c>
      <c r="I5063" s="11" t="str">
        <f>HYPERLINK("http://3juin.com/","3juin.com")</f>
        <v>3juin.com</v>
      </c>
      <c r="J5063" s="12">
        <v>0</v>
      </c>
      <c r="K5063" s="12">
        <v>0</v>
      </c>
      <c r="L5063" s="13">
        <v>0</v>
      </c>
      <c r="M5063" s="12">
        <v>-6.6890000000000001</v>
      </c>
      <c r="N5063" s="12">
        <v>-6.6890000000000001</v>
      </c>
      <c r="O5063" s="12">
        <v>95.594999999999999</v>
      </c>
      <c r="P5063" s="12">
        <v>0</v>
      </c>
      <c r="Q5063" s="12">
        <v>0</v>
      </c>
      <c r="R5063" s="12">
        <v>0</v>
      </c>
    </row>
    <row r="5064" spans="1:18" ht="29.5" customHeight="1" x14ac:dyDescent="0.15">
      <c r="A5064" s="8" t="s">
        <v>27366</v>
      </c>
      <c r="B5064" s="9" t="s">
        <v>27367</v>
      </c>
      <c r="C5064" s="8" t="s">
        <v>27368</v>
      </c>
      <c r="D5064" s="8" t="s">
        <v>27368</v>
      </c>
      <c r="E5064" s="8" t="s">
        <v>27369</v>
      </c>
      <c r="F5064" s="8" t="s">
        <v>27339</v>
      </c>
      <c r="G5064" s="8" t="s">
        <v>27370</v>
      </c>
      <c r="H5064" s="8" t="s">
        <v>27326</v>
      </c>
      <c r="I5064" s="8" t="str">
        <f>HYPERLINK("http://www.xbaccoshoes.it/","www.xbaccoshoes.it")</f>
        <v>www.xbaccoshoes.it</v>
      </c>
      <c r="J5064" s="10">
        <v>0</v>
      </c>
      <c r="K5064" s="10">
        <v>0</v>
      </c>
      <c r="L5064" s="10">
        <v>0</v>
      </c>
      <c r="M5064" s="10">
        <v>-3.9689999999999999</v>
      </c>
      <c r="N5064" s="10">
        <v>-3.9689999999999999</v>
      </c>
      <c r="O5064" s="10">
        <v>-4.1269999999999998</v>
      </c>
      <c r="P5064" s="10">
        <v>0</v>
      </c>
      <c r="Q5064" s="10">
        <v>0</v>
      </c>
      <c r="R5064" s="10">
        <v>0</v>
      </c>
    </row>
    <row r="5065" spans="1:18" ht="17" customHeight="1" x14ac:dyDescent="0.15">
      <c r="A5065" s="11" t="s">
        <v>27371</v>
      </c>
      <c r="B5065" s="1" t="s">
        <v>27372</v>
      </c>
      <c r="C5065" s="11" t="s">
        <v>27373</v>
      </c>
      <c r="D5065" s="11" t="s">
        <v>27373</v>
      </c>
      <c r="E5065" s="11" t="s">
        <v>27374</v>
      </c>
      <c r="F5065" s="11" t="s">
        <v>27375</v>
      </c>
      <c r="G5065" s="11" t="s">
        <v>27376</v>
      </c>
      <c r="H5065" s="11" t="s">
        <v>27377</v>
      </c>
      <c r="I5065" s="11" t="str">
        <f>HYPERLINK("http://iulsarak.com/","iulsarak.com")</f>
        <v>iulsarak.com</v>
      </c>
      <c r="J5065" s="12">
        <v>0</v>
      </c>
      <c r="K5065" s="12">
        <v>0</v>
      </c>
      <c r="L5065" s="13">
        <v>0</v>
      </c>
      <c r="M5065" s="12">
        <v>-2.82</v>
      </c>
      <c r="N5065" s="12">
        <v>-2.82</v>
      </c>
      <c r="O5065" s="12">
        <v>-2.6070000000000002</v>
      </c>
      <c r="P5065" s="12">
        <v>0</v>
      </c>
      <c r="Q5065" s="12">
        <v>0</v>
      </c>
      <c r="R5065" s="12">
        <v>0</v>
      </c>
    </row>
    <row r="5066" spans="1:18" ht="43" customHeight="1" x14ac:dyDescent="0.15">
      <c r="A5066" s="8" t="s">
        <v>27378</v>
      </c>
      <c r="B5066" s="9" t="s">
        <v>27379</v>
      </c>
      <c r="C5066" s="8" t="s">
        <v>27380</v>
      </c>
      <c r="D5066" s="8" t="s">
        <v>27380</v>
      </c>
      <c r="E5066" s="8" t="s">
        <v>27381</v>
      </c>
      <c r="F5066" s="8" t="s">
        <v>27382</v>
      </c>
      <c r="G5066" s="8" t="s">
        <v>27376</v>
      </c>
      <c r="H5066" s="8" t="s">
        <v>27377</v>
      </c>
      <c r="I5066" s="8" t="str">
        <f>HYPERLINK("http://www.donnepellettiere.it/","www.donnepellettiere.it")</f>
        <v>www.donnepellettiere.it</v>
      </c>
      <c r="J5066" s="10">
        <v>0</v>
      </c>
      <c r="K5066" s="15" t="s">
        <v>27327</v>
      </c>
      <c r="L5066" s="10">
        <v>0</v>
      </c>
      <c r="M5066" s="10">
        <v>-4.6369999999999996</v>
      </c>
      <c r="N5066" s="15" t="s">
        <v>27327</v>
      </c>
      <c r="O5066" s="10">
        <v>-4.6369999999999996</v>
      </c>
      <c r="P5066" s="10">
        <v>0</v>
      </c>
      <c r="Q5066" s="15" t="s">
        <v>27327</v>
      </c>
      <c r="R5066" s="10">
        <v>0</v>
      </c>
    </row>
    <row r="5067" spans="1:18" ht="17" customHeight="1" x14ac:dyDescent="0.15">
      <c r="A5067" s="11" t="s">
        <v>27383</v>
      </c>
      <c r="B5067" s="1" t="s">
        <v>27384</v>
      </c>
      <c r="C5067" s="11" t="s">
        <v>27385</v>
      </c>
      <c r="D5067" s="11" t="s">
        <v>27385</v>
      </c>
      <c r="E5067" s="11" t="s">
        <v>27386</v>
      </c>
      <c r="F5067" s="11" t="s">
        <v>27387</v>
      </c>
      <c r="G5067" s="11" t="s">
        <v>27376</v>
      </c>
      <c r="H5067" s="11" t="s">
        <v>27377</v>
      </c>
      <c r="I5067" s="11" t="str">
        <f>HYPERLINK("http://www.maristella.it/","www.maristella.it")</f>
        <v>www.maristella.it</v>
      </c>
      <c r="J5067" s="12">
        <v>0</v>
      </c>
      <c r="K5067" s="12">
        <v>0</v>
      </c>
      <c r="L5067" s="13">
        <v>0</v>
      </c>
      <c r="M5067" s="12">
        <v>-5.0110000000000001</v>
      </c>
      <c r="N5067" s="12">
        <v>-4.5979999999999999</v>
      </c>
      <c r="O5067" s="12">
        <v>-4.5289999999999999</v>
      </c>
      <c r="P5067" s="12">
        <v>0</v>
      </c>
      <c r="Q5067" s="12">
        <v>0</v>
      </c>
      <c r="R5067" s="12">
        <v>0</v>
      </c>
    </row>
    <row r="5068" spans="1:18" ht="17" customHeight="1" x14ac:dyDescent="0.15">
      <c r="A5068" s="8" t="s">
        <v>27388</v>
      </c>
      <c r="B5068" s="9" t="s">
        <v>27389</v>
      </c>
      <c r="C5068" s="8" t="s">
        <v>27390</v>
      </c>
      <c r="D5068" s="8" t="s">
        <v>27390</v>
      </c>
      <c r="E5068" s="8" t="s">
        <v>27391</v>
      </c>
      <c r="F5068" s="8" t="s">
        <v>27387</v>
      </c>
      <c r="G5068" s="8" t="s">
        <v>27392</v>
      </c>
      <c r="H5068" s="8" t="s">
        <v>27334</v>
      </c>
      <c r="I5068" s="8" t="str">
        <f>HYPERLINK("http://www.pourquoime.com/","www.pourquoime.com")</f>
        <v>www.pourquoime.com</v>
      </c>
      <c r="J5068" s="10">
        <v>0</v>
      </c>
      <c r="K5068" s="10">
        <v>0</v>
      </c>
      <c r="L5068" s="10">
        <v>0</v>
      </c>
      <c r="M5068" s="10">
        <v>0.06</v>
      </c>
      <c r="N5068" s="10">
        <v>0.06</v>
      </c>
      <c r="O5068" s="10">
        <v>0.45800000000000002</v>
      </c>
      <c r="P5068" s="10">
        <v>0</v>
      </c>
      <c r="Q5068" s="10">
        <v>0</v>
      </c>
      <c r="R5068" s="10">
        <v>0</v>
      </c>
    </row>
    <row r="5069" spans="1:18" ht="43" customHeight="1" x14ac:dyDescent="0.15">
      <c r="A5069" s="11" t="s">
        <v>27393</v>
      </c>
      <c r="B5069" s="1" t="s">
        <v>27394</v>
      </c>
      <c r="C5069" s="11" t="s">
        <v>27395</v>
      </c>
      <c r="D5069" s="11" t="s">
        <v>27395</v>
      </c>
      <c r="E5069" s="11" t="s">
        <v>27396</v>
      </c>
      <c r="F5069" s="11" t="s">
        <v>27344</v>
      </c>
      <c r="G5069" s="11" t="s">
        <v>27397</v>
      </c>
      <c r="H5069" s="11" t="s">
        <v>27398</v>
      </c>
      <c r="I5069" s="11" t="str">
        <f>HYPERLINK("http://www.giudiceconfezioni.com/","http://www.giudiceconfezioni.com")</f>
        <v>http://www.giudiceconfezioni.com</v>
      </c>
      <c r="J5069" s="12">
        <v>0</v>
      </c>
      <c r="K5069" s="12">
        <v>0</v>
      </c>
      <c r="L5069" s="13">
        <v>0</v>
      </c>
      <c r="M5069" s="12">
        <v>-168.13499999999999</v>
      </c>
      <c r="N5069" s="12">
        <v>-168.13499999999999</v>
      </c>
      <c r="O5069" s="12">
        <v>-42.508000000000003</v>
      </c>
      <c r="P5069" s="12">
        <v>0</v>
      </c>
      <c r="Q5069" s="12">
        <v>0</v>
      </c>
      <c r="R5069" s="12">
        <v>0</v>
      </c>
    </row>
    <row r="5070" spans="1:18" ht="17" customHeight="1" x14ac:dyDescent="0.15">
      <c r="A5070" s="8" t="s">
        <v>27399</v>
      </c>
      <c r="B5070" s="9" t="s">
        <v>27400</v>
      </c>
      <c r="C5070" s="8" t="s">
        <v>27401</v>
      </c>
      <c r="D5070" s="8" t="s">
        <v>27401</v>
      </c>
      <c r="E5070" s="8" t="s">
        <v>27402</v>
      </c>
      <c r="F5070" s="8" t="s">
        <v>27332</v>
      </c>
      <c r="G5070" s="8" t="s">
        <v>27403</v>
      </c>
      <c r="H5070" s="8" t="s">
        <v>27404</v>
      </c>
      <c r="I5070" s="8" t="str">
        <f>HYPERLINK("http://www.sagicalzature.it/","www.sagicalzature.it")</f>
        <v>www.sagicalzature.it</v>
      </c>
      <c r="J5070" s="10">
        <v>0</v>
      </c>
      <c r="K5070" s="10">
        <v>0</v>
      </c>
      <c r="L5070" s="10">
        <v>0</v>
      </c>
      <c r="M5070" s="10">
        <v>0</v>
      </c>
      <c r="N5070" s="10">
        <v>0</v>
      </c>
      <c r="O5070" s="10">
        <v>-0.48</v>
      </c>
      <c r="P5070" s="10">
        <v>0</v>
      </c>
      <c r="Q5070" s="10">
        <v>0</v>
      </c>
      <c r="R5070" s="10">
        <v>0</v>
      </c>
    </row>
    <row r="5071" spans="1:18" ht="43" customHeight="1" x14ac:dyDescent="0.15">
      <c r="A5071" s="11" t="s">
        <v>27405</v>
      </c>
      <c r="B5071" s="1" t="s">
        <v>27406</v>
      </c>
      <c r="C5071" s="11" t="s">
        <v>27407</v>
      </c>
      <c r="D5071" s="11" t="s">
        <v>27407</v>
      </c>
      <c r="E5071" s="11" t="s">
        <v>27408</v>
      </c>
      <c r="F5071" s="11" t="s">
        <v>27344</v>
      </c>
      <c r="G5071" s="11" t="s">
        <v>27409</v>
      </c>
      <c r="H5071" s="11" t="s">
        <v>27410</v>
      </c>
      <c r="I5071" s="11" t="str">
        <f>HYPERLINK("http://www.archetipi-brand.com/","www.archetipi-brand.com")</f>
        <v>www.archetipi-brand.com</v>
      </c>
      <c r="J5071" s="12">
        <v>0</v>
      </c>
      <c r="K5071" s="14" t="s">
        <v>27327</v>
      </c>
      <c r="L5071" s="13">
        <v>0</v>
      </c>
      <c r="M5071" s="12">
        <v>-2.5670000000000002</v>
      </c>
      <c r="N5071" s="14" t="s">
        <v>27327</v>
      </c>
      <c r="O5071" s="12">
        <v>-2.5670000000000002</v>
      </c>
      <c r="P5071" s="12">
        <v>0</v>
      </c>
      <c r="Q5071" s="14" t="s">
        <v>27327</v>
      </c>
      <c r="R5071" s="12">
        <v>0</v>
      </c>
    </row>
    <row r="5072" spans="1:18" ht="17" customHeight="1" x14ac:dyDescent="0.15">
      <c r="A5072" s="8" t="s">
        <v>27411</v>
      </c>
      <c r="B5072" s="9" t="s">
        <v>27412</v>
      </c>
      <c r="C5072" s="8" t="s">
        <v>27413</v>
      </c>
      <c r="D5072" s="8" t="s">
        <v>27414</v>
      </c>
      <c r="E5072" s="8" t="s">
        <v>27415</v>
      </c>
      <c r="F5072" s="8" t="s">
        <v>27416</v>
      </c>
      <c r="G5072" s="8" t="s">
        <v>27409</v>
      </c>
      <c r="H5072" s="8" t="s">
        <v>27410</v>
      </c>
      <c r="I5072" s="8" t="str">
        <f>HYPERLINK("http://www.sixty.net/","www.sixty.net")</f>
        <v>www.sixty.net</v>
      </c>
      <c r="J5072" s="10">
        <v>0</v>
      </c>
      <c r="K5072" s="10">
        <v>0</v>
      </c>
      <c r="L5072" s="10">
        <v>0</v>
      </c>
      <c r="M5072" s="10">
        <v>-977.79200000000003</v>
      </c>
      <c r="N5072" s="10">
        <v>-977.79200000000003</v>
      </c>
      <c r="O5072" s="10">
        <v>-8148.1180000000004</v>
      </c>
      <c r="P5072" s="10">
        <v>2</v>
      </c>
      <c r="Q5072" s="10">
        <v>2</v>
      </c>
      <c r="R5072" s="10">
        <v>2</v>
      </c>
    </row>
    <row r="5073" spans="1:18" ht="17" customHeight="1" x14ac:dyDescent="0.15">
      <c r="A5073" s="11" t="s">
        <v>27417</v>
      </c>
      <c r="B5073" s="1" t="s">
        <v>27418</v>
      </c>
      <c r="C5073" s="11" t="s">
        <v>27419</v>
      </c>
      <c r="D5073" s="11" t="s">
        <v>27419</v>
      </c>
      <c r="E5073" s="11" t="s">
        <v>27420</v>
      </c>
      <c r="F5073" s="11" t="s">
        <v>27339</v>
      </c>
      <c r="G5073" s="11" t="s">
        <v>27421</v>
      </c>
      <c r="H5073" s="11" t="s">
        <v>27422</v>
      </c>
      <c r="I5073" s="11" t="str">
        <f>HYPERLINK("http://www.jpdavid.it/","www.jpdavid.it")</f>
        <v>www.jpdavid.it</v>
      </c>
      <c r="J5073" s="12">
        <v>0</v>
      </c>
      <c r="K5073" s="12">
        <v>0</v>
      </c>
      <c r="L5073" s="13">
        <v>0</v>
      </c>
      <c r="M5073" s="12">
        <v>-16.391999999999999</v>
      </c>
      <c r="N5073" s="12">
        <v>-16.391999999999999</v>
      </c>
      <c r="O5073" s="12">
        <v>-882.00900000000001</v>
      </c>
      <c r="P5073" s="14" t="s">
        <v>27327</v>
      </c>
      <c r="Q5073" s="14" t="s">
        <v>27327</v>
      </c>
      <c r="R5073" s="12">
        <v>1</v>
      </c>
    </row>
    <row r="5074" spans="1:18" ht="55.75" customHeight="1" x14ac:dyDescent="0.15">
      <c r="A5074" s="8" t="s">
        <v>27423</v>
      </c>
      <c r="B5074" s="9" t="s">
        <v>27424</v>
      </c>
      <c r="C5074" s="8" t="s">
        <v>27425</v>
      </c>
      <c r="D5074" s="8" t="s">
        <v>27425</v>
      </c>
      <c r="E5074" s="8" t="s">
        <v>27426</v>
      </c>
      <c r="F5074" s="8" t="s">
        <v>27339</v>
      </c>
      <c r="G5074" s="8" t="s">
        <v>27421</v>
      </c>
      <c r="H5074" s="8" t="s">
        <v>27422</v>
      </c>
      <c r="I5074" s="8" t="str">
        <f>HYPERLINK("http://www.coraf.it/","www.coraf.it")</f>
        <v>www.coraf.it</v>
      </c>
      <c r="J5074" s="10">
        <v>0</v>
      </c>
      <c r="K5074" s="10">
        <v>0</v>
      </c>
      <c r="L5074" s="10">
        <v>0</v>
      </c>
      <c r="M5074" s="10">
        <v>9.6560000000000006</v>
      </c>
      <c r="N5074" s="10">
        <v>9.6560000000000006</v>
      </c>
      <c r="O5074" s="10">
        <v>0.753</v>
      </c>
      <c r="P5074" s="10">
        <v>2</v>
      </c>
      <c r="Q5074" s="10">
        <v>2</v>
      </c>
      <c r="R5074" s="10">
        <v>2</v>
      </c>
    </row>
    <row r="5075" spans="1:18" ht="29.5" customHeight="1" x14ac:dyDescent="0.15">
      <c r="A5075" s="11" t="s">
        <v>27427</v>
      </c>
      <c r="B5075" s="1" t="s">
        <v>27428</v>
      </c>
      <c r="C5075" s="11" t="s">
        <v>27429</v>
      </c>
      <c r="D5075" s="11" t="s">
        <v>27429</v>
      </c>
      <c r="E5075" s="11" t="s">
        <v>27430</v>
      </c>
      <c r="F5075" s="11" t="s">
        <v>27416</v>
      </c>
      <c r="G5075" s="11" t="s">
        <v>27421</v>
      </c>
      <c r="H5075" s="11" t="s">
        <v>27422</v>
      </c>
      <c r="I5075" s="11" t="str">
        <f>HYPERLINK("http://www.grcconfezioni.com/","www.grcconfezioni.com")</f>
        <v>www.grcconfezioni.com</v>
      </c>
      <c r="J5075" s="12">
        <v>0</v>
      </c>
      <c r="K5075" s="12">
        <v>0</v>
      </c>
      <c r="L5075" s="13">
        <v>0</v>
      </c>
      <c r="M5075" s="12">
        <v>39.869999999999997</v>
      </c>
      <c r="N5075" s="12">
        <v>39.869999999999997</v>
      </c>
      <c r="O5075" s="12">
        <v>-5.8929999999999998</v>
      </c>
      <c r="P5075" s="12">
        <v>0</v>
      </c>
      <c r="Q5075" s="12">
        <v>0</v>
      </c>
      <c r="R5075" s="12">
        <v>0</v>
      </c>
    </row>
    <row r="5076" spans="1:18" ht="17" customHeight="1" x14ac:dyDescent="0.15">
      <c r="A5076" s="8" t="s">
        <v>27431</v>
      </c>
      <c r="B5076" s="9" t="s">
        <v>27432</v>
      </c>
      <c r="C5076" s="8" t="s">
        <v>27433</v>
      </c>
      <c r="D5076" s="8" t="s">
        <v>27433</v>
      </c>
      <c r="E5076" s="8" t="s">
        <v>27434</v>
      </c>
      <c r="F5076" s="8" t="s">
        <v>27339</v>
      </c>
      <c r="G5076" s="8" t="s">
        <v>27421</v>
      </c>
      <c r="H5076" s="8" t="s">
        <v>27422</v>
      </c>
      <c r="I5076" s="8" t="str">
        <f>HYPERLINK("http://www.gi-pi.it/","www.gi-pi.it")</f>
        <v>www.gi-pi.it</v>
      </c>
      <c r="J5076" s="10">
        <v>0</v>
      </c>
      <c r="K5076" s="15" t="s">
        <v>27327</v>
      </c>
      <c r="L5076" s="10">
        <v>0</v>
      </c>
      <c r="M5076" s="10">
        <v>-3.7919999999999998</v>
      </c>
      <c r="N5076" s="15" t="s">
        <v>27327</v>
      </c>
      <c r="O5076" s="10">
        <v>-3.7919999999999998</v>
      </c>
      <c r="P5076" s="10">
        <v>0</v>
      </c>
      <c r="Q5076" s="15" t="s">
        <v>27327</v>
      </c>
      <c r="R5076" s="10">
        <v>0</v>
      </c>
    </row>
    <row r="5077" spans="1:18" ht="17" customHeight="1" x14ac:dyDescent="0.15">
      <c r="A5077" s="11" t="s">
        <v>27435</v>
      </c>
      <c r="B5077" s="1" t="s">
        <v>27436</v>
      </c>
      <c r="C5077" s="11" t="s">
        <v>27437</v>
      </c>
      <c r="D5077" s="11" t="s">
        <v>27437</v>
      </c>
      <c r="E5077" s="11" t="s">
        <v>27438</v>
      </c>
      <c r="F5077" s="11" t="s">
        <v>27344</v>
      </c>
      <c r="G5077" s="11" t="s">
        <v>27439</v>
      </c>
      <c r="H5077" s="11" t="s">
        <v>27353</v>
      </c>
      <c r="I5077" s="11" t="str">
        <f>HYPERLINK("http://www.cottonmusic.it/","www.cottonmusic.it")</f>
        <v>www.cottonmusic.it</v>
      </c>
      <c r="J5077" s="12">
        <v>0</v>
      </c>
      <c r="K5077" s="12">
        <v>0</v>
      </c>
      <c r="L5077" s="13">
        <v>0</v>
      </c>
      <c r="M5077" s="12">
        <v>-2.9380000000000002</v>
      </c>
      <c r="N5077" s="12">
        <v>-2.9380000000000002</v>
      </c>
      <c r="O5077" s="12">
        <v>-0.72</v>
      </c>
      <c r="P5077" s="14" t="s">
        <v>27327</v>
      </c>
      <c r="Q5077" s="14" t="s">
        <v>27327</v>
      </c>
      <c r="R5077" s="14" t="s">
        <v>27327</v>
      </c>
    </row>
    <row r="5078" spans="1:18" ht="29.5" customHeight="1" x14ac:dyDescent="0.15">
      <c r="A5078" s="8" t="s">
        <v>27440</v>
      </c>
      <c r="B5078" s="9" t="s">
        <v>27441</v>
      </c>
      <c r="C5078" s="8" t="s">
        <v>27442</v>
      </c>
      <c r="D5078" s="8" t="s">
        <v>27443</v>
      </c>
      <c r="E5078" s="8" t="s">
        <v>27444</v>
      </c>
      <c r="F5078" s="8" t="s">
        <v>27445</v>
      </c>
      <c r="G5078" s="8" t="s">
        <v>27446</v>
      </c>
      <c r="H5078" s="8" t="s">
        <v>27346</v>
      </c>
      <c r="I5078" s="8" t="str">
        <f>HYPERLINK("http://nemar.com/","nemar.com")</f>
        <v>nemar.com</v>
      </c>
      <c r="J5078" s="10">
        <v>0</v>
      </c>
      <c r="K5078" s="10">
        <v>0</v>
      </c>
      <c r="L5078" s="10">
        <v>0</v>
      </c>
      <c r="M5078" s="10">
        <v>-21.257999999999999</v>
      </c>
      <c r="N5078" s="10">
        <v>-21.257999999999999</v>
      </c>
      <c r="O5078" s="10">
        <v>-4.5149999999999997</v>
      </c>
      <c r="P5078" s="10">
        <v>0</v>
      </c>
      <c r="Q5078" s="10">
        <v>0</v>
      </c>
      <c r="R5078" s="10">
        <v>0</v>
      </c>
    </row>
    <row r="5079" spans="1:18" ht="29.5" customHeight="1" x14ac:dyDescent="0.15">
      <c r="A5079" s="11" t="s">
        <v>27447</v>
      </c>
      <c r="B5079" s="1" t="s">
        <v>27448</v>
      </c>
      <c r="C5079" s="11" t="s">
        <v>27449</v>
      </c>
      <c r="D5079" s="11" t="s">
        <v>27450</v>
      </c>
      <c r="E5079" s="11" t="s">
        <v>27451</v>
      </c>
      <c r="F5079" s="11" t="s">
        <v>27452</v>
      </c>
      <c r="G5079" s="11" t="s">
        <v>27446</v>
      </c>
      <c r="H5079" s="11" t="s">
        <v>27346</v>
      </c>
      <c r="I5079" s="11" t="str">
        <f>HYPERLINK("http://www.calzificiogabbiano.it/","www.calzificiogabbiano.it")</f>
        <v>www.calzificiogabbiano.it</v>
      </c>
      <c r="J5079" s="12">
        <v>0</v>
      </c>
      <c r="K5079" s="12">
        <v>0</v>
      </c>
      <c r="L5079" s="13">
        <v>0</v>
      </c>
      <c r="M5079" s="12">
        <v>0</v>
      </c>
      <c r="N5079" s="12">
        <v>0</v>
      </c>
      <c r="O5079" s="12">
        <v>-0.31</v>
      </c>
      <c r="P5079" s="12">
        <v>0</v>
      </c>
      <c r="Q5079" s="12">
        <v>0</v>
      </c>
      <c r="R5079" s="12">
        <v>0</v>
      </c>
    </row>
    <row r="5080" spans="1:18" ht="29.5" customHeight="1" x14ac:dyDescent="0.15">
      <c r="A5080" s="8" t="s">
        <v>27453</v>
      </c>
      <c r="B5080" s="9" t="s">
        <v>27454</v>
      </c>
      <c r="C5080" s="8" t="s">
        <v>27455</v>
      </c>
      <c r="D5080" s="8" t="s">
        <v>27456</v>
      </c>
      <c r="E5080" s="8" t="s">
        <v>27457</v>
      </c>
      <c r="F5080" s="8" t="s">
        <v>27344</v>
      </c>
      <c r="G5080" s="8" t="s">
        <v>27446</v>
      </c>
      <c r="H5080" s="8" t="s">
        <v>27346</v>
      </c>
      <c r="I5080" s="8" t="str">
        <f>HYPERLINK("http://www.gruppo-manerbiesi.it/","www.gruppo-manerbiesi.it")</f>
        <v>www.gruppo-manerbiesi.it</v>
      </c>
      <c r="J5080" s="10">
        <v>0</v>
      </c>
      <c r="K5080" s="10">
        <v>0</v>
      </c>
      <c r="L5080" s="10">
        <v>0</v>
      </c>
      <c r="M5080" s="10">
        <v>-1.917</v>
      </c>
      <c r="N5080" s="10">
        <v>-1.917</v>
      </c>
      <c r="O5080" s="10">
        <v>17.863</v>
      </c>
      <c r="P5080" s="10">
        <v>0</v>
      </c>
      <c r="Q5080" s="10">
        <v>0</v>
      </c>
      <c r="R5080" s="10">
        <v>0</v>
      </c>
    </row>
    <row r="5081" spans="1:18" ht="17" customHeight="1" x14ac:dyDescent="0.15">
      <c r="A5081" s="11" t="s">
        <v>27458</v>
      </c>
      <c r="B5081" s="1" t="s">
        <v>27459</v>
      </c>
      <c r="C5081" s="11" t="s">
        <v>27460</v>
      </c>
      <c r="D5081" s="11" t="s">
        <v>27460</v>
      </c>
      <c r="E5081" s="11" t="s">
        <v>27461</v>
      </c>
      <c r="F5081" s="11" t="s">
        <v>27387</v>
      </c>
      <c r="G5081" s="11" t="s">
        <v>27462</v>
      </c>
      <c r="H5081" s="11" t="s">
        <v>27334</v>
      </c>
      <c r="I5081" s="11" t="str">
        <f>HYPERLINK("http://www.unideaintimo.it/","www.unideaintimo.it")</f>
        <v>www.unideaintimo.it</v>
      </c>
      <c r="J5081" s="12">
        <v>0</v>
      </c>
      <c r="K5081" s="14" t="s">
        <v>27327</v>
      </c>
      <c r="L5081" s="13">
        <v>0</v>
      </c>
      <c r="M5081" s="12">
        <v>-13.311999999999999</v>
      </c>
      <c r="N5081" s="14" t="s">
        <v>27327</v>
      </c>
      <c r="O5081" s="12">
        <v>-13.311999999999999</v>
      </c>
      <c r="P5081" s="12">
        <v>0</v>
      </c>
      <c r="Q5081" s="14" t="s">
        <v>27327</v>
      </c>
      <c r="R5081" s="12">
        <v>0</v>
      </c>
    </row>
    <row r="5082" spans="1:18" ht="17" customHeight="1" x14ac:dyDescent="0.15">
      <c r="A5082" s="8" t="s">
        <v>27463</v>
      </c>
      <c r="B5082" s="9" t="s">
        <v>27464</v>
      </c>
      <c r="C5082" s="8" t="s">
        <v>27465</v>
      </c>
      <c r="D5082" s="8" t="s">
        <v>27465</v>
      </c>
      <c r="E5082" s="8" t="s">
        <v>27466</v>
      </c>
      <c r="F5082" s="8" t="s">
        <v>27339</v>
      </c>
      <c r="G5082" s="8" t="s">
        <v>27467</v>
      </c>
      <c r="H5082" s="8" t="s">
        <v>27365</v>
      </c>
      <c r="I5082" s="8" t="str">
        <f>HYPERLINK("http://www.brunomagli.it/","www.brunomagli.it")</f>
        <v>www.brunomagli.it</v>
      </c>
      <c r="J5082" s="10">
        <v>0</v>
      </c>
      <c r="K5082" s="10">
        <v>0</v>
      </c>
      <c r="L5082" s="10">
        <v>0</v>
      </c>
      <c r="M5082" s="10">
        <v>-1.4790000000000001</v>
      </c>
      <c r="N5082" s="10">
        <v>-1.4790000000000001</v>
      </c>
      <c r="O5082" s="10">
        <v>-0.66400000000000003</v>
      </c>
      <c r="P5082" s="10">
        <v>0</v>
      </c>
      <c r="Q5082" s="10">
        <v>0</v>
      </c>
      <c r="R5082" s="10">
        <v>0</v>
      </c>
    </row>
    <row r="5083" spans="1:18" ht="17" customHeight="1" x14ac:dyDescent="0.15">
      <c r="A5083" s="11" t="s">
        <v>27468</v>
      </c>
      <c r="B5083" s="1" t="s">
        <v>27469</v>
      </c>
      <c r="C5083" s="11" t="s">
        <v>27470</v>
      </c>
      <c r="D5083" s="11" t="s">
        <v>27470</v>
      </c>
      <c r="E5083" s="11" t="s">
        <v>27471</v>
      </c>
      <c r="F5083" s="11" t="s">
        <v>27416</v>
      </c>
      <c r="G5083" s="11" t="s">
        <v>27467</v>
      </c>
      <c r="H5083" s="11" t="s">
        <v>27365</v>
      </c>
      <c r="I5083" s="11" t="str">
        <f>HYPERLINK("http://www.virginiabizzi.com/","www.virginiabizzi.com")</f>
        <v>www.virginiabizzi.com</v>
      </c>
      <c r="J5083" s="12">
        <v>0</v>
      </c>
      <c r="K5083" s="12">
        <v>0</v>
      </c>
      <c r="L5083" s="13">
        <v>0</v>
      </c>
      <c r="M5083" s="12">
        <v>-10.02</v>
      </c>
      <c r="N5083" s="12">
        <v>-7.899</v>
      </c>
      <c r="O5083" s="12">
        <v>-9.4499999999999993</v>
      </c>
      <c r="P5083" s="12">
        <v>0</v>
      </c>
      <c r="Q5083" s="12">
        <v>0</v>
      </c>
      <c r="R5083" s="12">
        <v>0</v>
      </c>
    </row>
    <row r="5084" spans="1:18" ht="17" customHeight="1" x14ac:dyDescent="0.15">
      <c r="A5084" s="8" t="s">
        <v>27472</v>
      </c>
      <c r="B5084" s="9" t="s">
        <v>27473</v>
      </c>
      <c r="C5084" s="8" t="s">
        <v>27474</v>
      </c>
      <c r="D5084" s="8" t="s">
        <v>27474</v>
      </c>
      <c r="E5084" s="8" t="s">
        <v>27475</v>
      </c>
      <c r="F5084" s="8" t="s">
        <v>27476</v>
      </c>
      <c r="G5084" s="8" t="s">
        <v>27477</v>
      </c>
      <c r="H5084" s="8" t="s">
        <v>27346</v>
      </c>
      <c r="I5084" s="8" t="str">
        <f>HYPERLINK("http://www.gandino-1860.com/","www.gandino-1860.com")</f>
        <v>www.gandino-1860.com</v>
      </c>
      <c r="J5084" s="10">
        <v>0</v>
      </c>
      <c r="K5084" s="10">
        <v>0</v>
      </c>
      <c r="L5084" s="10">
        <v>0</v>
      </c>
      <c r="M5084" s="10">
        <v>-0.94199999999999995</v>
      </c>
      <c r="N5084" s="10">
        <v>-0.94199999999999995</v>
      </c>
      <c r="O5084" s="10">
        <v>-1.1459999999999999</v>
      </c>
      <c r="P5084" s="10">
        <v>0</v>
      </c>
      <c r="Q5084" s="10">
        <v>0</v>
      </c>
      <c r="R5084" s="10">
        <v>0</v>
      </c>
    </row>
    <row r="5085" spans="1:18" ht="17" customHeight="1" x14ac:dyDescent="0.15">
      <c r="A5085" s="11" t="s">
        <v>27478</v>
      </c>
      <c r="B5085" s="1" t="s">
        <v>27479</v>
      </c>
      <c r="C5085" s="11" t="s">
        <v>27480</v>
      </c>
      <c r="D5085" s="11" t="s">
        <v>27480</v>
      </c>
      <c r="E5085" s="11" t="s">
        <v>27481</v>
      </c>
      <c r="F5085" s="11" t="s">
        <v>27387</v>
      </c>
      <c r="G5085" s="11" t="s">
        <v>27482</v>
      </c>
      <c r="H5085" s="11" t="s">
        <v>27334</v>
      </c>
      <c r="I5085" s="11" t="str">
        <f>HYPERLINK("http://www.truzzi1890.com/","www.truzzi1890.com")</f>
        <v>www.truzzi1890.com</v>
      </c>
      <c r="J5085" s="12">
        <v>0</v>
      </c>
      <c r="K5085" s="12">
        <v>0</v>
      </c>
      <c r="L5085" s="13">
        <v>0</v>
      </c>
      <c r="M5085" s="12">
        <v>-5.74</v>
      </c>
      <c r="N5085" s="12">
        <v>-5.74</v>
      </c>
      <c r="O5085" s="12">
        <v>-10.726000000000001</v>
      </c>
      <c r="P5085" s="12">
        <v>0</v>
      </c>
      <c r="Q5085" s="12">
        <v>0</v>
      </c>
      <c r="R5085" s="12">
        <v>0</v>
      </c>
    </row>
    <row r="5086" spans="1:18" ht="17" customHeight="1" x14ac:dyDescent="0.15">
      <c r="A5086" s="8" t="s">
        <v>27483</v>
      </c>
      <c r="B5086" s="9" t="s">
        <v>27484</v>
      </c>
      <c r="C5086" s="8" t="s">
        <v>27485</v>
      </c>
      <c r="D5086" s="8" t="s">
        <v>27485</v>
      </c>
      <c r="E5086" s="8" t="s">
        <v>27486</v>
      </c>
      <c r="F5086" s="8" t="s">
        <v>27351</v>
      </c>
      <c r="G5086" s="8" t="s">
        <v>27487</v>
      </c>
      <c r="H5086" s="8" t="s">
        <v>27334</v>
      </c>
      <c r="I5086" s="8" t="str">
        <f>HYPERLINK("http://ligni.it/","ligni.it")</f>
        <v>ligni.it</v>
      </c>
      <c r="J5086" s="10">
        <v>0</v>
      </c>
      <c r="K5086" s="15" t="s">
        <v>27327</v>
      </c>
      <c r="L5086" s="10">
        <v>0</v>
      </c>
      <c r="M5086" s="10">
        <v>-5.4059999999999997</v>
      </c>
      <c r="N5086" s="15" t="s">
        <v>27327</v>
      </c>
      <c r="O5086" s="10">
        <v>-5.4059999999999997</v>
      </c>
      <c r="P5086" s="10">
        <v>0</v>
      </c>
      <c r="Q5086" s="15" t="s">
        <v>27327</v>
      </c>
      <c r="R5086" s="10">
        <v>0</v>
      </c>
    </row>
    <row r="5087" spans="1:18" ht="17" customHeight="1" x14ac:dyDescent="0.15">
      <c r="A5087" s="11" t="s">
        <v>27488</v>
      </c>
      <c r="B5087" s="1" t="s">
        <v>27489</v>
      </c>
      <c r="C5087" s="11" t="s">
        <v>27490</v>
      </c>
      <c r="D5087" s="11" t="s">
        <v>27490</v>
      </c>
      <c r="E5087" s="11" t="s">
        <v>27491</v>
      </c>
      <c r="F5087" s="11" t="s">
        <v>27452</v>
      </c>
      <c r="G5087" s="11" t="s">
        <v>27482</v>
      </c>
      <c r="H5087" s="11" t="s">
        <v>27334</v>
      </c>
      <c r="I5087" s="11" t="str">
        <f>HYPERLINK("http://www.maglificiocarnevale.it/","www.maglificiocarnevale.it")</f>
        <v>www.maglificiocarnevale.it</v>
      </c>
      <c r="J5087" s="12">
        <v>0</v>
      </c>
      <c r="K5087" s="12">
        <v>0</v>
      </c>
      <c r="L5087" s="13">
        <v>0</v>
      </c>
      <c r="M5087" s="12">
        <v>-5.0060000000000002</v>
      </c>
      <c r="N5087" s="12">
        <v>-5.0060000000000002</v>
      </c>
      <c r="O5087" s="12">
        <v>-23.335999999999999</v>
      </c>
      <c r="P5087" s="12">
        <v>0</v>
      </c>
      <c r="Q5087" s="12">
        <v>0</v>
      </c>
      <c r="R5087" s="12">
        <v>0</v>
      </c>
    </row>
    <row r="5088" spans="1:18" ht="17" customHeight="1" x14ac:dyDescent="0.15">
      <c r="A5088" s="8" t="s">
        <v>27492</v>
      </c>
      <c r="B5088" s="9" t="s">
        <v>27493</v>
      </c>
      <c r="C5088" s="8" t="s">
        <v>27494</v>
      </c>
      <c r="D5088" s="8" t="s">
        <v>27494</v>
      </c>
      <c r="E5088" s="8" t="s">
        <v>27495</v>
      </c>
      <c r="F5088" s="8" t="s">
        <v>27344</v>
      </c>
      <c r="G5088" s="8" t="s">
        <v>27482</v>
      </c>
      <c r="H5088" s="8" t="s">
        <v>27334</v>
      </c>
      <c r="I5088" s="8" t="str">
        <f>HYPERLINK("http://www.daddysrl.it/","www.daddysrl.it")</f>
        <v>www.daddysrl.it</v>
      </c>
      <c r="J5088" s="10">
        <v>0</v>
      </c>
      <c r="K5088" s="15" t="s">
        <v>27327</v>
      </c>
      <c r="L5088" s="10">
        <v>0</v>
      </c>
      <c r="M5088" s="10">
        <v>7.8E-2</v>
      </c>
      <c r="N5088" s="15" t="s">
        <v>27327</v>
      </c>
      <c r="O5088" s="10">
        <v>7.8E-2</v>
      </c>
      <c r="P5088" s="10">
        <v>0</v>
      </c>
      <c r="Q5088" s="15" t="s">
        <v>27327</v>
      </c>
      <c r="R5088" s="10">
        <v>0</v>
      </c>
    </row>
    <row r="5089" spans="1:18" ht="17" customHeight="1" x14ac:dyDescent="0.15">
      <c r="A5089" s="11" t="s">
        <v>27496</v>
      </c>
      <c r="B5089" s="1" t="s">
        <v>27497</v>
      </c>
      <c r="C5089" s="11" t="s">
        <v>27498</v>
      </c>
      <c r="D5089" s="11" t="s">
        <v>27498</v>
      </c>
      <c r="E5089" s="11" t="s">
        <v>27499</v>
      </c>
      <c r="F5089" s="11" t="s">
        <v>27500</v>
      </c>
      <c r="G5089" s="11" t="s">
        <v>27501</v>
      </c>
      <c r="H5089" s="11" t="s">
        <v>27502</v>
      </c>
      <c r="I5089" s="11" t="str">
        <f>HYPERLINK("http://www.icap-srl.com/","http://www.icap-srl.com")</f>
        <v>http://www.icap-srl.com</v>
      </c>
      <c r="J5089" s="12">
        <v>0</v>
      </c>
      <c r="K5089" s="12">
        <v>0</v>
      </c>
      <c r="L5089" s="13">
        <v>0</v>
      </c>
      <c r="M5089" s="12">
        <v>21.722999999999999</v>
      </c>
      <c r="N5089" s="12">
        <v>21.722999999999999</v>
      </c>
      <c r="O5089" s="12">
        <v>5.4450000000000003</v>
      </c>
      <c r="P5089" s="12">
        <v>0</v>
      </c>
      <c r="Q5089" s="12">
        <v>0</v>
      </c>
      <c r="R5089" s="12">
        <v>0</v>
      </c>
    </row>
    <row r="5090" spans="1:18" ht="29.5" customHeight="1" x14ac:dyDescent="0.15">
      <c r="A5090" s="8" t="s">
        <v>27503</v>
      </c>
      <c r="B5090" s="9" t="s">
        <v>27504</v>
      </c>
      <c r="C5090" s="8" t="s">
        <v>27505</v>
      </c>
      <c r="D5090" s="8" t="s">
        <v>27505</v>
      </c>
      <c r="E5090" s="8" t="s">
        <v>27506</v>
      </c>
      <c r="F5090" s="8" t="s">
        <v>27507</v>
      </c>
      <c r="G5090" s="8" t="s">
        <v>27501</v>
      </c>
      <c r="H5090" s="8" t="s">
        <v>27502</v>
      </c>
      <c r="I5090" s="8" t="str">
        <f>HYPERLINK("http://www.giovannasbiroli.it/","http://www.giovannasbiroli.it")</f>
        <v>http://www.giovannasbiroli.it</v>
      </c>
      <c r="J5090" s="10">
        <v>0</v>
      </c>
      <c r="K5090" s="15" t="s">
        <v>27508</v>
      </c>
      <c r="L5090" s="10">
        <v>0</v>
      </c>
      <c r="M5090" s="10">
        <v>-2538.1909999999998</v>
      </c>
      <c r="N5090" s="15" t="s">
        <v>27508</v>
      </c>
      <c r="O5090" s="10">
        <v>-2538.1909999999998</v>
      </c>
      <c r="P5090" s="10">
        <v>0</v>
      </c>
      <c r="Q5090" s="15" t="s">
        <v>27508</v>
      </c>
      <c r="R5090" s="10">
        <v>0</v>
      </c>
    </row>
    <row r="5091" spans="1:18" ht="17" customHeight="1" x14ac:dyDescent="0.15">
      <c r="A5091" s="11" t="s">
        <v>27509</v>
      </c>
      <c r="B5091" s="1" t="s">
        <v>27510</v>
      </c>
      <c r="C5091" s="11" t="s">
        <v>27511</v>
      </c>
      <c r="D5091" s="11" t="s">
        <v>27511</v>
      </c>
      <c r="E5091" s="11" t="s">
        <v>27512</v>
      </c>
      <c r="F5091" s="11" t="s">
        <v>27513</v>
      </c>
      <c r="G5091" s="11" t="s">
        <v>27514</v>
      </c>
      <c r="H5091" s="11" t="s">
        <v>27515</v>
      </c>
      <c r="I5091" s="11" t="str">
        <f>HYPERLINK("http://www.leatherplus.it/","www.leatherplus.it")</f>
        <v>www.leatherplus.it</v>
      </c>
      <c r="J5091" s="12">
        <v>0</v>
      </c>
      <c r="K5091" s="12">
        <v>0</v>
      </c>
      <c r="L5091" s="13">
        <v>0</v>
      </c>
      <c r="M5091" s="12">
        <v>19.555</v>
      </c>
      <c r="N5091" s="12">
        <v>19.555</v>
      </c>
      <c r="O5091" s="12">
        <v>-1.841</v>
      </c>
      <c r="P5091" s="12">
        <v>0</v>
      </c>
      <c r="Q5091" s="12">
        <v>0</v>
      </c>
      <c r="R5091" s="12">
        <v>0</v>
      </c>
    </row>
    <row r="5092" spans="1:18" ht="29.5" customHeight="1" x14ac:dyDescent="0.15">
      <c r="A5092" s="8" t="s">
        <v>27516</v>
      </c>
      <c r="B5092" s="9" t="s">
        <v>27517</v>
      </c>
      <c r="C5092" s="8" t="s">
        <v>27518</v>
      </c>
      <c r="D5092" s="8" t="s">
        <v>27518</v>
      </c>
      <c r="E5092" s="8" t="s">
        <v>27519</v>
      </c>
      <c r="F5092" s="8" t="s">
        <v>27520</v>
      </c>
      <c r="G5092" s="8" t="s">
        <v>27514</v>
      </c>
      <c r="H5092" s="8" t="s">
        <v>27515</v>
      </c>
      <c r="I5092" s="8" t="str">
        <f>HYPERLINK("http://www.joyitalia.com/","www.joyitalia.com")</f>
        <v>www.joyitalia.com</v>
      </c>
      <c r="J5092" s="10">
        <v>0</v>
      </c>
      <c r="K5092" s="10">
        <v>0</v>
      </c>
      <c r="L5092" s="10">
        <v>0</v>
      </c>
      <c r="M5092" s="10">
        <v>-20.465</v>
      </c>
      <c r="N5092" s="10">
        <v>-20.465</v>
      </c>
      <c r="O5092" s="10">
        <v>-4.798</v>
      </c>
      <c r="P5092" s="10">
        <v>0</v>
      </c>
      <c r="Q5092" s="10">
        <v>0</v>
      </c>
      <c r="R5092" s="10">
        <v>0</v>
      </c>
    </row>
    <row r="5093" spans="1:18" ht="29.5" customHeight="1" x14ac:dyDescent="0.15">
      <c r="A5093" s="11" t="s">
        <v>27521</v>
      </c>
      <c r="B5093" s="1" t="s">
        <v>27522</v>
      </c>
      <c r="C5093" s="11" t="s">
        <v>27523</v>
      </c>
      <c r="D5093" s="11" t="s">
        <v>27524</v>
      </c>
      <c r="E5093" s="11" t="s">
        <v>27525</v>
      </c>
      <c r="F5093" s="11" t="s">
        <v>27513</v>
      </c>
      <c r="G5093" s="11" t="s">
        <v>27514</v>
      </c>
      <c r="H5093" s="11" t="s">
        <v>27515</v>
      </c>
      <c r="I5093" s="11" t="str">
        <f>HYPERLINK("http://www.sevenstars.it/","www.sevenstars.it")</f>
        <v>www.sevenstars.it</v>
      </c>
      <c r="J5093" s="12">
        <v>0</v>
      </c>
      <c r="K5093" s="14" t="s">
        <v>27508</v>
      </c>
      <c r="L5093" s="13">
        <v>0</v>
      </c>
      <c r="M5093" s="12">
        <v>-2018.692</v>
      </c>
      <c r="N5093" s="14" t="s">
        <v>27508</v>
      </c>
      <c r="O5093" s="12">
        <v>-2018.692</v>
      </c>
      <c r="P5093" s="12">
        <v>0</v>
      </c>
      <c r="Q5093" s="14" t="s">
        <v>27508</v>
      </c>
      <c r="R5093" s="12">
        <v>0</v>
      </c>
    </row>
    <row r="5094" spans="1:18" ht="17" customHeight="1" x14ac:dyDescent="0.15">
      <c r="A5094" s="8" t="s">
        <v>27526</v>
      </c>
      <c r="B5094" s="9" t="s">
        <v>27527</v>
      </c>
      <c r="C5094" s="8" t="s">
        <v>27528</v>
      </c>
      <c r="D5094" s="8" t="s">
        <v>27528</v>
      </c>
      <c r="E5094" s="8" t="s">
        <v>27529</v>
      </c>
      <c r="F5094" s="8" t="s">
        <v>27500</v>
      </c>
      <c r="G5094" s="8" t="s">
        <v>27530</v>
      </c>
      <c r="H5094" s="8" t="s">
        <v>27531</v>
      </c>
      <c r="I5094" s="8" t="str">
        <f>HYPERLINK("http://www.confezionikety.it/","www.confezionikety.it")</f>
        <v>www.confezionikety.it</v>
      </c>
      <c r="J5094" s="10">
        <v>0</v>
      </c>
      <c r="K5094" s="15" t="s">
        <v>27508</v>
      </c>
      <c r="L5094" s="10">
        <v>0</v>
      </c>
      <c r="M5094" s="10">
        <v>9.7210000000000001</v>
      </c>
      <c r="N5094" s="15" t="s">
        <v>27508</v>
      </c>
      <c r="O5094" s="10">
        <v>9.7210000000000001</v>
      </c>
      <c r="P5094" s="10">
        <v>0</v>
      </c>
      <c r="Q5094" s="15" t="s">
        <v>27508</v>
      </c>
      <c r="R5094" s="10">
        <v>0</v>
      </c>
    </row>
    <row r="5095" spans="1:18" ht="29.5" customHeight="1" x14ac:dyDescent="0.15">
      <c r="A5095" s="11" t="s">
        <v>27532</v>
      </c>
      <c r="B5095" s="1" t="s">
        <v>27533</v>
      </c>
      <c r="C5095" s="11" t="s">
        <v>27534</v>
      </c>
      <c r="D5095" s="11" t="s">
        <v>27534</v>
      </c>
      <c r="E5095" s="11" t="s">
        <v>27535</v>
      </c>
      <c r="F5095" s="11" t="s">
        <v>27536</v>
      </c>
      <c r="G5095" s="11" t="s">
        <v>27537</v>
      </c>
      <c r="H5095" s="11" t="s">
        <v>27538</v>
      </c>
      <c r="I5095" s="11" t="str">
        <f>HYPERLINK("http://www.splendorplast.it/","http://www.splendorplast.it")</f>
        <v>http://www.splendorplast.it</v>
      </c>
      <c r="J5095" s="12">
        <v>0</v>
      </c>
      <c r="K5095" s="14" t="s">
        <v>27508</v>
      </c>
      <c r="L5095" s="13">
        <v>0</v>
      </c>
      <c r="M5095" s="12">
        <v>-29.236999999999998</v>
      </c>
      <c r="N5095" s="14" t="s">
        <v>27508</v>
      </c>
      <c r="O5095" s="12">
        <v>-29.236999999999998</v>
      </c>
      <c r="P5095" s="12">
        <v>0</v>
      </c>
      <c r="Q5095" s="14" t="s">
        <v>27508</v>
      </c>
      <c r="R5095" s="12">
        <v>0</v>
      </c>
    </row>
    <row r="5096" spans="1:18" ht="29.5" customHeight="1" x14ac:dyDescent="0.15">
      <c r="A5096" s="8" t="s">
        <v>27539</v>
      </c>
      <c r="B5096" s="9" t="s">
        <v>27540</v>
      </c>
      <c r="C5096" s="8" t="s">
        <v>27541</v>
      </c>
      <c r="D5096" s="8" t="s">
        <v>27541</v>
      </c>
      <c r="E5096" s="8" t="s">
        <v>27542</v>
      </c>
      <c r="F5096" s="8" t="s">
        <v>27543</v>
      </c>
      <c r="G5096" s="8" t="s">
        <v>27544</v>
      </c>
      <c r="H5096" s="8" t="s">
        <v>27545</v>
      </c>
      <c r="I5096" s="8" t="str">
        <f>HYPERLINK("http://www.itholding.it/","www.itholding.it")</f>
        <v>www.itholding.it</v>
      </c>
      <c r="J5096" s="10">
        <v>443149.84700000001</v>
      </c>
      <c r="K5096" s="15" t="s">
        <v>27508</v>
      </c>
      <c r="L5096" s="15" t="s">
        <v>27508</v>
      </c>
      <c r="M5096" s="10">
        <v>18323.248</v>
      </c>
      <c r="N5096" s="15" t="s">
        <v>27508</v>
      </c>
      <c r="O5096" s="15" t="s">
        <v>27508</v>
      </c>
      <c r="P5096" s="10">
        <v>929</v>
      </c>
      <c r="Q5096" s="15" t="s">
        <v>27508</v>
      </c>
      <c r="R5096" s="15" t="s">
        <v>27508</v>
      </c>
    </row>
    <row r="5097" spans="1:18" ht="17" customHeight="1" x14ac:dyDescent="0.15">
      <c r="A5097" s="11" t="s">
        <v>27546</v>
      </c>
      <c r="B5097" s="1" t="s">
        <v>27547</v>
      </c>
      <c r="C5097" s="11" t="s">
        <v>27548</v>
      </c>
      <c r="D5097" s="11" t="s">
        <v>27548</v>
      </c>
      <c r="E5097" s="11" t="s">
        <v>27549</v>
      </c>
      <c r="F5097" s="11" t="s">
        <v>27550</v>
      </c>
      <c r="G5097" s="11" t="s">
        <v>27551</v>
      </c>
      <c r="H5097" s="11" t="s">
        <v>27552</v>
      </c>
      <c r="I5097" s="11" t="str">
        <f>HYPERLINK("http://www.oberalp.com/","www.oberalp.com")</f>
        <v>www.oberalp.com</v>
      </c>
      <c r="J5097" s="12">
        <v>151309.73300000001</v>
      </c>
      <c r="K5097" s="14" t="s">
        <v>27508</v>
      </c>
      <c r="L5097" s="16" t="s">
        <v>27508</v>
      </c>
      <c r="M5097" s="12">
        <v>2303.299</v>
      </c>
      <c r="N5097" s="14" t="s">
        <v>27508</v>
      </c>
      <c r="O5097" s="14" t="s">
        <v>27508</v>
      </c>
      <c r="P5097" s="12">
        <v>277</v>
      </c>
      <c r="Q5097" s="14" t="s">
        <v>27508</v>
      </c>
      <c r="R5097" s="14" t="s">
        <v>27508</v>
      </c>
    </row>
    <row r="5098" spans="1:18" ht="17" customHeight="1" x14ac:dyDescent="0.15">
      <c r="A5098" s="8" t="s">
        <v>27553</v>
      </c>
      <c r="B5098" s="9" t="s">
        <v>27554</v>
      </c>
      <c r="C5098" s="8" t="s">
        <v>27555</v>
      </c>
      <c r="D5098" s="8" t="s">
        <v>27555</v>
      </c>
      <c r="E5098" s="8" t="s">
        <v>27556</v>
      </c>
      <c r="F5098" s="8" t="s">
        <v>27557</v>
      </c>
      <c r="G5098" s="8" t="s">
        <v>27558</v>
      </c>
      <c r="H5098" s="8" t="s">
        <v>27559</v>
      </c>
      <c r="I5098" s="8" t="str">
        <f>HYPERLINK("http://www.maisonmargiela.com/","www.maisonmargiela.com")</f>
        <v>www.maisonmargiela.com</v>
      </c>
      <c r="J5098" s="10">
        <v>100619.02899999999</v>
      </c>
      <c r="K5098" s="15" t="s">
        <v>27508</v>
      </c>
      <c r="L5098" s="15" t="s">
        <v>27508</v>
      </c>
      <c r="M5098" s="10">
        <v>-3176.3560000000002</v>
      </c>
      <c r="N5098" s="15" t="s">
        <v>27508</v>
      </c>
      <c r="O5098" s="15" t="s">
        <v>27508</v>
      </c>
      <c r="P5098" s="10">
        <v>54</v>
      </c>
      <c r="Q5098" s="15" t="s">
        <v>27508</v>
      </c>
      <c r="R5098" s="15" t="s">
        <v>27508</v>
      </c>
    </row>
    <row r="5099" spans="1:18" ht="17" customHeight="1" x14ac:dyDescent="0.15">
      <c r="A5099" s="11" t="s">
        <v>27560</v>
      </c>
      <c r="B5099" s="1" t="s">
        <v>27561</v>
      </c>
      <c r="C5099" s="11" t="s">
        <v>27562</v>
      </c>
      <c r="D5099" s="11" t="s">
        <v>27563</v>
      </c>
      <c r="E5099" s="11" t="s">
        <v>27564</v>
      </c>
      <c r="F5099" s="11" t="s">
        <v>27500</v>
      </c>
      <c r="G5099" s="11" t="s">
        <v>27544</v>
      </c>
      <c r="H5099" s="11" t="s">
        <v>27545</v>
      </c>
      <c r="I5099" s="11" t="str">
        <f>HYPERLINK("http://www.malospa.it/","www.malospa.it")</f>
        <v>www.malospa.it</v>
      </c>
      <c r="J5099" s="12">
        <v>48914.832000000002</v>
      </c>
      <c r="K5099" s="14" t="s">
        <v>27508</v>
      </c>
      <c r="L5099" s="16" t="s">
        <v>27508</v>
      </c>
      <c r="M5099" s="12">
        <v>-7391.4840000000004</v>
      </c>
      <c r="N5099" s="14" t="s">
        <v>27508</v>
      </c>
      <c r="O5099" s="14" t="s">
        <v>27508</v>
      </c>
      <c r="P5099" s="12">
        <v>209</v>
      </c>
      <c r="Q5099" s="14" t="s">
        <v>27508</v>
      </c>
      <c r="R5099" s="14" t="s">
        <v>27508</v>
      </c>
    </row>
    <row r="5100" spans="1:18" ht="17" customHeight="1" x14ac:dyDescent="0.15">
      <c r="A5100" s="8" t="s">
        <v>27565</v>
      </c>
      <c r="B5100" s="9" t="s">
        <v>27566</v>
      </c>
      <c r="C5100" s="8" t="s">
        <v>27567</v>
      </c>
      <c r="D5100" s="8" t="s">
        <v>27567</v>
      </c>
      <c r="E5100" s="8" t="s">
        <v>27568</v>
      </c>
      <c r="F5100" s="8" t="s">
        <v>27569</v>
      </c>
      <c r="G5100" s="8" t="s">
        <v>27570</v>
      </c>
      <c r="H5100" s="8" t="s">
        <v>27502</v>
      </c>
      <c r="I5100" s="8" t="str">
        <f>HYPERLINK("http://italianfashionteam.it/","italianfashionteam.it")</f>
        <v>italianfashionteam.it</v>
      </c>
      <c r="J5100" s="10">
        <v>48270.589</v>
      </c>
      <c r="K5100" s="10">
        <v>48270.589</v>
      </c>
      <c r="L5100" s="15" t="s">
        <v>27508</v>
      </c>
      <c r="M5100" s="10">
        <v>5706.8580000000002</v>
      </c>
      <c r="N5100" s="10">
        <v>5706.8580000000002</v>
      </c>
      <c r="O5100" s="15" t="s">
        <v>27508</v>
      </c>
      <c r="P5100" s="15" t="s">
        <v>27508</v>
      </c>
      <c r="Q5100" s="15" t="s">
        <v>27508</v>
      </c>
      <c r="R5100" s="15" t="s">
        <v>27508</v>
      </c>
    </row>
    <row r="5101" spans="1:18" ht="17" customHeight="1" x14ac:dyDescent="0.15">
      <c r="A5101" s="11" t="s">
        <v>27571</v>
      </c>
      <c r="B5101" s="1" t="s">
        <v>27572</v>
      </c>
      <c r="C5101" s="11" t="s">
        <v>27573</v>
      </c>
      <c r="D5101" s="11" t="s">
        <v>27573</v>
      </c>
      <c r="E5101" s="11" t="s">
        <v>27574</v>
      </c>
      <c r="F5101" s="11" t="s">
        <v>27569</v>
      </c>
      <c r="G5101" s="11" t="s">
        <v>27575</v>
      </c>
      <c r="H5101" s="11" t="s">
        <v>27576</v>
      </c>
      <c r="I5101" s="11" t="str">
        <f>HYPERLINK("http://www.diesel.com/","www.diesel.com")</f>
        <v>www.diesel.com</v>
      </c>
      <c r="J5101" s="12">
        <v>27638.061000000002</v>
      </c>
      <c r="K5101" s="14" t="s">
        <v>27508</v>
      </c>
      <c r="L5101" s="16" t="s">
        <v>27508</v>
      </c>
      <c r="M5101" s="12">
        <v>1365.221</v>
      </c>
      <c r="N5101" s="14" t="s">
        <v>27508</v>
      </c>
      <c r="O5101" s="14" t="s">
        <v>27508</v>
      </c>
      <c r="P5101" s="12">
        <v>52</v>
      </c>
      <c r="Q5101" s="14" t="s">
        <v>27508</v>
      </c>
      <c r="R5101" s="14" t="s">
        <v>27508</v>
      </c>
    </row>
    <row r="5102" spans="1:18" ht="17" customHeight="1" x14ac:dyDescent="0.15">
      <c r="A5102" s="8" t="s">
        <v>27577</v>
      </c>
      <c r="B5102" s="9" t="s">
        <v>27578</v>
      </c>
      <c r="C5102" s="8" t="s">
        <v>27579</v>
      </c>
      <c r="D5102" s="8" t="s">
        <v>27580</v>
      </c>
      <c r="E5102" s="8" t="s">
        <v>27581</v>
      </c>
      <c r="F5102" s="8" t="s">
        <v>27569</v>
      </c>
      <c r="G5102" s="8" t="s">
        <v>27582</v>
      </c>
      <c r="H5102" s="8" t="s">
        <v>27515</v>
      </c>
      <c r="I5102" s="8" t="str">
        <f>HYPERLINK("http://www.fidelitymelluso.it/","www.fidelitymelluso.it")</f>
        <v>www.fidelitymelluso.it</v>
      </c>
      <c r="J5102" s="10">
        <v>25709.928</v>
      </c>
      <c r="K5102" s="10">
        <v>25709.928</v>
      </c>
      <c r="L5102" s="15" t="s">
        <v>27508</v>
      </c>
      <c r="M5102" s="10">
        <v>44.337000000000003</v>
      </c>
      <c r="N5102" s="10">
        <v>44.337000000000003</v>
      </c>
      <c r="O5102" s="15" t="s">
        <v>27508</v>
      </c>
      <c r="P5102" s="10">
        <v>125</v>
      </c>
      <c r="Q5102" s="10">
        <v>125</v>
      </c>
      <c r="R5102" s="15" t="s">
        <v>27508</v>
      </c>
    </row>
    <row r="5103" spans="1:18" ht="17" customHeight="1" x14ac:dyDescent="0.15">
      <c r="A5103" s="11" t="s">
        <v>27583</v>
      </c>
      <c r="B5103" s="1" t="s">
        <v>27584</v>
      </c>
      <c r="C5103" s="11" t="s">
        <v>27585</v>
      </c>
      <c r="D5103" s="11" t="s">
        <v>27585</v>
      </c>
      <c r="E5103" s="11" t="s">
        <v>27586</v>
      </c>
      <c r="F5103" s="11" t="s">
        <v>27569</v>
      </c>
      <c r="G5103" s="11" t="s">
        <v>27587</v>
      </c>
      <c r="H5103" s="11" t="s">
        <v>27531</v>
      </c>
      <c r="I5103" s="11" t="str">
        <f>HYPERLINK("http://www.bromasrl.it/","www.bromasrl.it")</f>
        <v>www.bromasrl.it</v>
      </c>
      <c r="J5103" s="12">
        <v>24018.755000000001</v>
      </c>
      <c r="K5103" s="12">
        <v>24018.755000000001</v>
      </c>
      <c r="L5103" s="16" t="s">
        <v>27508</v>
      </c>
      <c r="M5103" s="12">
        <v>857.10500000000002</v>
      </c>
      <c r="N5103" s="12">
        <v>857.10500000000002</v>
      </c>
      <c r="O5103" s="14" t="s">
        <v>27508</v>
      </c>
      <c r="P5103" s="12">
        <v>68</v>
      </c>
      <c r="Q5103" s="12">
        <v>68</v>
      </c>
      <c r="R5103" s="14" t="s">
        <v>27508</v>
      </c>
    </row>
    <row r="5104" spans="1:18" ht="17" customHeight="1" x14ac:dyDescent="0.15">
      <c r="A5104" s="8" t="s">
        <v>27588</v>
      </c>
      <c r="B5104" s="9" t="s">
        <v>27589</v>
      </c>
      <c r="C5104" s="8" t="s">
        <v>27590</v>
      </c>
      <c r="D5104" s="8" t="s">
        <v>27590</v>
      </c>
      <c r="E5104" s="8" t="s">
        <v>27591</v>
      </c>
      <c r="F5104" s="8" t="s">
        <v>27592</v>
      </c>
      <c r="G5104" s="8" t="s">
        <v>27582</v>
      </c>
      <c r="H5104" s="8" t="s">
        <v>27515</v>
      </c>
      <c r="I5104" s="8" t="str">
        <f>HYPERLINK("http://www.imaestriartigiani.it/","www.imaestriartigiani.it")</f>
        <v>www.imaestriartigiani.it</v>
      </c>
      <c r="J5104" s="10">
        <v>18651.685000000001</v>
      </c>
      <c r="K5104" s="15" t="s">
        <v>27508</v>
      </c>
      <c r="L5104" s="15" t="s">
        <v>27508</v>
      </c>
      <c r="M5104" s="10">
        <v>1848.2329999999999</v>
      </c>
      <c r="N5104" s="15" t="s">
        <v>27508</v>
      </c>
      <c r="O5104" s="15" t="s">
        <v>27508</v>
      </c>
      <c r="P5104" s="10">
        <v>29</v>
      </c>
      <c r="Q5104" s="15" t="s">
        <v>27508</v>
      </c>
      <c r="R5104" s="15" t="s">
        <v>27508</v>
      </c>
    </row>
    <row r="5105" spans="1:18" ht="17" customHeight="1" x14ac:dyDescent="0.15">
      <c r="A5105" s="11" t="s">
        <v>27593</v>
      </c>
      <c r="B5105" s="1" t="s">
        <v>27594</v>
      </c>
      <c r="C5105" s="11" t="s">
        <v>27595</v>
      </c>
      <c r="D5105" s="11" t="s">
        <v>27595</v>
      </c>
      <c r="E5105" s="11" t="s">
        <v>27596</v>
      </c>
      <c r="F5105" s="11" t="s">
        <v>27569</v>
      </c>
      <c r="G5105" s="11" t="s">
        <v>27597</v>
      </c>
      <c r="H5105" s="11" t="s">
        <v>27576</v>
      </c>
      <c r="I5105" s="11" t="str">
        <f>HYPERLINK("http://www.mondeox.it/","www.mondeox.it")</f>
        <v>www.mondeox.it</v>
      </c>
      <c r="J5105" s="12">
        <v>16007.887000000001</v>
      </c>
      <c r="K5105" s="12">
        <v>16007.887000000001</v>
      </c>
      <c r="L5105" s="16" t="s">
        <v>27508</v>
      </c>
      <c r="M5105" s="12">
        <v>174.60400000000001</v>
      </c>
      <c r="N5105" s="12">
        <v>174.60400000000001</v>
      </c>
      <c r="O5105" s="14" t="s">
        <v>27508</v>
      </c>
      <c r="P5105" s="12">
        <v>52</v>
      </c>
      <c r="Q5105" s="12">
        <v>52</v>
      </c>
      <c r="R5105" s="14" t="s">
        <v>27508</v>
      </c>
    </row>
    <row r="5106" spans="1:18" ht="17" customHeight="1" x14ac:dyDescent="0.15">
      <c r="A5106" s="8" t="s">
        <v>27598</v>
      </c>
      <c r="B5106" s="9" t="s">
        <v>27599</v>
      </c>
      <c r="C5106" s="8" t="s">
        <v>27600</v>
      </c>
      <c r="D5106" s="8" t="s">
        <v>27600</v>
      </c>
      <c r="E5106" s="8" t="s">
        <v>27601</v>
      </c>
      <c r="F5106" s="8" t="s">
        <v>27536</v>
      </c>
      <c r="G5106" s="8" t="s">
        <v>27602</v>
      </c>
      <c r="H5106" s="8" t="s">
        <v>27576</v>
      </c>
      <c r="I5106" s="8" t="str">
        <f>HYPERLINK("http://www.suolificioveneziano.it/","www.suolificioveneziano.it")</f>
        <v>www.suolificioveneziano.it</v>
      </c>
      <c r="J5106" s="10">
        <v>8268.1319999999996</v>
      </c>
      <c r="K5106" s="10">
        <v>8268.1319999999996</v>
      </c>
      <c r="L5106" s="15" t="s">
        <v>27508</v>
      </c>
      <c r="M5106" s="10">
        <v>1108.8989999999999</v>
      </c>
      <c r="N5106" s="10">
        <v>1108.8989999999999</v>
      </c>
      <c r="O5106" s="15" t="s">
        <v>27508</v>
      </c>
      <c r="P5106" s="10">
        <v>25</v>
      </c>
      <c r="Q5106" s="10">
        <v>25</v>
      </c>
      <c r="R5106" s="15" t="s">
        <v>27508</v>
      </c>
    </row>
    <row r="5107" spans="1:18" ht="17" customHeight="1" x14ac:dyDescent="0.15">
      <c r="A5107" s="11" t="s">
        <v>27603</v>
      </c>
      <c r="B5107" s="1" t="s">
        <v>27604</v>
      </c>
      <c r="C5107" s="11" t="s">
        <v>27605</v>
      </c>
      <c r="D5107" s="11" t="s">
        <v>27605</v>
      </c>
      <c r="E5107" s="11" t="s">
        <v>27606</v>
      </c>
      <c r="F5107" s="11" t="s">
        <v>27569</v>
      </c>
      <c r="G5107" s="11" t="s">
        <v>27602</v>
      </c>
      <c r="H5107" s="11" t="s">
        <v>27576</v>
      </c>
      <c r="I5107" s="11" t="str">
        <f>HYPERLINK("http://www.antoniobarbato.store/","www.antoniobarbato.store")</f>
        <v>www.antoniobarbato.store</v>
      </c>
      <c r="J5107" s="12">
        <v>7855.3890000000001</v>
      </c>
      <c r="K5107" s="12">
        <v>7855.3890000000001</v>
      </c>
      <c r="L5107" s="16" t="s">
        <v>27508</v>
      </c>
      <c r="M5107" s="12">
        <v>147.22399999999999</v>
      </c>
      <c r="N5107" s="12">
        <v>147.22399999999999</v>
      </c>
      <c r="O5107" s="14" t="s">
        <v>27508</v>
      </c>
      <c r="P5107" s="12">
        <v>64</v>
      </c>
      <c r="Q5107" s="12">
        <v>64</v>
      </c>
      <c r="R5107" s="14" t="s">
        <v>27508</v>
      </c>
    </row>
    <row r="5108" spans="1:18" ht="17" customHeight="1" x14ac:dyDescent="0.15">
      <c r="A5108" s="8" t="s">
        <v>27607</v>
      </c>
      <c r="B5108" s="9" t="s">
        <v>27608</v>
      </c>
      <c r="C5108" s="8" t="s">
        <v>27609</v>
      </c>
      <c r="D5108" s="8" t="s">
        <v>27609</v>
      </c>
      <c r="E5108" s="8" t="s">
        <v>27610</v>
      </c>
      <c r="F5108" s="8" t="s">
        <v>27536</v>
      </c>
      <c r="G5108" s="8" t="s">
        <v>27602</v>
      </c>
      <c r="H5108" s="8" t="s">
        <v>27576</v>
      </c>
      <c r="I5108" s="8" t="str">
        <f>HYPERLINK("http://www.suolalfa.it/","www.suolalfa.it")</f>
        <v>www.suolalfa.it</v>
      </c>
      <c r="J5108" s="10">
        <v>7819.6469999999999</v>
      </c>
      <c r="K5108" s="15" t="s">
        <v>27508</v>
      </c>
      <c r="L5108" s="15" t="s">
        <v>27508</v>
      </c>
      <c r="M5108" s="10">
        <v>1129.501</v>
      </c>
      <c r="N5108" s="15" t="s">
        <v>27508</v>
      </c>
      <c r="O5108" s="15" t="s">
        <v>27508</v>
      </c>
      <c r="P5108" s="10">
        <v>30</v>
      </c>
      <c r="Q5108" s="15" t="s">
        <v>27508</v>
      </c>
      <c r="R5108" s="15" t="s">
        <v>27508</v>
      </c>
    </row>
    <row r="5109" spans="1:18" ht="17" customHeight="1" x14ac:dyDescent="0.15">
      <c r="A5109" s="11" t="s">
        <v>27611</v>
      </c>
      <c r="B5109" s="1" t="s">
        <v>27612</v>
      </c>
      <c r="C5109" s="11" t="s">
        <v>27613</v>
      </c>
      <c r="D5109" s="11" t="s">
        <v>27613</v>
      </c>
      <c r="E5109" s="11" t="s">
        <v>27614</v>
      </c>
      <c r="F5109" s="11" t="s">
        <v>27513</v>
      </c>
      <c r="G5109" s="11" t="s">
        <v>27615</v>
      </c>
      <c r="H5109" s="11" t="s">
        <v>27531</v>
      </c>
      <c r="I5109" s="11" t="str">
        <f>HYPERLINK("http://www.toscano.it/","www.toscano.it")</f>
        <v>www.toscano.it</v>
      </c>
      <c r="J5109" s="12">
        <v>7755.9660000000003</v>
      </c>
      <c r="K5109" s="14" t="s">
        <v>27508</v>
      </c>
      <c r="L5109" s="16" t="s">
        <v>27508</v>
      </c>
      <c r="M5109" s="12">
        <v>-2444.8879999999999</v>
      </c>
      <c r="N5109" s="14" t="s">
        <v>27508</v>
      </c>
      <c r="O5109" s="14" t="s">
        <v>27508</v>
      </c>
      <c r="P5109" s="12">
        <v>8</v>
      </c>
      <c r="Q5109" s="14" t="s">
        <v>27508</v>
      </c>
      <c r="R5109" s="14" t="s">
        <v>27508</v>
      </c>
    </row>
    <row r="5110" spans="1:18" ht="29.5" customHeight="1" x14ac:dyDescent="0.15">
      <c r="A5110" s="8" t="s">
        <v>27616</v>
      </c>
      <c r="B5110" s="9" t="s">
        <v>27617</v>
      </c>
      <c r="C5110" s="8" t="s">
        <v>27618</v>
      </c>
      <c r="D5110" s="8" t="s">
        <v>27618</v>
      </c>
      <c r="E5110" s="8" t="s">
        <v>27619</v>
      </c>
      <c r="F5110" s="8" t="s">
        <v>27620</v>
      </c>
      <c r="G5110" s="8" t="s">
        <v>27621</v>
      </c>
      <c r="H5110" s="8" t="s">
        <v>27559</v>
      </c>
      <c r="I5110" s="8" t="str">
        <f>HYPERLINK("http://www.mirtillo.it/","www.mirtillo.it")</f>
        <v>www.mirtillo.it</v>
      </c>
      <c r="J5110" s="10">
        <v>7633.0839999999998</v>
      </c>
      <c r="K5110" s="15" t="s">
        <v>27508</v>
      </c>
      <c r="L5110" s="15" t="s">
        <v>27508</v>
      </c>
      <c r="M5110" s="10">
        <v>-6046.6260000000002</v>
      </c>
      <c r="N5110" s="15" t="s">
        <v>27508</v>
      </c>
      <c r="O5110" s="15" t="s">
        <v>27508</v>
      </c>
      <c r="P5110" s="10">
        <v>58</v>
      </c>
      <c r="Q5110" s="15" t="s">
        <v>27508</v>
      </c>
      <c r="R5110" s="15" t="s">
        <v>27508</v>
      </c>
    </row>
    <row r="5111" spans="1:18" ht="17" customHeight="1" x14ac:dyDescent="0.15">
      <c r="A5111" s="11" t="s">
        <v>27622</v>
      </c>
      <c r="B5111" s="1" t="s">
        <v>27623</v>
      </c>
      <c r="C5111" s="11" t="s">
        <v>27624</v>
      </c>
      <c r="D5111" s="11" t="s">
        <v>27625</v>
      </c>
      <c r="E5111" s="11" t="s">
        <v>27626</v>
      </c>
      <c r="F5111" s="11" t="s">
        <v>27557</v>
      </c>
      <c r="G5111" s="11" t="s">
        <v>27627</v>
      </c>
      <c r="H5111" s="11" t="s">
        <v>27628</v>
      </c>
      <c r="I5111" s="11" t="str">
        <f>HYPERLINK("http://www.ihnomuhnit.com/","www.ihnomuhnit.com")</f>
        <v>www.ihnomuhnit.com</v>
      </c>
      <c r="J5111" s="12">
        <v>7409.0910000000003</v>
      </c>
      <c r="K5111" s="14" t="s">
        <v>27508</v>
      </c>
      <c r="L5111" s="16" t="s">
        <v>27508</v>
      </c>
      <c r="M5111" s="12">
        <v>-1276.8530000000001</v>
      </c>
      <c r="N5111" s="14" t="s">
        <v>27508</v>
      </c>
      <c r="O5111" s="14" t="s">
        <v>27508</v>
      </c>
      <c r="P5111" s="12">
        <v>61</v>
      </c>
      <c r="Q5111" s="14" t="s">
        <v>27508</v>
      </c>
      <c r="R5111" s="14" t="s">
        <v>27508</v>
      </c>
    </row>
    <row r="5112" spans="1:18" ht="17" customHeight="1" x14ac:dyDescent="0.15">
      <c r="A5112" s="8" t="s">
        <v>27629</v>
      </c>
      <c r="B5112" s="9" t="s">
        <v>27630</v>
      </c>
      <c r="C5112" s="8" t="s">
        <v>27631</v>
      </c>
      <c r="D5112" s="8" t="s">
        <v>27631</v>
      </c>
      <c r="E5112" s="8" t="s">
        <v>27632</v>
      </c>
      <c r="F5112" s="8" t="s">
        <v>27500</v>
      </c>
      <c r="G5112" s="8" t="s">
        <v>27544</v>
      </c>
      <c r="H5112" s="8" t="s">
        <v>27545</v>
      </c>
      <c r="I5112" s="8" t="str">
        <f>HYPERLINK("http://www.itholdingamministrazionestraordinaria.it/","www.itholdingamministrazionestraordinaria.it")</f>
        <v>www.itholdingamministrazionestraordinaria.it</v>
      </c>
      <c r="J5112" s="10">
        <v>7392</v>
      </c>
      <c r="K5112" s="15" t="s">
        <v>27508</v>
      </c>
      <c r="L5112" s="15" t="s">
        <v>27508</v>
      </c>
      <c r="M5112" s="10">
        <v>7373</v>
      </c>
      <c r="N5112" s="15" t="s">
        <v>27508</v>
      </c>
      <c r="O5112" s="15" t="s">
        <v>27508</v>
      </c>
      <c r="P5112" s="10">
        <v>30</v>
      </c>
      <c r="Q5112" s="15" t="s">
        <v>27508</v>
      </c>
      <c r="R5112" s="15" t="s">
        <v>27508</v>
      </c>
    </row>
    <row r="5113" spans="1:18" ht="29.5" customHeight="1" x14ac:dyDescent="0.15">
      <c r="A5113" s="11" t="s">
        <v>27633</v>
      </c>
      <c r="B5113" s="1" t="s">
        <v>27634</v>
      </c>
      <c r="C5113" s="11" t="s">
        <v>27635</v>
      </c>
      <c r="D5113" s="11" t="s">
        <v>27635</v>
      </c>
      <c r="E5113" s="11" t="s">
        <v>27636</v>
      </c>
      <c r="F5113" s="11" t="s">
        <v>27557</v>
      </c>
      <c r="G5113" s="11" t="s">
        <v>27637</v>
      </c>
      <c r="H5113" s="11" t="s">
        <v>27538</v>
      </c>
      <c r="I5113" s="11" t="str">
        <f>HYPERLINK("http://antoraf.com/","antoraf.com")</f>
        <v>antoraf.com</v>
      </c>
      <c r="J5113" s="12">
        <v>7270.8990000000003</v>
      </c>
      <c r="K5113" s="12">
        <v>7270.8990000000003</v>
      </c>
      <c r="L5113" s="16" t="s">
        <v>27508</v>
      </c>
      <c r="M5113" s="12">
        <v>2114.88</v>
      </c>
      <c r="N5113" s="12">
        <v>2114.88</v>
      </c>
      <c r="O5113" s="14" t="s">
        <v>27508</v>
      </c>
      <c r="P5113" s="12">
        <v>35</v>
      </c>
      <c r="Q5113" s="12">
        <v>35</v>
      </c>
      <c r="R5113" s="14" t="s">
        <v>27508</v>
      </c>
    </row>
    <row r="5114" spans="1:18" ht="17" customHeight="1" x14ac:dyDescent="0.15">
      <c r="A5114" s="8" t="s">
        <v>27638</v>
      </c>
      <c r="B5114" s="9" t="s">
        <v>27639</v>
      </c>
      <c r="C5114" s="8" t="s">
        <v>27640</v>
      </c>
      <c r="D5114" s="8" t="s">
        <v>27640</v>
      </c>
      <c r="E5114" s="8" t="s">
        <v>27641</v>
      </c>
      <c r="F5114" s="8" t="s">
        <v>27569</v>
      </c>
      <c r="G5114" s="8" t="s">
        <v>27642</v>
      </c>
      <c r="H5114" s="8" t="s">
        <v>27531</v>
      </c>
      <c r="I5114" s="8" t="str">
        <f>HYPERLINK("http://theflexx.com/","theflexx.com")</f>
        <v>theflexx.com</v>
      </c>
      <c r="J5114" s="10">
        <v>7084.3850000000002</v>
      </c>
      <c r="K5114" s="15" t="s">
        <v>27508</v>
      </c>
      <c r="L5114" s="15" t="s">
        <v>27508</v>
      </c>
      <c r="M5114" s="10">
        <v>-987.97400000000005</v>
      </c>
      <c r="N5114" s="15" t="s">
        <v>27508</v>
      </c>
      <c r="O5114" s="15" t="s">
        <v>27508</v>
      </c>
      <c r="P5114" s="10">
        <v>66</v>
      </c>
      <c r="Q5114" s="15" t="s">
        <v>27508</v>
      </c>
      <c r="R5114" s="15" t="s">
        <v>27508</v>
      </c>
    </row>
    <row r="5115" spans="1:18" ht="17" customHeight="1" x14ac:dyDescent="0.15">
      <c r="A5115" s="11" t="s">
        <v>27643</v>
      </c>
      <c r="B5115" s="1" t="s">
        <v>27644</v>
      </c>
      <c r="C5115" s="11" t="s">
        <v>27645</v>
      </c>
      <c r="D5115" s="11" t="s">
        <v>27645</v>
      </c>
      <c r="E5115" s="11" t="s">
        <v>27646</v>
      </c>
      <c r="F5115" s="11" t="s">
        <v>27536</v>
      </c>
      <c r="G5115" s="11" t="s">
        <v>27637</v>
      </c>
      <c r="H5115" s="11" t="s">
        <v>27538</v>
      </c>
      <c r="I5115" s="11" t="str">
        <f>HYPERLINK("http://www.idealsuole.it/","http://www.idealsuole.it")</f>
        <v>http://www.idealsuole.it</v>
      </c>
      <c r="J5115" s="12">
        <v>6656.2430000000004</v>
      </c>
      <c r="K5115" s="12">
        <v>6656.2430000000004</v>
      </c>
      <c r="L5115" s="16" t="s">
        <v>27508</v>
      </c>
      <c r="M5115" s="12">
        <v>258.81799999999998</v>
      </c>
      <c r="N5115" s="12">
        <v>258.81799999999998</v>
      </c>
      <c r="O5115" s="14" t="s">
        <v>27508</v>
      </c>
      <c r="P5115" s="12">
        <v>43</v>
      </c>
      <c r="Q5115" s="12">
        <v>43</v>
      </c>
      <c r="R5115" s="14" t="s">
        <v>27508</v>
      </c>
    </row>
    <row r="5116" spans="1:18" ht="17" customHeight="1" x14ac:dyDescent="0.15">
      <c r="A5116" s="8" t="s">
        <v>27647</v>
      </c>
      <c r="B5116" s="9" t="s">
        <v>27648</v>
      </c>
      <c r="C5116" s="8" t="s">
        <v>27649</v>
      </c>
      <c r="D5116" s="8" t="s">
        <v>27650</v>
      </c>
      <c r="E5116" s="8" t="s">
        <v>27651</v>
      </c>
      <c r="F5116" s="8" t="s">
        <v>27500</v>
      </c>
      <c r="G5116" s="8" t="s">
        <v>27627</v>
      </c>
      <c r="H5116" s="8" t="s">
        <v>27628</v>
      </c>
      <c r="I5116" s="8" t="str">
        <f>HYPERLINK("http://www.lamarthe.com/","www.lamarthe.com")</f>
        <v>www.lamarthe.com</v>
      </c>
      <c r="J5116" s="10">
        <v>6041.6390000000001</v>
      </c>
      <c r="K5116" s="15" t="s">
        <v>27508</v>
      </c>
      <c r="L5116" s="15" t="s">
        <v>27508</v>
      </c>
      <c r="M5116" s="10">
        <v>-9145.8250000000007</v>
      </c>
      <c r="N5116" s="15" t="s">
        <v>27508</v>
      </c>
      <c r="O5116" s="15" t="s">
        <v>27508</v>
      </c>
      <c r="P5116" s="10">
        <v>12</v>
      </c>
      <c r="Q5116" s="15" t="s">
        <v>27508</v>
      </c>
      <c r="R5116" s="15" t="s">
        <v>27508</v>
      </c>
    </row>
    <row r="5117" spans="1:18" ht="29.5" customHeight="1" x14ac:dyDescent="0.15">
      <c r="A5117" s="11" t="s">
        <v>27652</v>
      </c>
      <c r="B5117" s="1" t="s">
        <v>27653</v>
      </c>
      <c r="C5117" s="11" t="s">
        <v>27654</v>
      </c>
      <c r="D5117" s="11" t="s">
        <v>27655</v>
      </c>
      <c r="E5117" s="11" t="s">
        <v>27656</v>
      </c>
      <c r="F5117" s="11" t="s">
        <v>27507</v>
      </c>
      <c r="G5117" s="11" t="s">
        <v>27537</v>
      </c>
      <c r="H5117" s="11" t="s">
        <v>27538</v>
      </c>
      <c r="I5117" s="11" t="str">
        <f>HYPERLINK("http://www.teodori.it/","www.teodori.it")</f>
        <v>www.teodori.it</v>
      </c>
      <c r="J5117" s="12">
        <v>4744.366</v>
      </c>
      <c r="K5117" s="14" t="s">
        <v>27508</v>
      </c>
      <c r="L5117" s="16" t="s">
        <v>27508</v>
      </c>
      <c r="M5117" s="12">
        <v>-651.27</v>
      </c>
      <c r="N5117" s="14" t="s">
        <v>27508</v>
      </c>
      <c r="O5117" s="14" t="s">
        <v>27508</v>
      </c>
      <c r="P5117" s="12">
        <v>24</v>
      </c>
      <c r="Q5117" s="14" t="s">
        <v>27508</v>
      </c>
      <c r="R5117" s="14" t="s">
        <v>27508</v>
      </c>
    </row>
    <row r="5118" spans="1:18" ht="29.5" customHeight="1" x14ac:dyDescent="0.15">
      <c r="A5118" s="8" t="s">
        <v>27657</v>
      </c>
      <c r="B5118" s="9" t="s">
        <v>27658</v>
      </c>
      <c r="C5118" s="8" t="s">
        <v>27659</v>
      </c>
      <c r="D5118" s="8" t="s">
        <v>27659</v>
      </c>
      <c r="E5118" s="8" t="s">
        <v>27660</v>
      </c>
      <c r="F5118" s="8" t="s">
        <v>27569</v>
      </c>
      <c r="G5118" s="8" t="s">
        <v>27661</v>
      </c>
      <c r="H5118" s="8" t="s">
        <v>27628</v>
      </c>
      <c r="I5118" s="8" t="str">
        <f>HYPERLINK("http://safrainboots.giobby.com/","http://safrainboots.giobby.com")</f>
        <v>http://safrainboots.giobby.com</v>
      </c>
      <c r="J5118" s="10">
        <v>4504.9210000000003</v>
      </c>
      <c r="K5118" s="10">
        <v>4504.9210000000003</v>
      </c>
      <c r="L5118" s="15" t="s">
        <v>27508</v>
      </c>
      <c r="M5118" s="10">
        <v>65.262</v>
      </c>
      <c r="N5118" s="10">
        <v>65.262</v>
      </c>
      <c r="O5118" s="15" t="s">
        <v>27508</v>
      </c>
      <c r="P5118" s="10">
        <v>23</v>
      </c>
      <c r="Q5118" s="10">
        <v>23</v>
      </c>
      <c r="R5118" s="15" t="s">
        <v>27508</v>
      </c>
    </row>
    <row r="5119" spans="1:18" ht="17" customHeight="1" x14ac:dyDescent="0.15">
      <c r="A5119" s="11" t="s">
        <v>27662</v>
      </c>
      <c r="B5119" s="1" t="s">
        <v>27663</v>
      </c>
      <c r="C5119" s="11" t="s">
        <v>27664</v>
      </c>
      <c r="D5119" s="11" t="s">
        <v>27664</v>
      </c>
      <c r="E5119" s="11" t="s">
        <v>27665</v>
      </c>
      <c r="F5119" s="11" t="s">
        <v>27507</v>
      </c>
      <c r="G5119" s="11" t="s">
        <v>27666</v>
      </c>
      <c r="H5119" s="11" t="s">
        <v>27538</v>
      </c>
      <c r="I5119" s="11" t="str">
        <f>HYPERLINK("http://www.nostar.it/","www.nostar.it")</f>
        <v>www.nostar.it</v>
      </c>
      <c r="J5119" s="12">
        <v>4202.24</v>
      </c>
      <c r="K5119" s="14" t="s">
        <v>27508</v>
      </c>
      <c r="L5119" s="16" t="s">
        <v>27508</v>
      </c>
      <c r="M5119" s="12">
        <v>-176.67400000000001</v>
      </c>
      <c r="N5119" s="14" t="s">
        <v>27508</v>
      </c>
      <c r="O5119" s="14" t="s">
        <v>27508</v>
      </c>
      <c r="P5119" s="12">
        <v>6</v>
      </c>
      <c r="Q5119" s="14" t="s">
        <v>27508</v>
      </c>
      <c r="R5119" s="14" t="s">
        <v>27508</v>
      </c>
    </row>
    <row r="5120" spans="1:18" ht="43" customHeight="1" x14ac:dyDescent="0.15">
      <c r="A5120" s="8" t="s">
        <v>27667</v>
      </c>
      <c r="B5120" s="9" t="s">
        <v>27668</v>
      </c>
      <c r="C5120" s="8" t="s">
        <v>27669</v>
      </c>
      <c r="D5120" s="8" t="s">
        <v>27670</v>
      </c>
      <c r="E5120" s="8" t="s">
        <v>27671</v>
      </c>
      <c r="F5120" s="8" t="s">
        <v>27550</v>
      </c>
      <c r="G5120" s="8" t="s">
        <v>27627</v>
      </c>
      <c r="H5120" s="8" t="s">
        <v>27628</v>
      </c>
      <c r="I5120" s="8" t="str">
        <f>HYPERLINK("http://www.adele.it/","www.adele.it")</f>
        <v>www.adele.it</v>
      </c>
      <c r="J5120" s="10">
        <v>4179.47</v>
      </c>
      <c r="K5120" s="15" t="s">
        <v>27508</v>
      </c>
      <c r="L5120" s="15" t="s">
        <v>27508</v>
      </c>
      <c r="M5120" s="10">
        <v>-2619.998</v>
      </c>
      <c r="N5120" s="15" t="s">
        <v>27508</v>
      </c>
      <c r="O5120" s="15" t="s">
        <v>27508</v>
      </c>
      <c r="P5120" s="10">
        <v>25</v>
      </c>
      <c r="Q5120" s="15" t="s">
        <v>27508</v>
      </c>
      <c r="R5120" s="15" t="s">
        <v>27508</v>
      </c>
    </row>
    <row r="5121" spans="1:18" ht="29.5" customHeight="1" x14ac:dyDescent="0.15">
      <c r="A5121" s="11" t="s">
        <v>27672</v>
      </c>
      <c r="B5121" s="1" t="s">
        <v>27673</v>
      </c>
      <c r="C5121" s="11" t="s">
        <v>27674</v>
      </c>
      <c r="D5121" s="11" t="s">
        <v>27674</v>
      </c>
      <c r="E5121" s="11" t="s">
        <v>27675</v>
      </c>
      <c r="F5121" s="11" t="s">
        <v>27676</v>
      </c>
      <c r="G5121" s="11" t="s">
        <v>27677</v>
      </c>
      <c r="H5121" s="11" t="s">
        <v>27678</v>
      </c>
      <c r="I5121" s="11" t="str">
        <f>HYPERLINK("http://www.serenacecchinidesign.com/","www.serenacecchinidesign.com")</f>
        <v>www.serenacecchinidesign.com</v>
      </c>
      <c r="J5121" s="12">
        <v>3515.8760000000002</v>
      </c>
      <c r="K5121" s="12">
        <v>3515.8760000000002</v>
      </c>
      <c r="L5121" s="16" t="s">
        <v>27679</v>
      </c>
      <c r="M5121" s="12">
        <v>79.141000000000005</v>
      </c>
      <c r="N5121" s="12">
        <v>79.141000000000005</v>
      </c>
      <c r="O5121" s="14" t="s">
        <v>27679</v>
      </c>
      <c r="P5121" s="12">
        <v>15</v>
      </c>
      <c r="Q5121" s="12">
        <v>15</v>
      </c>
      <c r="R5121" s="14" t="s">
        <v>27679</v>
      </c>
    </row>
    <row r="5122" spans="1:18" ht="17" customHeight="1" x14ac:dyDescent="0.15">
      <c r="A5122" s="8" t="s">
        <v>27680</v>
      </c>
      <c r="B5122" s="9" t="s">
        <v>27681</v>
      </c>
      <c r="C5122" s="8" t="s">
        <v>27682</v>
      </c>
      <c r="D5122" s="8" t="s">
        <v>27682</v>
      </c>
      <c r="E5122" s="8" t="s">
        <v>27683</v>
      </c>
      <c r="F5122" s="8" t="s">
        <v>27684</v>
      </c>
      <c r="G5122" s="8" t="s">
        <v>27685</v>
      </c>
      <c r="H5122" s="8" t="s">
        <v>27686</v>
      </c>
      <c r="I5122" s="8" t="str">
        <f>HYPERLINK("http://www.italtexsrl.it/","www.italtexsrl.it")</f>
        <v>www.italtexsrl.it</v>
      </c>
      <c r="J5122" s="10">
        <v>3489.3229999999999</v>
      </c>
      <c r="K5122" s="15" t="s">
        <v>27679</v>
      </c>
      <c r="L5122" s="15" t="s">
        <v>27679</v>
      </c>
      <c r="M5122" s="10">
        <v>3.165</v>
      </c>
      <c r="N5122" s="15" t="s">
        <v>27679</v>
      </c>
      <c r="O5122" s="15" t="s">
        <v>27679</v>
      </c>
      <c r="P5122" s="10">
        <v>11</v>
      </c>
      <c r="Q5122" s="15" t="s">
        <v>27679</v>
      </c>
      <c r="R5122" s="15" t="s">
        <v>27679</v>
      </c>
    </row>
    <row r="5123" spans="1:18" ht="17" customHeight="1" x14ac:dyDescent="0.15">
      <c r="A5123" s="11" t="s">
        <v>27687</v>
      </c>
      <c r="B5123" s="1" t="s">
        <v>27688</v>
      </c>
      <c r="C5123" s="11" t="s">
        <v>27689</v>
      </c>
      <c r="D5123" s="11" t="s">
        <v>27689</v>
      </c>
      <c r="E5123" s="11" t="s">
        <v>27690</v>
      </c>
      <c r="F5123" s="11" t="s">
        <v>27684</v>
      </c>
      <c r="G5123" s="11" t="s">
        <v>27691</v>
      </c>
      <c r="H5123" s="11" t="s">
        <v>27692</v>
      </c>
      <c r="I5123" s="11" t="str">
        <f>HYPERLINK("http://www.charro.it/","www.charro.it")</f>
        <v>www.charro.it</v>
      </c>
      <c r="J5123" s="12">
        <v>3242.181</v>
      </c>
      <c r="K5123" s="14" t="s">
        <v>27679</v>
      </c>
      <c r="L5123" s="16" t="s">
        <v>27679</v>
      </c>
      <c r="M5123" s="12">
        <v>-515.15700000000004</v>
      </c>
      <c r="N5123" s="14" t="s">
        <v>27679</v>
      </c>
      <c r="O5123" s="14" t="s">
        <v>27679</v>
      </c>
      <c r="P5123" s="12">
        <v>13</v>
      </c>
      <c r="Q5123" s="14" t="s">
        <v>27679</v>
      </c>
      <c r="R5123" s="14" t="s">
        <v>27679</v>
      </c>
    </row>
    <row r="5124" spans="1:18" ht="17" customHeight="1" x14ac:dyDescent="0.15">
      <c r="A5124" s="8" t="s">
        <v>27693</v>
      </c>
      <c r="B5124" s="9" t="s">
        <v>27694</v>
      </c>
      <c r="C5124" s="8" t="s">
        <v>27695</v>
      </c>
      <c r="D5124" s="8" t="s">
        <v>27695</v>
      </c>
      <c r="E5124" s="8" t="s">
        <v>27696</v>
      </c>
      <c r="F5124" s="8" t="s">
        <v>27697</v>
      </c>
      <c r="G5124" s="8" t="s">
        <v>27698</v>
      </c>
      <c r="H5124" s="8" t="s">
        <v>27692</v>
      </c>
      <c r="I5124" s="8" t="str">
        <f>HYPERLINK("http://www.thimeco.it/","www.thimeco.it")</f>
        <v>www.thimeco.it</v>
      </c>
      <c r="J5124" s="10">
        <v>2891.2240000000002</v>
      </c>
      <c r="K5124" s="10">
        <v>2891.2240000000002</v>
      </c>
      <c r="L5124" s="15" t="s">
        <v>27679</v>
      </c>
      <c r="M5124" s="10">
        <v>9.109</v>
      </c>
      <c r="N5124" s="10">
        <v>9.109</v>
      </c>
      <c r="O5124" s="15" t="s">
        <v>27679</v>
      </c>
      <c r="P5124" s="15" t="s">
        <v>27679</v>
      </c>
      <c r="Q5124" s="15" t="s">
        <v>27679</v>
      </c>
      <c r="R5124" s="15" t="s">
        <v>27679</v>
      </c>
    </row>
    <row r="5125" spans="1:18" ht="29.5" customHeight="1" x14ac:dyDescent="0.15">
      <c r="A5125" s="11" t="s">
        <v>27699</v>
      </c>
      <c r="B5125" s="1" t="s">
        <v>27700</v>
      </c>
      <c r="C5125" s="11" t="s">
        <v>27701</v>
      </c>
      <c r="D5125" s="11" t="s">
        <v>27701</v>
      </c>
      <c r="E5125" s="11" t="s">
        <v>27702</v>
      </c>
      <c r="F5125" s="11" t="s">
        <v>27703</v>
      </c>
      <c r="G5125" s="11" t="s">
        <v>27704</v>
      </c>
      <c r="H5125" s="11" t="s">
        <v>27705</v>
      </c>
      <c r="I5125" s="11" t="str">
        <f>HYPERLINK("http://www.italian-lab.com/","www.italian-lab.com")</f>
        <v>www.italian-lab.com</v>
      </c>
      <c r="J5125" s="12">
        <v>2872.9960000000001</v>
      </c>
      <c r="K5125" s="14" t="s">
        <v>27679</v>
      </c>
      <c r="L5125" s="16" t="s">
        <v>27679</v>
      </c>
      <c r="M5125" s="12">
        <v>8.7720000000000002</v>
      </c>
      <c r="N5125" s="14" t="s">
        <v>27679</v>
      </c>
      <c r="O5125" s="14" t="s">
        <v>27679</v>
      </c>
      <c r="P5125" s="12">
        <v>10</v>
      </c>
      <c r="Q5125" s="14" t="s">
        <v>27679</v>
      </c>
      <c r="R5125" s="14" t="s">
        <v>27679</v>
      </c>
    </row>
    <row r="5126" spans="1:18" ht="17" customHeight="1" x14ac:dyDescent="0.15">
      <c r="A5126" s="8" t="s">
        <v>27706</v>
      </c>
      <c r="B5126" s="9" t="s">
        <v>27707</v>
      </c>
      <c r="C5126" s="8" t="s">
        <v>27708</v>
      </c>
      <c r="D5126" s="8" t="s">
        <v>27708</v>
      </c>
      <c r="E5126" s="8" t="s">
        <v>27709</v>
      </c>
      <c r="F5126" s="8" t="s">
        <v>27710</v>
      </c>
      <c r="G5126" s="8" t="s">
        <v>27711</v>
      </c>
      <c r="H5126" s="8" t="s">
        <v>27712</v>
      </c>
      <c r="I5126" s="8" t="str">
        <f>HYPERLINK("http://www.dlsport.it/","www.dlsport.it")</f>
        <v>www.dlsport.it</v>
      </c>
      <c r="J5126" s="10">
        <v>2777.748</v>
      </c>
      <c r="K5126" s="10">
        <v>2777.748</v>
      </c>
      <c r="L5126" s="15" t="s">
        <v>27679</v>
      </c>
      <c r="M5126" s="10">
        <v>249.37899999999999</v>
      </c>
      <c r="N5126" s="10">
        <v>249.37899999999999</v>
      </c>
      <c r="O5126" s="15" t="s">
        <v>27679</v>
      </c>
      <c r="P5126" s="10">
        <v>18</v>
      </c>
      <c r="Q5126" s="10">
        <v>18</v>
      </c>
      <c r="R5126" s="15" t="s">
        <v>27679</v>
      </c>
    </row>
    <row r="5127" spans="1:18" ht="17" customHeight="1" x14ac:dyDescent="0.15">
      <c r="A5127" s="11" t="s">
        <v>27713</v>
      </c>
      <c r="B5127" s="1" t="s">
        <v>27714</v>
      </c>
      <c r="C5127" s="11" t="s">
        <v>27715</v>
      </c>
      <c r="D5127" s="11" t="s">
        <v>27715</v>
      </c>
      <c r="E5127" s="11" t="s">
        <v>27716</v>
      </c>
      <c r="F5127" s="11" t="s">
        <v>27717</v>
      </c>
      <c r="G5127" s="11" t="s">
        <v>27718</v>
      </c>
      <c r="H5127" s="11" t="s">
        <v>27719</v>
      </c>
      <c r="I5127" s="11" t="str">
        <f>HYPERLINK("http://modaimpresa.com/","modaimpresa.com")</f>
        <v>modaimpresa.com</v>
      </c>
      <c r="J5127" s="12">
        <v>2731.808</v>
      </c>
      <c r="K5127" s="14" t="s">
        <v>27679</v>
      </c>
      <c r="L5127" s="16" t="s">
        <v>27679</v>
      </c>
      <c r="M5127" s="12">
        <v>-3082.0529999999999</v>
      </c>
      <c r="N5127" s="14" t="s">
        <v>27679</v>
      </c>
      <c r="O5127" s="14" t="s">
        <v>27679</v>
      </c>
      <c r="P5127" s="12">
        <v>25</v>
      </c>
      <c r="Q5127" s="14" t="s">
        <v>27679</v>
      </c>
      <c r="R5127" s="14" t="s">
        <v>27679</v>
      </c>
    </row>
    <row r="5128" spans="1:18" ht="17" customHeight="1" x14ac:dyDescent="0.15">
      <c r="A5128" s="8" t="s">
        <v>27720</v>
      </c>
      <c r="B5128" s="9" t="s">
        <v>27721</v>
      </c>
      <c r="C5128" s="8" t="s">
        <v>27722</v>
      </c>
      <c r="D5128" s="8" t="s">
        <v>27722</v>
      </c>
      <c r="E5128" s="8" t="s">
        <v>27723</v>
      </c>
      <c r="F5128" s="8" t="s">
        <v>27717</v>
      </c>
      <c r="G5128" s="8" t="s">
        <v>27724</v>
      </c>
      <c r="H5128" s="8" t="s">
        <v>27725</v>
      </c>
      <c r="I5128" s="8" t="str">
        <f>HYPERLINK("http://www.2sft.it/","www.2sft.it")</f>
        <v>www.2sft.it</v>
      </c>
      <c r="J5128" s="10">
        <v>2640.3620000000001</v>
      </c>
      <c r="K5128" s="15" t="s">
        <v>27679</v>
      </c>
      <c r="L5128" s="15" t="s">
        <v>27679</v>
      </c>
      <c r="M5128" s="10">
        <v>-894.04200000000003</v>
      </c>
      <c r="N5128" s="15" t="s">
        <v>27679</v>
      </c>
      <c r="O5128" s="15" t="s">
        <v>27679</v>
      </c>
      <c r="P5128" s="10">
        <v>3</v>
      </c>
      <c r="Q5128" s="15" t="s">
        <v>27679</v>
      </c>
      <c r="R5128" s="15" t="s">
        <v>27679</v>
      </c>
    </row>
    <row r="5129" spans="1:18" ht="17" customHeight="1" x14ac:dyDescent="0.15">
      <c r="A5129" s="11" t="s">
        <v>27726</v>
      </c>
      <c r="B5129" s="1" t="s">
        <v>27727</v>
      </c>
      <c r="C5129" s="11" t="s">
        <v>27728</v>
      </c>
      <c r="D5129" s="11" t="s">
        <v>27728</v>
      </c>
      <c r="E5129" s="11" t="s">
        <v>27729</v>
      </c>
      <c r="F5129" s="11" t="s">
        <v>27684</v>
      </c>
      <c r="G5129" s="11" t="s">
        <v>27730</v>
      </c>
      <c r="H5129" s="11" t="s">
        <v>27731</v>
      </c>
      <c r="I5129" s="11" t="str">
        <f>HYPERLINK("http://www.linea-adani.com/","www.linea-adani.com")</f>
        <v>www.linea-adani.com</v>
      </c>
      <c r="J5129" s="12">
        <v>2628.0720000000001</v>
      </c>
      <c r="K5129" s="14" t="s">
        <v>27679</v>
      </c>
      <c r="L5129" s="16" t="s">
        <v>27679</v>
      </c>
      <c r="M5129" s="12">
        <v>1.1839999999999999</v>
      </c>
      <c r="N5129" s="14" t="s">
        <v>27679</v>
      </c>
      <c r="O5129" s="14" t="s">
        <v>27679</v>
      </c>
      <c r="P5129" s="12">
        <v>10</v>
      </c>
      <c r="Q5129" s="14" t="s">
        <v>27679</v>
      </c>
      <c r="R5129" s="14" t="s">
        <v>27679</v>
      </c>
    </row>
    <row r="5130" spans="1:18" ht="17" customHeight="1" x14ac:dyDescent="0.15">
      <c r="A5130" s="8" t="s">
        <v>27732</v>
      </c>
      <c r="B5130" s="9" t="s">
        <v>27733</v>
      </c>
      <c r="C5130" s="8" t="s">
        <v>27734</v>
      </c>
      <c r="D5130" s="8" t="s">
        <v>27734</v>
      </c>
      <c r="E5130" s="8" t="s">
        <v>27735</v>
      </c>
      <c r="F5130" s="8" t="s">
        <v>27736</v>
      </c>
      <c r="G5130" s="8" t="s">
        <v>27737</v>
      </c>
      <c r="H5130" s="8" t="s">
        <v>27692</v>
      </c>
      <c r="I5130" s="8" t="str">
        <f>HYPERLINK("http://www.pro-mac.it/","www.pro-mac.it")</f>
        <v>www.pro-mac.it</v>
      </c>
      <c r="J5130" s="10">
        <v>2535.277</v>
      </c>
      <c r="K5130" s="10">
        <v>2535.277</v>
      </c>
      <c r="L5130" s="15" t="s">
        <v>27679</v>
      </c>
      <c r="M5130" s="10">
        <v>52.353000000000002</v>
      </c>
      <c r="N5130" s="10">
        <v>52.353000000000002</v>
      </c>
      <c r="O5130" s="15" t="s">
        <v>27679</v>
      </c>
      <c r="P5130" s="10">
        <v>23</v>
      </c>
      <c r="Q5130" s="10">
        <v>23</v>
      </c>
      <c r="R5130" s="15" t="s">
        <v>27679</v>
      </c>
    </row>
    <row r="5131" spans="1:18" ht="17" customHeight="1" x14ac:dyDescent="0.15">
      <c r="A5131" s="11" t="s">
        <v>27738</v>
      </c>
      <c r="B5131" s="1" t="s">
        <v>27739</v>
      </c>
      <c r="C5131" s="11" t="s">
        <v>27740</v>
      </c>
      <c r="D5131" s="11" t="s">
        <v>27740</v>
      </c>
      <c r="E5131" s="11" t="s">
        <v>27741</v>
      </c>
      <c r="F5131" s="11" t="s">
        <v>27742</v>
      </c>
      <c r="G5131" s="11" t="s">
        <v>27724</v>
      </c>
      <c r="H5131" s="11" t="s">
        <v>27725</v>
      </c>
      <c r="I5131" s="11" t="str">
        <f>HYPERLINK("http://luisapositano.it/","luisapositano.it")</f>
        <v>luisapositano.it</v>
      </c>
      <c r="J5131" s="12">
        <v>2392.607</v>
      </c>
      <c r="K5131" s="12">
        <v>2392.607</v>
      </c>
      <c r="L5131" s="16" t="s">
        <v>27679</v>
      </c>
      <c r="M5131" s="12">
        <v>713.81700000000001</v>
      </c>
      <c r="N5131" s="12">
        <v>713.81700000000001</v>
      </c>
      <c r="O5131" s="14" t="s">
        <v>27679</v>
      </c>
      <c r="P5131" s="14" t="s">
        <v>27679</v>
      </c>
      <c r="Q5131" s="14" t="s">
        <v>27679</v>
      </c>
      <c r="R5131" s="14" t="s">
        <v>27679</v>
      </c>
    </row>
    <row r="5132" spans="1:18" ht="17" customHeight="1" x14ac:dyDescent="0.15">
      <c r="A5132" s="8" t="s">
        <v>27743</v>
      </c>
      <c r="B5132" s="9" t="s">
        <v>27744</v>
      </c>
      <c r="C5132" s="8" t="s">
        <v>27745</v>
      </c>
      <c r="D5132" s="8" t="s">
        <v>27745</v>
      </c>
      <c r="E5132" s="8" t="s">
        <v>27746</v>
      </c>
      <c r="F5132" s="8" t="s">
        <v>27717</v>
      </c>
      <c r="G5132" s="8" t="s">
        <v>27747</v>
      </c>
      <c r="H5132" s="8" t="s">
        <v>27748</v>
      </c>
      <c r="I5132" s="8" t="str">
        <f>HYPERLINK("http://sunsofficial.it/","sunsofficial.it")</f>
        <v>sunsofficial.it</v>
      </c>
      <c r="J5132" s="10">
        <v>2303.8319999999999</v>
      </c>
      <c r="K5132" s="15" t="s">
        <v>27679</v>
      </c>
      <c r="L5132" s="15" t="s">
        <v>27679</v>
      </c>
      <c r="M5132" s="10">
        <v>-447.19799999999998</v>
      </c>
      <c r="N5132" s="15" t="s">
        <v>27679</v>
      </c>
      <c r="O5132" s="15" t="s">
        <v>27679</v>
      </c>
      <c r="P5132" s="10">
        <v>1</v>
      </c>
      <c r="Q5132" s="15" t="s">
        <v>27679</v>
      </c>
      <c r="R5132" s="15" t="s">
        <v>27679</v>
      </c>
    </row>
    <row r="5133" spans="1:18" ht="17" customHeight="1" x14ac:dyDescent="0.15">
      <c r="A5133" s="11" t="s">
        <v>27749</v>
      </c>
      <c r="B5133" s="1" t="s">
        <v>27750</v>
      </c>
      <c r="C5133" s="11" t="s">
        <v>27751</v>
      </c>
      <c r="D5133" s="11" t="s">
        <v>27751</v>
      </c>
      <c r="E5133" s="11" t="s">
        <v>27752</v>
      </c>
      <c r="F5133" s="11" t="s">
        <v>27736</v>
      </c>
      <c r="G5133" s="11" t="s">
        <v>27747</v>
      </c>
      <c r="H5133" s="11" t="s">
        <v>27748</v>
      </c>
      <c r="I5133" s="11" t="str">
        <f>HYPERLINK("http://www.thehubmilano.it/","www.thehubmilano.it")</f>
        <v>www.thehubmilano.it</v>
      </c>
      <c r="J5133" s="12">
        <v>2302.0059999999999</v>
      </c>
      <c r="K5133" s="14" t="s">
        <v>27679</v>
      </c>
      <c r="L5133" s="16" t="s">
        <v>27679</v>
      </c>
      <c r="M5133" s="12">
        <v>165.834</v>
      </c>
      <c r="N5133" s="14" t="s">
        <v>27679</v>
      </c>
      <c r="O5133" s="14" t="s">
        <v>27679</v>
      </c>
      <c r="P5133" s="12">
        <v>3</v>
      </c>
      <c r="Q5133" s="14" t="s">
        <v>27679</v>
      </c>
      <c r="R5133" s="14" t="s">
        <v>27679</v>
      </c>
    </row>
    <row r="5134" spans="1:18" ht="17" customHeight="1" x14ac:dyDescent="0.15">
      <c r="A5134" s="8" t="s">
        <v>27753</v>
      </c>
      <c r="B5134" s="9" t="s">
        <v>27754</v>
      </c>
      <c r="C5134" s="8" t="s">
        <v>27755</v>
      </c>
      <c r="D5134" s="8" t="s">
        <v>27755</v>
      </c>
      <c r="E5134" s="8" t="s">
        <v>27756</v>
      </c>
      <c r="F5134" s="8" t="s">
        <v>27710</v>
      </c>
      <c r="G5134" s="8" t="s">
        <v>27757</v>
      </c>
      <c r="H5134" s="8" t="s">
        <v>27712</v>
      </c>
      <c r="I5134" s="8" t="str">
        <f>HYPERLINK("http://www.hidnander.com/","www.hidnander.com")</f>
        <v>www.hidnander.com</v>
      </c>
      <c r="J5134" s="10">
        <v>2221.9920000000002</v>
      </c>
      <c r="K5134" s="15" t="s">
        <v>27679</v>
      </c>
      <c r="L5134" s="15" t="s">
        <v>27679</v>
      </c>
      <c r="M5134" s="10">
        <v>-437.32499999999999</v>
      </c>
      <c r="N5134" s="15" t="s">
        <v>27679</v>
      </c>
      <c r="O5134" s="15" t="s">
        <v>27679</v>
      </c>
      <c r="P5134" s="10">
        <v>1</v>
      </c>
      <c r="Q5134" s="15" t="s">
        <v>27679</v>
      </c>
      <c r="R5134" s="15" t="s">
        <v>27679</v>
      </c>
    </row>
    <row r="5135" spans="1:18" ht="17" customHeight="1" x14ac:dyDescent="0.15">
      <c r="A5135" s="11" t="s">
        <v>27758</v>
      </c>
      <c r="B5135" s="1" t="s">
        <v>27759</v>
      </c>
      <c r="C5135" s="11" t="s">
        <v>27760</v>
      </c>
      <c r="D5135" s="11" t="s">
        <v>27760</v>
      </c>
      <c r="E5135" s="11" t="s">
        <v>27761</v>
      </c>
      <c r="F5135" s="11" t="s">
        <v>27717</v>
      </c>
      <c r="G5135" s="11" t="s">
        <v>27730</v>
      </c>
      <c r="H5135" s="11" t="s">
        <v>27731</v>
      </c>
      <c r="I5135" s="11" t="str">
        <f>HYPERLINK("http://www.creazionimisspatty.it/","www.creazionimisspatty.it")</f>
        <v>www.creazionimisspatty.it</v>
      </c>
      <c r="J5135" s="12">
        <v>2213.0720000000001</v>
      </c>
      <c r="K5135" s="12">
        <v>1234.7449999999999</v>
      </c>
      <c r="L5135" s="16" t="s">
        <v>27679</v>
      </c>
      <c r="M5135" s="12">
        <v>12.786</v>
      </c>
      <c r="N5135" s="12">
        <v>11.913</v>
      </c>
      <c r="O5135" s="14" t="s">
        <v>27679</v>
      </c>
      <c r="P5135" s="12">
        <v>3</v>
      </c>
      <c r="Q5135" s="12">
        <v>3</v>
      </c>
      <c r="R5135" s="14" t="s">
        <v>27679</v>
      </c>
    </row>
    <row r="5136" spans="1:18" ht="29.5" customHeight="1" x14ac:dyDescent="0.15">
      <c r="A5136" s="8" t="s">
        <v>27762</v>
      </c>
      <c r="B5136" s="9" t="s">
        <v>27763</v>
      </c>
      <c r="C5136" s="8" t="s">
        <v>27764</v>
      </c>
      <c r="D5136" s="8" t="s">
        <v>27764</v>
      </c>
      <c r="E5136" s="8" t="s">
        <v>27765</v>
      </c>
      <c r="F5136" s="8" t="s">
        <v>27766</v>
      </c>
      <c r="G5136" s="8" t="s">
        <v>27767</v>
      </c>
      <c r="H5136" s="8" t="s">
        <v>27692</v>
      </c>
      <c r="I5136" s="8" t="str">
        <f>HYPERLINK("http://www.cambraturapenazzato.com/","www.cambraturapenazzato.com")</f>
        <v>www.cambraturapenazzato.com</v>
      </c>
      <c r="J5136" s="10">
        <v>2043.646</v>
      </c>
      <c r="K5136" s="10">
        <v>2043.646</v>
      </c>
      <c r="L5136" s="15" t="s">
        <v>27679</v>
      </c>
      <c r="M5136" s="10">
        <v>55.156999999999996</v>
      </c>
      <c r="N5136" s="10">
        <v>55.156999999999996</v>
      </c>
      <c r="O5136" s="15" t="s">
        <v>27679</v>
      </c>
      <c r="P5136" s="10">
        <v>26</v>
      </c>
      <c r="Q5136" s="10">
        <v>26</v>
      </c>
      <c r="R5136" s="15" t="s">
        <v>27679</v>
      </c>
    </row>
    <row r="5137" spans="1:18" ht="29.5" customHeight="1" x14ac:dyDescent="0.15">
      <c r="A5137" s="11" t="s">
        <v>27768</v>
      </c>
      <c r="B5137" s="1" t="s">
        <v>27769</v>
      </c>
      <c r="C5137" s="11" t="s">
        <v>27770</v>
      </c>
      <c r="D5137" s="11" t="s">
        <v>27770</v>
      </c>
      <c r="E5137" s="11" t="s">
        <v>27771</v>
      </c>
      <c r="F5137" s="11" t="s">
        <v>27736</v>
      </c>
      <c r="G5137" s="11" t="s">
        <v>27698</v>
      </c>
      <c r="H5137" s="11" t="s">
        <v>27692</v>
      </c>
      <c r="I5137" s="11" t="str">
        <f>HYPERLINK("http://www.sealkay.it/","www.sealkay.it")</f>
        <v>www.sealkay.it</v>
      </c>
      <c r="J5137" s="12">
        <v>1930.096</v>
      </c>
      <c r="K5137" s="14" t="s">
        <v>27679</v>
      </c>
      <c r="L5137" s="16" t="s">
        <v>27679</v>
      </c>
      <c r="M5137" s="12">
        <v>67.147999999999996</v>
      </c>
      <c r="N5137" s="14" t="s">
        <v>27679</v>
      </c>
      <c r="O5137" s="14" t="s">
        <v>27679</v>
      </c>
      <c r="P5137" s="12">
        <v>5</v>
      </c>
      <c r="Q5137" s="14" t="s">
        <v>27679</v>
      </c>
      <c r="R5137" s="14" t="s">
        <v>27679</v>
      </c>
    </row>
    <row r="5138" spans="1:18" ht="29.5" customHeight="1" x14ac:dyDescent="0.15">
      <c r="A5138" s="8" t="s">
        <v>27772</v>
      </c>
      <c r="B5138" s="9" t="s">
        <v>27773</v>
      </c>
      <c r="C5138" s="8" t="s">
        <v>27774</v>
      </c>
      <c r="D5138" s="8" t="s">
        <v>27774</v>
      </c>
      <c r="E5138" s="8" t="s">
        <v>27775</v>
      </c>
      <c r="F5138" s="8" t="s">
        <v>27776</v>
      </c>
      <c r="G5138" s="8" t="s">
        <v>27777</v>
      </c>
      <c r="H5138" s="8" t="s">
        <v>27712</v>
      </c>
      <c r="I5138" s="8" t="str">
        <f>HYPERLINK("http://www.redwoodshoes.it/","www.redwoodshoes.it")</f>
        <v>www.redwoodshoes.it</v>
      </c>
      <c r="J5138" s="10">
        <v>1881.232</v>
      </c>
      <c r="K5138" s="15" t="s">
        <v>27679</v>
      </c>
      <c r="L5138" s="15" t="s">
        <v>27679</v>
      </c>
      <c r="M5138" s="10">
        <v>-151.864</v>
      </c>
      <c r="N5138" s="15" t="s">
        <v>27679</v>
      </c>
      <c r="O5138" s="15" t="s">
        <v>27679</v>
      </c>
      <c r="P5138" s="10">
        <v>22</v>
      </c>
      <c r="Q5138" s="15" t="s">
        <v>27679</v>
      </c>
      <c r="R5138" s="15" t="s">
        <v>27679</v>
      </c>
    </row>
    <row r="5139" spans="1:18" ht="17" customHeight="1" x14ac:dyDescent="0.15">
      <c r="A5139" s="11" t="s">
        <v>27778</v>
      </c>
      <c r="B5139" s="1" t="s">
        <v>27779</v>
      </c>
      <c r="C5139" s="11" t="s">
        <v>27780</v>
      </c>
      <c r="D5139" s="11" t="s">
        <v>27780</v>
      </c>
      <c r="E5139" s="11" t="s">
        <v>27781</v>
      </c>
      <c r="F5139" s="11" t="s">
        <v>27697</v>
      </c>
      <c r="G5139" s="11" t="s">
        <v>27704</v>
      </c>
      <c r="H5139" s="11" t="s">
        <v>27705</v>
      </c>
      <c r="I5139" s="11" t="str">
        <f>HYPERLINK("http://www.savoda.it/","www.savoda.it")</f>
        <v>www.savoda.it</v>
      </c>
      <c r="J5139" s="12">
        <v>1862.558</v>
      </c>
      <c r="K5139" s="14" t="s">
        <v>27679</v>
      </c>
      <c r="L5139" s="16" t="s">
        <v>27679</v>
      </c>
      <c r="M5139" s="12">
        <v>36.094999999999999</v>
      </c>
      <c r="N5139" s="14" t="s">
        <v>27679</v>
      </c>
      <c r="O5139" s="14" t="s">
        <v>27679</v>
      </c>
      <c r="P5139" s="12">
        <v>17</v>
      </c>
      <c r="Q5139" s="14" t="s">
        <v>27679</v>
      </c>
      <c r="R5139" s="14" t="s">
        <v>27679</v>
      </c>
    </row>
    <row r="5140" spans="1:18" ht="43" customHeight="1" x14ac:dyDescent="0.15">
      <c r="A5140" s="8" t="s">
        <v>27782</v>
      </c>
      <c r="B5140" s="9" t="s">
        <v>27783</v>
      </c>
      <c r="C5140" s="8" t="s">
        <v>27784</v>
      </c>
      <c r="D5140" s="8" t="s">
        <v>27784</v>
      </c>
      <c r="E5140" s="8" t="s">
        <v>27785</v>
      </c>
      <c r="F5140" s="8" t="s">
        <v>27717</v>
      </c>
      <c r="G5140" s="8" t="s">
        <v>27786</v>
      </c>
      <c r="H5140" s="8" t="s">
        <v>27692</v>
      </c>
      <c r="I5140" s="8" t="str">
        <f>HYPERLINK("http://www.cooperativacapa.it/","www.cooperativacapa.it")</f>
        <v>www.cooperativacapa.it</v>
      </c>
      <c r="J5140" s="10">
        <v>1741.998</v>
      </c>
      <c r="K5140" s="15" t="s">
        <v>27679</v>
      </c>
      <c r="L5140" s="15" t="s">
        <v>27679</v>
      </c>
      <c r="M5140" s="10">
        <v>-654.00199999999995</v>
      </c>
      <c r="N5140" s="15" t="s">
        <v>27679</v>
      </c>
      <c r="O5140" s="15" t="s">
        <v>27679</v>
      </c>
      <c r="P5140" s="10">
        <v>61</v>
      </c>
      <c r="Q5140" s="15" t="s">
        <v>27679</v>
      </c>
      <c r="R5140" s="15" t="s">
        <v>27679</v>
      </c>
    </row>
    <row r="5141" spans="1:18" ht="29.5" customHeight="1" x14ac:dyDescent="0.15">
      <c r="A5141" s="11" t="s">
        <v>27787</v>
      </c>
      <c r="B5141" s="1" t="s">
        <v>27788</v>
      </c>
      <c r="C5141" s="11" t="s">
        <v>27789</v>
      </c>
      <c r="D5141" s="11" t="s">
        <v>27789</v>
      </c>
      <c r="E5141" s="11" t="s">
        <v>27790</v>
      </c>
      <c r="F5141" s="11" t="s">
        <v>27791</v>
      </c>
      <c r="G5141" s="11" t="s">
        <v>27792</v>
      </c>
      <c r="H5141" s="11" t="s">
        <v>27793</v>
      </c>
      <c r="I5141" s="11" t="str">
        <f>HYPERLINK("http://www.infantinosrl.it/","www.infantinosrl.it")</f>
        <v>www.infantinosrl.it</v>
      </c>
      <c r="J5141" s="12">
        <v>1728.5329999999999</v>
      </c>
      <c r="K5141" s="14" t="s">
        <v>27679</v>
      </c>
      <c r="L5141" s="16" t="s">
        <v>27679</v>
      </c>
      <c r="M5141" s="12">
        <v>405.202</v>
      </c>
      <c r="N5141" s="14" t="s">
        <v>27679</v>
      </c>
      <c r="O5141" s="14" t="s">
        <v>27679</v>
      </c>
      <c r="P5141" s="12">
        <v>8</v>
      </c>
      <c r="Q5141" s="14" t="s">
        <v>27679</v>
      </c>
      <c r="R5141" s="14" t="s">
        <v>27679</v>
      </c>
    </row>
    <row r="5142" spans="1:18" ht="29.5" customHeight="1" x14ac:dyDescent="0.15">
      <c r="A5142" s="8" t="s">
        <v>27794</v>
      </c>
      <c r="B5142" s="9" t="s">
        <v>27795</v>
      </c>
      <c r="C5142" s="8" t="s">
        <v>27796</v>
      </c>
      <c r="D5142" s="8" t="s">
        <v>27796</v>
      </c>
      <c r="E5142" s="8" t="s">
        <v>27797</v>
      </c>
      <c r="F5142" s="8" t="s">
        <v>27736</v>
      </c>
      <c r="G5142" s="8" t="s">
        <v>27798</v>
      </c>
      <c r="H5142" s="8" t="s">
        <v>27748</v>
      </c>
      <c r="I5142" s="8" t="str">
        <f>HYPERLINK("http://www.cappellificiocervo.it/","www.cappellificiocervo.it")</f>
        <v>www.cappellificiocervo.it</v>
      </c>
      <c r="J5142" s="10">
        <v>1664.0630000000001</v>
      </c>
      <c r="K5142" s="15" t="s">
        <v>27679</v>
      </c>
      <c r="L5142" s="15" t="s">
        <v>27679</v>
      </c>
      <c r="M5142" s="10">
        <v>-1053.675</v>
      </c>
      <c r="N5142" s="15" t="s">
        <v>27679</v>
      </c>
      <c r="O5142" s="15" t="s">
        <v>27679</v>
      </c>
      <c r="P5142" s="10">
        <v>23</v>
      </c>
      <c r="Q5142" s="15" t="s">
        <v>27679</v>
      </c>
      <c r="R5142" s="15" t="s">
        <v>27679</v>
      </c>
    </row>
    <row r="5143" spans="1:18" ht="17" customHeight="1" x14ac:dyDescent="0.15">
      <c r="A5143" s="11" t="s">
        <v>27799</v>
      </c>
      <c r="B5143" s="1" t="s">
        <v>27800</v>
      </c>
      <c r="C5143" s="11" t="s">
        <v>27801</v>
      </c>
      <c r="D5143" s="11" t="s">
        <v>27801</v>
      </c>
      <c r="E5143" s="11" t="s">
        <v>27802</v>
      </c>
      <c r="F5143" s="11" t="s">
        <v>27717</v>
      </c>
      <c r="G5143" s="11" t="s">
        <v>27803</v>
      </c>
      <c r="H5143" s="11" t="s">
        <v>27804</v>
      </c>
      <c r="I5143" s="11" t="str">
        <f>HYPERLINK("http://www.blueluxury.it/","www.blueluxury.it")</f>
        <v>www.blueluxury.it</v>
      </c>
      <c r="J5143" s="12">
        <v>1659.836</v>
      </c>
      <c r="K5143" s="14" t="s">
        <v>27679</v>
      </c>
      <c r="L5143" s="16" t="s">
        <v>27679</v>
      </c>
      <c r="M5143" s="12">
        <v>7.3380000000000001</v>
      </c>
      <c r="N5143" s="14" t="s">
        <v>27679</v>
      </c>
      <c r="O5143" s="14" t="s">
        <v>27679</v>
      </c>
      <c r="P5143" s="12">
        <v>5</v>
      </c>
      <c r="Q5143" s="14" t="s">
        <v>27679</v>
      </c>
      <c r="R5143" s="14" t="s">
        <v>27679</v>
      </c>
    </row>
    <row r="5144" spans="1:18" ht="17" customHeight="1" x14ac:dyDescent="0.15">
      <c r="A5144" s="8" t="s">
        <v>27805</v>
      </c>
      <c r="B5144" s="9" t="s">
        <v>27806</v>
      </c>
      <c r="C5144" s="8" t="s">
        <v>27807</v>
      </c>
      <c r="D5144" s="8" t="s">
        <v>27807</v>
      </c>
      <c r="E5144" s="8" t="s">
        <v>27808</v>
      </c>
      <c r="F5144" s="8" t="s">
        <v>27710</v>
      </c>
      <c r="G5144" s="8" t="s">
        <v>27809</v>
      </c>
      <c r="H5144" s="8" t="s">
        <v>27692</v>
      </c>
      <c r="I5144" s="8" t="str">
        <f>HYPERLINK("http://www.plastotex.com/","www.plastotex.com")</f>
        <v>www.plastotex.com</v>
      </c>
      <c r="J5144" s="10">
        <v>1607.44</v>
      </c>
      <c r="K5144" s="15" t="s">
        <v>27679</v>
      </c>
      <c r="L5144" s="15" t="s">
        <v>27679</v>
      </c>
      <c r="M5144" s="10">
        <v>23.991</v>
      </c>
      <c r="N5144" s="15" t="s">
        <v>27679</v>
      </c>
      <c r="O5144" s="15" t="s">
        <v>27679</v>
      </c>
      <c r="P5144" s="10">
        <v>0</v>
      </c>
      <c r="Q5144" s="15" t="s">
        <v>27679</v>
      </c>
      <c r="R5144" s="15" t="s">
        <v>27679</v>
      </c>
    </row>
    <row r="5145" spans="1:18" ht="17" customHeight="1" x14ac:dyDescent="0.15">
      <c r="A5145" s="11" t="s">
        <v>27810</v>
      </c>
      <c r="B5145" s="1" t="s">
        <v>27811</v>
      </c>
      <c r="C5145" s="11" t="s">
        <v>27812</v>
      </c>
      <c r="D5145" s="11" t="s">
        <v>27812</v>
      </c>
      <c r="E5145" s="11" t="s">
        <v>27813</v>
      </c>
      <c r="F5145" s="11" t="s">
        <v>27676</v>
      </c>
      <c r="G5145" s="11" t="s">
        <v>27814</v>
      </c>
      <c r="H5145" s="11" t="s">
        <v>27678</v>
      </c>
      <c r="I5145" s="11" t="str">
        <f>HYPERLINK("http://nannini.it/","nannini.it")</f>
        <v>nannini.it</v>
      </c>
      <c r="J5145" s="12">
        <v>1553.6220000000001</v>
      </c>
      <c r="K5145" s="14" t="s">
        <v>27679</v>
      </c>
      <c r="L5145" s="16" t="s">
        <v>27679</v>
      </c>
      <c r="M5145" s="12">
        <v>-1331.337</v>
      </c>
      <c r="N5145" s="14" t="s">
        <v>27679</v>
      </c>
      <c r="O5145" s="14" t="s">
        <v>27679</v>
      </c>
      <c r="P5145" s="12">
        <v>4</v>
      </c>
      <c r="Q5145" s="14" t="s">
        <v>27679</v>
      </c>
      <c r="R5145" s="14" t="s">
        <v>27679</v>
      </c>
    </row>
    <row r="5146" spans="1:18" ht="17" customHeight="1" x14ac:dyDescent="0.15">
      <c r="A5146" s="8" t="s">
        <v>27815</v>
      </c>
      <c r="B5146" s="9" t="s">
        <v>27816</v>
      </c>
      <c r="C5146" s="8" t="s">
        <v>27817</v>
      </c>
      <c r="D5146" s="8" t="s">
        <v>27817</v>
      </c>
      <c r="E5146" s="8" t="s">
        <v>27818</v>
      </c>
      <c r="F5146" s="8" t="s">
        <v>27819</v>
      </c>
      <c r="G5146" s="8" t="s">
        <v>27820</v>
      </c>
      <c r="H5146" s="8" t="s">
        <v>27748</v>
      </c>
      <c r="I5146" s="8" t="str">
        <f>HYPERLINK("http://facenti.it/","facenti.it")</f>
        <v>facenti.it</v>
      </c>
      <c r="J5146" s="10">
        <v>1545.6030000000001</v>
      </c>
      <c r="K5146" s="10">
        <v>1545.6030000000001</v>
      </c>
      <c r="L5146" s="15" t="s">
        <v>27679</v>
      </c>
      <c r="M5146" s="10">
        <v>1.659</v>
      </c>
      <c r="N5146" s="10">
        <v>1.659</v>
      </c>
      <c r="O5146" s="15" t="s">
        <v>27679</v>
      </c>
      <c r="P5146" s="10">
        <v>7</v>
      </c>
      <c r="Q5146" s="10">
        <v>7</v>
      </c>
      <c r="R5146" s="15" t="s">
        <v>27679</v>
      </c>
    </row>
    <row r="5147" spans="1:18" ht="17" customHeight="1" x14ac:dyDescent="0.15">
      <c r="A5147" s="11" t="s">
        <v>27821</v>
      </c>
      <c r="B5147" s="1" t="s">
        <v>27822</v>
      </c>
      <c r="C5147" s="11" t="s">
        <v>27823</v>
      </c>
      <c r="D5147" s="11" t="s">
        <v>27823</v>
      </c>
      <c r="E5147" s="11" t="s">
        <v>27824</v>
      </c>
      <c r="F5147" s="11" t="s">
        <v>27717</v>
      </c>
      <c r="G5147" s="11" t="s">
        <v>27825</v>
      </c>
      <c r="H5147" s="11" t="s">
        <v>27686</v>
      </c>
      <c r="I5147" s="11" t="str">
        <f>HYPERLINK("http://www.angeldevil.it/","www.angeldevil.it")</f>
        <v>www.angeldevil.it</v>
      </c>
      <c r="J5147" s="12">
        <v>1517.299</v>
      </c>
      <c r="K5147" s="14" t="s">
        <v>27679</v>
      </c>
      <c r="L5147" s="16" t="s">
        <v>27679</v>
      </c>
      <c r="M5147" s="12">
        <v>-377.67899999999997</v>
      </c>
      <c r="N5147" s="14" t="s">
        <v>27679</v>
      </c>
      <c r="O5147" s="14" t="s">
        <v>27679</v>
      </c>
      <c r="P5147" s="12">
        <v>14</v>
      </c>
      <c r="Q5147" s="14" t="s">
        <v>27679</v>
      </c>
      <c r="R5147" s="14" t="s">
        <v>27679</v>
      </c>
    </row>
    <row r="5148" spans="1:18" ht="17" customHeight="1" x14ac:dyDescent="0.15">
      <c r="A5148" s="8" t="s">
        <v>27826</v>
      </c>
      <c r="B5148" s="9" t="s">
        <v>27827</v>
      </c>
      <c r="C5148" s="8" t="s">
        <v>27828</v>
      </c>
      <c r="D5148" s="8" t="s">
        <v>27828</v>
      </c>
      <c r="E5148" s="8" t="s">
        <v>27829</v>
      </c>
      <c r="F5148" s="8" t="s">
        <v>27717</v>
      </c>
      <c r="G5148" s="8" t="s">
        <v>27698</v>
      </c>
      <c r="H5148" s="8" t="s">
        <v>27692</v>
      </c>
      <c r="I5148" s="8" t="str">
        <f>HYPERLINK("http://www.labasesrl.com/","www.labasesrl.com")</f>
        <v>www.labasesrl.com</v>
      </c>
      <c r="J5148" s="10">
        <v>1500.644</v>
      </c>
      <c r="K5148" s="15" t="s">
        <v>27679</v>
      </c>
      <c r="L5148" s="15" t="s">
        <v>27679</v>
      </c>
      <c r="M5148" s="10">
        <v>8.9030000000000005</v>
      </c>
      <c r="N5148" s="15" t="s">
        <v>27679</v>
      </c>
      <c r="O5148" s="15" t="s">
        <v>27679</v>
      </c>
      <c r="P5148" s="10">
        <v>5</v>
      </c>
      <c r="Q5148" s="15" t="s">
        <v>27679</v>
      </c>
      <c r="R5148" s="15" t="s">
        <v>27679</v>
      </c>
    </row>
    <row r="5149" spans="1:18" ht="17" customHeight="1" x14ac:dyDescent="0.15">
      <c r="A5149" s="11" t="s">
        <v>27830</v>
      </c>
      <c r="B5149" s="1" t="s">
        <v>27831</v>
      </c>
      <c r="C5149" s="11" t="s">
        <v>27832</v>
      </c>
      <c r="D5149" s="11" t="s">
        <v>27832</v>
      </c>
      <c r="E5149" s="11" t="s">
        <v>27833</v>
      </c>
      <c r="F5149" s="11" t="s">
        <v>27736</v>
      </c>
      <c r="G5149" s="11" t="s">
        <v>27834</v>
      </c>
      <c r="H5149" s="11" t="s">
        <v>27835</v>
      </c>
      <c r="I5149" s="11" t="str">
        <f>HYPERLINK("http://www.barbuti.it/","www.barbuti.it")</f>
        <v>www.barbuti.it</v>
      </c>
      <c r="J5149" s="12">
        <v>1497.0329999999999</v>
      </c>
      <c r="K5149" s="14" t="s">
        <v>27679</v>
      </c>
      <c r="L5149" s="16" t="s">
        <v>27679</v>
      </c>
      <c r="M5149" s="12">
        <v>9.7080000000000002</v>
      </c>
      <c r="N5149" s="14" t="s">
        <v>27679</v>
      </c>
      <c r="O5149" s="14" t="s">
        <v>27679</v>
      </c>
      <c r="P5149" s="12">
        <v>12</v>
      </c>
      <c r="Q5149" s="14" t="s">
        <v>27679</v>
      </c>
      <c r="R5149" s="14" t="s">
        <v>27679</v>
      </c>
    </row>
    <row r="5150" spans="1:18" ht="17" customHeight="1" x14ac:dyDescent="0.15">
      <c r="A5150" s="8" t="s">
        <v>27836</v>
      </c>
      <c r="B5150" s="9" t="s">
        <v>27837</v>
      </c>
      <c r="C5150" s="8" t="s">
        <v>27838</v>
      </c>
      <c r="D5150" s="8" t="s">
        <v>27838</v>
      </c>
      <c r="E5150" s="8" t="s">
        <v>27839</v>
      </c>
      <c r="F5150" s="8" t="s">
        <v>27710</v>
      </c>
      <c r="G5150" s="8" t="s">
        <v>27704</v>
      </c>
      <c r="H5150" s="8" t="s">
        <v>27705</v>
      </c>
      <c r="I5150" s="8" t="str">
        <f>HYPERLINK("http://www.calzaturificiocimici.it/","www.calzaturificiocimici.it")</f>
        <v>www.calzaturificiocimici.it</v>
      </c>
      <c r="J5150" s="10">
        <v>1486.355</v>
      </c>
      <c r="K5150" s="15" t="s">
        <v>27679</v>
      </c>
      <c r="L5150" s="15" t="s">
        <v>27679</v>
      </c>
      <c r="M5150" s="10">
        <v>-14.875</v>
      </c>
      <c r="N5150" s="15" t="s">
        <v>27679</v>
      </c>
      <c r="O5150" s="15" t="s">
        <v>27679</v>
      </c>
      <c r="P5150" s="10">
        <v>11</v>
      </c>
      <c r="Q5150" s="15" t="s">
        <v>27679</v>
      </c>
      <c r="R5150" s="15" t="s">
        <v>27679</v>
      </c>
    </row>
    <row r="5151" spans="1:18" ht="17" customHeight="1" x14ac:dyDescent="0.15">
      <c r="A5151" s="11" t="s">
        <v>27840</v>
      </c>
      <c r="B5151" s="1" t="s">
        <v>27841</v>
      </c>
      <c r="C5151" s="11" t="s">
        <v>27842</v>
      </c>
      <c r="D5151" s="11" t="s">
        <v>27842</v>
      </c>
      <c r="E5151" s="11" t="s">
        <v>27843</v>
      </c>
      <c r="F5151" s="11" t="s">
        <v>27717</v>
      </c>
      <c r="G5151" s="11" t="s">
        <v>27844</v>
      </c>
      <c r="H5151" s="11" t="s">
        <v>27725</v>
      </c>
      <c r="I5151" s="11" t="str">
        <f>HYPERLINK("http://www.noshua.it/","http://www.noshua.it")</f>
        <v>http://www.noshua.it</v>
      </c>
      <c r="J5151" s="12">
        <v>1400.308</v>
      </c>
      <c r="K5151" s="14" t="s">
        <v>27679</v>
      </c>
      <c r="L5151" s="16" t="s">
        <v>27679</v>
      </c>
      <c r="M5151" s="12">
        <v>-23.594000000000001</v>
      </c>
      <c r="N5151" s="14" t="s">
        <v>27679</v>
      </c>
      <c r="O5151" s="14" t="s">
        <v>27679</v>
      </c>
      <c r="P5151" s="14" t="s">
        <v>27679</v>
      </c>
      <c r="Q5151" s="14" t="s">
        <v>27679</v>
      </c>
      <c r="R5151" s="14" t="s">
        <v>27679</v>
      </c>
    </row>
    <row r="5152" spans="1:18" ht="17" customHeight="1" x14ac:dyDescent="0.15">
      <c r="A5152" s="8" t="s">
        <v>27845</v>
      </c>
      <c r="B5152" s="9" t="s">
        <v>27846</v>
      </c>
      <c r="C5152" s="8" t="s">
        <v>27847</v>
      </c>
      <c r="D5152" s="8" t="s">
        <v>27847</v>
      </c>
      <c r="E5152" s="8" t="s">
        <v>27848</v>
      </c>
      <c r="F5152" s="8" t="s">
        <v>27676</v>
      </c>
      <c r="G5152" s="8" t="s">
        <v>27798</v>
      </c>
      <c r="H5152" s="8" t="s">
        <v>27748</v>
      </c>
      <c r="I5152" s="8" t="str">
        <f>HYPERLINK("http://giosamilano.com/","giosamilano.com")</f>
        <v>giosamilano.com</v>
      </c>
      <c r="J5152" s="10">
        <v>1400.046</v>
      </c>
      <c r="K5152" s="10">
        <v>1400.046</v>
      </c>
      <c r="L5152" s="15" t="s">
        <v>27679</v>
      </c>
      <c r="M5152" s="10">
        <v>48.462000000000003</v>
      </c>
      <c r="N5152" s="10">
        <v>48.462000000000003</v>
      </c>
      <c r="O5152" s="15" t="s">
        <v>27679</v>
      </c>
      <c r="P5152" s="10">
        <v>5</v>
      </c>
      <c r="Q5152" s="10">
        <v>5</v>
      </c>
      <c r="R5152" s="15" t="s">
        <v>27679</v>
      </c>
    </row>
    <row r="5153" spans="1:18" ht="17" customHeight="1" x14ac:dyDescent="0.15">
      <c r="A5153" s="11" t="s">
        <v>27849</v>
      </c>
      <c r="B5153" s="1" t="s">
        <v>27850</v>
      </c>
      <c r="C5153" s="11" t="s">
        <v>27851</v>
      </c>
      <c r="D5153" s="11" t="s">
        <v>27851</v>
      </c>
      <c r="E5153" s="11" t="s">
        <v>27852</v>
      </c>
      <c r="F5153" s="11" t="s">
        <v>27853</v>
      </c>
      <c r="G5153" s="11" t="s">
        <v>27854</v>
      </c>
      <c r="H5153" s="11" t="s">
        <v>27855</v>
      </c>
      <c r="I5153" s="11" t="str">
        <f>HYPERLINK("http://web.netbusiness.it/vogue","http://web.netbusiness.it/vogue")</f>
        <v>http://web.netbusiness.it/vogue</v>
      </c>
      <c r="J5153" s="12">
        <v>1396.2560000000001</v>
      </c>
      <c r="K5153" s="14" t="s">
        <v>27856</v>
      </c>
      <c r="L5153" s="16" t="s">
        <v>27856</v>
      </c>
      <c r="M5153" s="12">
        <v>-583.06899999999996</v>
      </c>
      <c r="N5153" s="14" t="s">
        <v>27856</v>
      </c>
      <c r="O5153" s="14" t="s">
        <v>27856</v>
      </c>
      <c r="P5153" s="12">
        <v>5</v>
      </c>
      <c r="Q5153" s="14" t="s">
        <v>27856</v>
      </c>
      <c r="R5153" s="14" t="s">
        <v>27856</v>
      </c>
    </row>
    <row r="5154" spans="1:18" ht="29.5" customHeight="1" x14ac:dyDescent="0.15">
      <c r="A5154" s="8" t="s">
        <v>27857</v>
      </c>
      <c r="B5154" s="9" t="s">
        <v>27858</v>
      </c>
      <c r="C5154" s="8" t="s">
        <v>27859</v>
      </c>
      <c r="D5154" s="8" t="s">
        <v>27859</v>
      </c>
      <c r="E5154" s="8" t="s">
        <v>27860</v>
      </c>
      <c r="F5154" s="8" t="s">
        <v>27861</v>
      </c>
      <c r="G5154" s="8" t="s">
        <v>27862</v>
      </c>
      <c r="H5154" s="8" t="s">
        <v>27863</v>
      </c>
      <c r="I5154" s="8" t="str">
        <f>HYPERLINK("http://www.ipak.it/","www.ipak.it")</f>
        <v>www.ipak.it</v>
      </c>
      <c r="J5154" s="10">
        <v>1391.424</v>
      </c>
      <c r="K5154" s="15" t="s">
        <v>27856</v>
      </c>
      <c r="L5154" s="15" t="s">
        <v>27856</v>
      </c>
      <c r="M5154" s="10">
        <v>-1306.4169999999999</v>
      </c>
      <c r="N5154" s="15" t="s">
        <v>27856</v>
      </c>
      <c r="O5154" s="15" t="s">
        <v>27856</v>
      </c>
      <c r="P5154" s="10">
        <v>27</v>
      </c>
      <c r="Q5154" s="15" t="s">
        <v>27856</v>
      </c>
      <c r="R5154" s="15" t="s">
        <v>27856</v>
      </c>
    </row>
    <row r="5155" spans="1:18" ht="17" customHeight="1" x14ac:dyDescent="0.15">
      <c r="A5155" s="11" t="s">
        <v>27864</v>
      </c>
      <c r="B5155" s="1" t="s">
        <v>27865</v>
      </c>
      <c r="C5155" s="11" t="s">
        <v>27866</v>
      </c>
      <c r="D5155" s="11" t="s">
        <v>27866</v>
      </c>
      <c r="E5155" s="11" t="s">
        <v>27867</v>
      </c>
      <c r="F5155" s="11" t="s">
        <v>27861</v>
      </c>
      <c r="G5155" s="11" t="s">
        <v>27868</v>
      </c>
      <c r="H5155" s="11" t="s">
        <v>27855</v>
      </c>
      <c r="I5155" s="11" t="str">
        <f>HYPERLINK("http://www.euromodelsrl.com/","www.euromodelsrl.com")</f>
        <v>www.euromodelsrl.com</v>
      </c>
      <c r="J5155" s="12">
        <v>1300.338</v>
      </c>
      <c r="K5155" s="14" t="s">
        <v>27856</v>
      </c>
      <c r="L5155" s="16" t="s">
        <v>27856</v>
      </c>
      <c r="M5155" s="12">
        <v>26.266999999999999</v>
      </c>
      <c r="N5155" s="14" t="s">
        <v>27856</v>
      </c>
      <c r="O5155" s="14" t="s">
        <v>27856</v>
      </c>
      <c r="P5155" s="12">
        <v>6</v>
      </c>
      <c r="Q5155" s="14" t="s">
        <v>27856</v>
      </c>
      <c r="R5155" s="14" t="s">
        <v>27856</v>
      </c>
    </row>
    <row r="5156" spans="1:18" ht="29.5" customHeight="1" x14ac:dyDescent="0.15">
      <c r="A5156" s="8" t="s">
        <v>27869</v>
      </c>
      <c r="B5156" s="9" t="s">
        <v>27870</v>
      </c>
      <c r="C5156" s="8" t="s">
        <v>27871</v>
      </c>
      <c r="D5156" s="8" t="s">
        <v>27871</v>
      </c>
      <c r="E5156" s="8" t="s">
        <v>27872</v>
      </c>
      <c r="F5156" s="8" t="s">
        <v>27873</v>
      </c>
      <c r="G5156" s="8" t="s">
        <v>27874</v>
      </c>
      <c r="H5156" s="8" t="s">
        <v>27875</v>
      </c>
      <c r="I5156" s="8" t="str">
        <f>HYPERLINK("http://www.brenda.it/","http://www.brenda.it")</f>
        <v>http://www.brenda.it</v>
      </c>
      <c r="J5156" s="10">
        <v>1290.2950000000001</v>
      </c>
      <c r="K5156" s="15" t="s">
        <v>27856</v>
      </c>
      <c r="L5156" s="15" t="s">
        <v>27856</v>
      </c>
      <c r="M5156" s="10">
        <v>-51.895000000000003</v>
      </c>
      <c r="N5156" s="15" t="s">
        <v>27856</v>
      </c>
      <c r="O5156" s="15" t="s">
        <v>27856</v>
      </c>
      <c r="P5156" s="10">
        <v>0</v>
      </c>
      <c r="Q5156" s="15" t="s">
        <v>27856</v>
      </c>
      <c r="R5156" s="15" t="s">
        <v>27856</v>
      </c>
    </row>
    <row r="5157" spans="1:18" ht="17" customHeight="1" x14ac:dyDescent="0.15">
      <c r="A5157" s="11" t="s">
        <v>27876</v>
      </c>
      <c r="B5157" s="1" t="s">
        <v>27877</v>
      </c>
      <c r="C5157" s="11" t="s">
        <v>27878</v>
      </c>
      <c r="D5157" s="11" t="s">
        <v>27878</v>
      </c>
      <c r="E5157" s="11" t="s">
        <v>27879</v>
      </c>
      <c r="F5157" s="11" t="s">
        <v>27861</v>
      </c>
      <c r="G5157" s="11" t="s">
        <v>27880</v>
      </c>
      <c r="H5157" s="11" t="s">
        <v>27881</v>
      </c>
      <c r="I5157" s="11" t="str">
        <f>HYPERLINK("http://www.nebulonie.com/","www.nebulonie.com")</f>
        <v>www.nebulonie.com</v>
      </c>
      <c r="J5157" s="12">
        <v>1281.366</v>
      </c>
      <c r="K5157" s="12">
        <v>1281.366</v>
      </c>
      <c r="L5157" s="16" t="s">
        <v>27856</v>
      </c>
      <c r="M5157" s="12">
        <v>-1.097</v>
      </c>
      <c r="N5157" s="12">
        <v>-1.097</v>
      </c>
      <c r="O5157" s="14" t="s">
        <v>27856</v>
      </c>
      <c r="P5157" s="14" t="s">
        <v>27856</v>
      </c>
      <c r="Q5157" s="14" t="s">
        <v>27856</v>
      </c>
      <c r="R5157" s="14" t="s">
        <v>27856</v>
      </c>
    </row>
    <row r="5158" spans="1:18" ht="29.5" customHeight="1" x14ac:dyDescent="0.15">
      <c r="A5158" s="8" t="s">
        <v>27882</v>
      </c>
      <c r="B5158" s="9" t="s">
        <v>27883</v>
      </c>
      <c r="C5158" s="8" t="s">
        <v>27884</v>
      </c>
      <c r="D5158" s="8" t="s">
        <v>27884</v>
      </c>
      <c r="E5158" s="8" t="s">
        <v>27885</v>
      </c>
      <c r="F5158" s="8" t="s">
        <v>27861</v>
      </c>
      <c r="G5158" s="8" t="s">
        <v>27862</v>
      </c>
      <c r="H5158" s="8" t="s">
        <v>27863</v>
      </c>
      <c r="I5158" s="8" t="str">
        <f>HYPERLINK("http://www.sangiustese2a.it/","www.sangiustese2a.it")</f>
        <v>www.sangiustese2a.it</v>
      </c>
      <c r="J5158" s="10">
        <v>1270.6489999999999</v>
      </c>
      <c r="K5158" s="15" t="s">
        <v>27856</v>
      </c>
      <c r="L5158" s="15" t="s">
        <v>27856</v>
      </c>
      <c r="M5158" s="10">
        <v>-58.768000000000001</v>
      </c>
      <c r="N5158" s="15" t="s">
        <v>27856</v>
      </c>
      <c r="O5158" s="15" t="s">
        <v>27856</v>
      </c>
      <c r="P5158" s="10">
        <v>10</v>
      </c>
      <c r="Q5158" s="15" t="s">
        <v>27856</v>
      </c>
      <c r="R5158" s="15" t="s">
        <v>27856</v>
      </c>
    </row>
    <row r="5159" spans="1:18" ht="17" customHeight="1" x14ac:dyDescent="0.15">
      <c r="A5159" s="11" t="s">
        <v>27886</v>
      </c>
      <c r="B5159" s="1" t="s">
        <v>27887</v>
      </c>
      <c r="C5159" s="11" t="s">
        <v>27888</v>
      </c>
      <c r="D5159" s="11" t="s">
        <v>27888</v>
      </c>
      <c r="E5159" s="11" t="s">
        <v>27889</v>
      </c>
      <c r="F5159" s="11" t="s">
        <v>27890</v>
      </c>
      <c r="G5159" s="11" t="s">
        <v>27891</v>
      </c>
      <c r="H5159" s="11" t="s">
        <v>27855</v>
      </c>
      <c r="I5159" s="11" t="str">
        <f>HYPERLINK("http://www.manifattura-veneta.it/","www.manifattura-veneta.it")</f>
        <v>www.manifattura-veneta.it</v>
      </c>
      <c r="J5159" s="12">
        <v>1238.7280000000001</v>
      </c>
      <c r="K5159" s="12">
        <v>1238.7280000000001</v>
      </c>
      <c r="L5159" s="16" t="s">
        <v>27856</v>
      </c>
      <c r="M5159" s="12">
        <v>-775.96299999999997</v>
      </c>
      <c r="N5159" s="12">
        <v>-775.96299999999997</v>
      </c>
      <c r="O5159" s="14" t="s">
        <v>27856</v>
      </c>
      <c r="P5159" s="14" t="s">
        <v>27856</v>
      </c>
      <c r="Q5159" s="14" t="s">
        <v>27856</v>
      </c>
      <c r="R5159" s="14" t="s">
        <v>27856</v>
      </c>
    </row>
    <row r="5160" spans="1:18" ht="17" customHeight="1" x14ac:dyDescent="0.15">
      <c r="A5160" s="8" t="s">
        <v>27892</v>
      </c>
      <c r="B5160" s="9" t="s">
        <v>27893</v>
      </c>
      <c r="C5160" s="8" t="s">
        <v>27894</v>
      </c>
      <c r="D5160" s="8" t="s">
        <v>27894</v>
      </c>
      <c r="E5160" s="8" t="s">
        <v>27895</v>
      </c>
      <c r="F5160" s="8" t="s">
        <v>27861</v>
      </c>
      <c r="G5160" s="8" t="s">
        <v>27896</v>
      </c>
      <c r="H5160" s="8" t="s">
        <v>27863</v>
      </c>
      <c r="I5160" s="8" t="str">
        <f>HYPERLINK("http://www.aelleenmode.it/","www.aelleenmode.it")</f>
        <v>www.aelleenmode.it</v>
      </c>
      <c r="J5160" s="10">
        <v>1216.3019999999999</v>
      </c>
      <c r="K5160" s="15" t="s">
        <v>27856</v>
      </c>
      <c r="L5160" s="15" t="s">
        <v>27856</v>
      </c>
      <c r="M5160" s="10">
        <v>-412.524</v>
      </c>
      <c r="N5160" s="15" t="s">
        <v>27856</v>
      </c>
      <c r="O5160" s="15" t="s">
        <v>27856</v>
      </c>
      <c r="P5160" s="10">
        <v>10</v>
      </c>
      <c r="Q5160" s="15" t="s">
        <v>27856</v>
      </c>
      <c r="R5160" s="15" t="s">
        <v>27856</v>
      </c>
    </row>
    <row r="5161" spans="1:18" ht="17" customHeight="1" x14ac:dyDescent="0.15">
      <c r="A5161" s="11" t="s">
        <v>27897</v>
      </c>
      <c r="B5161" s="1" t="s">
        <v>27898</v>
      </c>
      <c r="C5161" s="11" t="s">
        <v>27899</v>
      </c>
      <c r="D5161" s="11" t="s">
        <v>27900</v>
      </c>
      <c r="E5161" s="11" t="s">
        <v>27901</v>
      </c>
      <c r="F5161" s="11" t="s">
        <v>27902</v>
      </c>
      <c r="G5161" s="11" t="s">
        <v>27903</v>
      </c>
      <c r="H5161" s="11" t="s">
        <v>27863</v>
      </c>
      <c r="I5161" s="11" t="str">
        <f>HYPERLINK("http://www.apasconfezioni.it/","www.apasconfezioni.it")</f>
        <v>www.apasconfezioni.it</v>
      </c>
      <c r="J5161" s="12">
        <v>1191.6690000000001</v>
      </c>
      <c r="K5161" s="12">
        <v>1191.6690000000001</v>
      </c>
      <c r="L5161" s="16" t="s">
        <v>27856</v>
      </c>
      <c r="M5161" s="12">
        <v>88.682000000000002</v>
      </c>
      <c r="N5161" s="12">
        <v>88.682000000000002</v>
      </c>
      <c r="O5161" s="14" t="s">
        <v>27856</v>
      </c>
      <c r="P5161" s="12">
        <v>9</v>
      </c>
      <c r="Q5161" s="12">
        <v>9</v>
      </c>
      <c r="R5161" s="14" t="s">
        <v>27856</v>
      </c>
    </row>
    <row r="5162" spans="1:18" ht="29.5" customHeight="1" x14ac:dyDescent="0.15">
      <c r="A5162" s="8" t="s">
        <v>27904</v>
      </c>
      <c r="B5162" s="9" t="s">
        <v>27905</v>
      </c>
      <c r="C5162" s="8" t="s">
        <v>27906</v>
      </c>
      <c r="D5162" s="8" t="s">
        <v>27906</v>
      </c>
      <c r="E5162" s="8" t="s">
        <v>27907</v>
      </c>
      <c r="F5162" s="8" t="s">
        <v>27908</v>
      </c>
      <c r="G5162" s="8" t="s">
        <v>27909</v>
      </c>
      <c r="H5162" s="8" t="s">
        <v>27910</v>
      </c>
      <c r="I5162" s="8" t="str">
        <f>HYPERLINK("http://hettabretz.com/","hettabretz.com")</f>
        <v>hettabretz.com</v>
      </c>
      <c r="J5162" s="10">
        <v>1162.3589999999999</v>
      </c>
      <c r="K5162" s="15" t="s">
        <v>27856</v>
      </c>
      <c r="L5162" s="15" t="s">
        <v>27856</v>
      </c>
      <c r="M5162" s="10">
        <v>-2174.4879999999998</v>
      </c>
      <c r="N5162" s="15" t="s">
        <v>27856</v>
      </c>
      <c r="O5162" s="15" t="s">
        <v>27856</v>
      </c>
      <c r="P5162" s="10">
        <v>24</v>
      </c>
      <c r="Q5162" s="15" t="s">
        <v>27856</v>
      </c>
      <c r="R5162" s="15" t="s">
        <v>27856</v>
      </c>
    </row>
    <row r="5163" spans="1:18" ht="29.5" customHeight="1" x14ac:dyDescent="0.15">
      <c r="A5163" s="11" t="s">
        <v>27911</v>
      </c>
      <c r="B5163" s="1" t="s">
        <v>27912</v>
      </c>
      <c r="C5163" s="11" t="s">
        <v>27913</v>
      </c>
      <c r="D5163" s="11" t="s">
        <v>27913</v>
      </c>
      <c r="E5163" s="11" t="s">
        <v>27914</v>
      </c>
      <c r="F5163" s="11" t="s">
        <v>27853</v>
      </c>
      <c r="G5163" s="11" t="s">
        <v>27915</v>
      </c>
      <c r="H5163" s="11" t="s">
        <v>27916</v>
      </c>
      <c r="I5163" s="11" t="str">
        <f>HYPERLINK("http://www.emmevucotton.com/","www.emmevucotton.com")</f>
        <v>www.emmevucotton.com</v>
      </c>
      <c r="J5163" s="12">
        <v>1159.194</v>
      </c>
      <c r="K5163" s="14" t="s">
        <v>27856</v>
      </c>
      <c r="L5163" s="16" t="s">
        <v>27856</v>
      </c>
      <c r="M5163" s="12">
        <v>-179.143</v>
      </c>
      <c r="N5163" s="14" t="s">
        <v>27856</v>
      </c>
      <c r="O5163" s="14" t="s">
        <v>27856</v>
      </c>
      <c r="P5163" s="12">
        <v>15</v>
      </c>
      <c r="Q5163" s="14" t="s">
        <v>27856</v>
      </c>
      <c r="R5163" s="14" t="s">
        <v>27856</v>
      </c>
    </row>
    <row r="5164" spans="1:18" ht="17" customHeight="1" x14ac:dyDescent="0.15">
      <c r="A5164" s="8" t="s">
        <v>27917</v>
      </c>
      <c r="B5164" s="9" t="s">
        <v>27918</v>
      </c>
      <c r="C5164" s="8" t="s">
        <v>27919</v>
      </c>
      <c r="D5164" s="8" t="s">
        <v>27919</v>
      </c>
      <c r="E5164" s="8" t="s">
        <v>27920</v>
      </c>
      <c r="F5164" s="8" t="s">
        <v>27921</v>
      </c>
      <c r="G5164" s="8" t="s">
        <v>27922</v>
      </c>
      <c r="H5164" s="8" t="s">
        <v>27923</v>
      </c>
      <c r="I5164" s="8" t="str">
        <f>HYPERLINK("http://www.minafashionsrl.it/","www.minafashionsrl.it")</f>
        <v>www.minafashionsrl.it</v>
      </c>
      <c r="J5164" s="10">
        <v>1158.32</v>
      </c>
      <c r="K5164" s="15" t="s">
        <v>27856</v>
      </c>
      <c r="L5164" s="15" t="s">
        <v>27856</v>
      </c>
      <c r="M5164" s="10">
        <v>202.78100000000001</v>
      </c>
      <c r="N5164" s="15" t="s">
        <v>27856</v>
      </c>
      <c r="O5164" s="15" t="s">
        <v>27856</v>
      </c>
      <c r="P5164" s="10">
        <v>24</v>
      </c>
      <c r="Q5164" s="15" t="s">
        <v>27856</v>
      </c>
      <c r="R5164" s="15" t="s">
        <v>27856</v>
      </c>
    </row>
    <row r="5165" spans="1:18" ht="17" customHeight="1" x14ac:dyDescent="0.15">
      <c r="A5165" s="11" t="s">
        <v>27924</v>
      </c>
      <c r="B5165" s="1" t="s">
        <v>27925</v>
      </c>
      <c r="C5165" s="11" t="s">
        <v>27926</v>
      </c>
      <c r="D5165" s="11" t="s">
        <v>27926</v>
      </c>
      <c r="E5165" s="11" t="s">
        <v>27927</v>
      </c>
      <c r="F5165" s="11" t="s">
        <v>27928</v>
      </c>
      <c r="G5165" s="11" t="s">
        <v>27929</v>
      </c>
      <c r="H5165" s="11" t="s">
        <v>27863</v>
      </c>
      <c r="I5165" s="11" t="str">
        <f>HYPERLINK("http://www.pieroguidi.it/","www.pieroguidi.it")</f>
        <v>www.pieroguidi.it</v>
      </c>
      <c r="J5165" s="12">
        <v>1125.511</v>
      </c>
      <c r="K5165" s="14" t="s">
        <v>27856</v>
      </c>
      <c r="L5165" s="16" t="s">
        <v>27856</v>
      </c>
      <c r="M5165" s="12">
        <v>4.3540000000000001</v>
      </c>
      <c r="N5165" s="14" t="s">
        <v>27856</v>
      </c>
      <c r="O5165" s="14" t="s">
        <v>27856</v>
      </c>
      <c r="P5165" s="12">
        <v>11</v>
      </c>
      <c r="Q5165" s="14" t="s">
        <v>27856</v>
      </c>
      <c r="R5165" s="14" t="s">
        <v>27856</v>
      </c>
    </row>
    <row r="5166" spans="1:18" ht="17" customHeight="1" x14ac:dyDescent="0.15">
      <c r="A5166" s="8" t="s">
        <v>27930</v>
      </c>
      <c r="B5166" s="9" t="s">
        <v>27931</v>
      </c>
      <c r="C5166" s="8" t="s">
        <v>27932</v>
      </c>
      <c r="D5166" s="8" t="s">
        <v>27932</v>
      </c>
      <c r="E5166" s="8" t="s">
        <v>27933</v>
      </c>
      <c r="F5166" s="8" t="s">
        <v>27934</v>
      </c>
      <c r="G5166" s="8" t="s">
        <v>27935</v>
      </c>
      <c r="H5166" s="8" t="s">
        <v>27910</v>
      </c>
      <c r="I5166" s="8" t="str">
        <f>HYPERLINK("http://www.simosrl.eu/","www.simosrl.eu")</f>
        <v>www.simosrl.eu</v>
      </c>
      <c r="J5166" s="10">
        <v>1100.4849999999999</v>
      </c>
      <c r="K5166" s="15" t="s">
        <v>27856</v>
      </c>
      <c r="L5166" s="15" t="s">
        <v>27856</v>
      </c>
      <c r="M5166" s="10">
        <v>86.07</v>
      </c>
      <c r="N5166" s="15" t="s">
        <v>27856</v>
      </c>
      <c r="O5166" s="15" t="s">
        <v>27856</v>
      </c>
      <c r="P5166" s="10">
        <v>9</v>
      </c>
      <c r="Q5166" s="15" t="s">
        <v>27856</v>
      </c>
      <c r="R5166" s="15" t="s">
        <v>27856</v>
      </c>
    </row>
    <row r="5167" spans="1:18" ht="17" customHeight="1" x14ac:dyDescent="0.15">
      <c r="A5167" s="11" t="s">
        <v>27936</v>
      </c>
      <c r="B5167" s="1" t="s">
        <v>27937</v>
      </c>
      <c r="C5167" s="11" t="s">
        <v>27938</v>
      </c>
      <c r="D5167" s="11" t="s">
        <v>27938</v>
      </c>
      <c r="E5167" s="11" t="s">
        <v>27939</v>
      </c>
      <c r="F5167" s="11" t="s">
        <v>27890</v>
      </c>
      <c r="G5167" s="11" t="s">
        <v>27940</v>
      </c>
      <c r="H5167" s="11" t="s">
        <v>27875</v>
      </c>
      <c r="I5167" s="11" t="str">
        <f>HYPERLINK("http://www.usilcurtun.com/","www.usilcurtun.com")</f>
        <v>www.usilcurtun.com</v>
      </c>
      <c r="J5167" s="12">
        <v>1059.048</v>
      </c>
      <c r="K5167" s="14" t="s">
        <v>27856</v>
      </c>
      <c r="L5167" s="16" t="s">
        <v>27856</v>
      </c>
      <c r="M5167" s="12">
        <v>-10.028</v>
      </c>
      <c r="N5167" s="14" t="s">
        <v>27856</v>
      </c>
      <c r="O5167" s="14" t="s">
        <v>27856</v>
      </c>
      <c r="P5167" s="12">
        <v>12</v>
      </c>
      <c r="Q5167" s="14" t="s">
        <v>27856</v>
      </c>
      <c r="R5167" s="14" t="s">
        <v>27856</v>
      </c>
    </row>
    <row r="5168" spans="1:18" ht="17" customHeight="1" x14ac:dyDescent="0.15">
      <c r="A5168" s="8" t="s">
        <v>27941</v>
      </c>
      <c r="B5168" s="9" t="s">
        <v>27942</v>
      </c>
      <c r="C5168" s="8" t="s">
        <v>27943</v>
      </c>
      <c r="D5168" s="8" t="s">
        <v>27943</v>
      </c>
      <c r="E5168" s="8" t="s">
        <v>27944</v>
      </c>
      <c r="F5168" s="8" t="s">
        <v>27890</v>
      </c>
      <c r="G5168" s="8" t="s">
        <v>27945</v>
      </c>
      <c r="H5168" s="8" t="s">
        <v>27946</v>
      </c>
      <c r="I5168" s="8" t="str">
        <f>HYPERLINK("http://www.millamoda.com/","www.millamoda.com")</f>
        <v>www.millamoda.com</v>
      </c>
      <c r="J5168" s="10">
        <v>1054.29</v>
      </c>
      <c r="K5168" s="15" t="s">
        <v>27856</v>
      </c>
      <c r="L5168" s="15" t="s">
        <v>27856</v>
      </c>
      <c r="M5168" s="10">
        <v>48.475999999999999</v>
      </c>
      <c r="N5168" s="15" t="s">
        <v>27856</v>
      </c>
      <c r="O5168" s="15" t="s">
        <v>27856</v>
      </c>
      <c r="P5168" s="10">
        <v>10</v>
      </c>
      <c r="Q5168" s="15" t="s">
        <v>27856</v>
      </c>
      <c r="R5168" s="15" t="s">
        <v>27856</v>
      </c>
    </row>
    <row r="5169" spans="1:18" ht="17" customHeight="1" x14ac:dyDescent="0.15">
      <c r="A5169" s="11" t="s">
        <v>27947</v>
      </c>
      <c r="B5169" s="1" t="s">
        <v>27948</v>
      </c>
      <c r="C5169" s="11" t="s">
        <v>27949</v>
      </c>
      <c r="D5169" s="11" t="s">
        <v>27949</v>
      </c>
      <c r="E5169" s="11" t="s">
        <v>27950</v>
      </c>
      <c r="F5169" s="11" t="s">
        <v>27861</v>
      </c>
      <c r="G5169" s="11" t="s">
        <v>27951</v>
      </c>
      <c r="H5169" s="11" t="s">
        <v>27875</v>
      </c>
      <c r="I5169" s="11" t="str">
        <f>HYPERLINK("http://www.lartigianaviareggina.it/","www.lartigianaviareggina.it")</f>
        <v>www.lartigianaviareggina.it</v>
      </c>
      <c r="J5169" s="12">
        <v>1026.9670000000001</v>
      </c>
      <c r="K5169" s="14" t="s">
        <v>27856</v>
      </c>
      <c r="L5169" s="16" t="s">
        <v>27856</v>
      </c>
      <c r="M5169" s="12">
        <v>-26.995999999999999</v>
      </c>
      <c r="N5169" s="14" t="s">
        <v>27856</v>
      </c>
      <c r="O5169" s="14" t="s">
        <v>27856</v>
      </c>
      <c r="P5169" s="12">
        <v>18</v>
      </c>
      <c r="Q5169" s="14" t="s">
        <v>27856</v>
      </c>
      <c r="R5169" s="14" t="s">
        <v>27856</v>
      </c>
    </row>
    <row r="5170" spans="1:18" ht="17" customHeight="1" x14ac:dyDescent="0.15">
      <c r="A5170" s="8" t="s">
        <v>27952</v>
      </c>
      <c r="B5170" s="9" t="s">
        <v>27953</v>
      </c>
      <c r="C5170" s="8" t="s">
        <v>27954</v>
      </c>
      <c r="D5170" s="8" t="s">
        <v>27954</v>
      </c>
      <c r="E5170" s="8" t="s">
        <v>27955</v>
      </c>
      <c r="F5170" s="8" t="s">
        <v>27861</v>
      </c>
      <c r="G5170" s="8" t="s">
        <v>27862</v>
      </c>
      <c r="H5170" s="8" t="s">
        <v>27863</v>
      </c>
      <c r="I5170" s="8" t="str">
        <f>HYPERLINK("http://www.zecchinodoro.it/","www.zecchinodoro.it")</f>
        <v>www.zecchinodoro.it</v>
      </c>
      <c r="J5170" s="10">
        <v>997.279</v>
      </c>
      <c r="K5170" s="10">
        <v>997.279</v>
      </c>
      <c r="L5170" s="15" t="s">
        <v>27856</v>
      </c>
      <c r="M5170" s="10">
        <v>26.754000000000001</v>
      </c>
      <c r="N5170" s="10">
        <v>26.754000000000001</v>
      </c>
      <c r="O5170" s="15" t="s">
        <v>27856</v>
      </c>
      <c r="P5170" s="10">
        <v>2</v>
      </c>
      <c r="Q5170" s="10">
        <v>2</v>
      </c>
      <c r="R5170" s="15" t="s">
        <v>27856</v>
      </c>
    </row>
    <row r="5171" spans="1:18" ht="17" customHeight="1" x14ac:dyDescent="0.15">
      <c r="A5171" s="11" t="s">
        <v>27956</v>
      </c>
      <c r="B5171" s="1" t="s">
        <v>27957</v>
      </c>
      <c r="C5171" s="11" t="s">
        <v>27958</v>
      </c>
      <c r="D5171" s="11" t="s">
        <v>27958</v>
      </c>
      <c r="E5171" s="11" t="s">
        <v>27959</v>
      </c>
      <c r="F5171" s="11" t="s">
        <v>27960</v>
      </c>
      <c r="G5171" s="11" t="s">
        <v>27915</v>
      </c>
      <c r="H5171" s="11" t="s">
        <v>27916</v>
      </c>
      <c r="I5171" s="11" t="str">
        <f>HYPERLINK("http://www.lajole.com/","www.lajole.com")</f>
        <v>www.lajole.com</v>
      </c>
      <c r="J5171" s="12">
        <v>976.601</v>
      </c>
      <c r="K5171" s="14" t="s">
        <v>27856</v>
      </c>
      <c r="L5171" s="16" t="s">
        <v>27856</v>
      </c>
      <c r="M5171" s="12">
        <v>-30.94</v>
      </c>
      <c r="N5171" s="14" t="s">
        <v>27856</v>
      </c>
      <c r="O5171" s="14" t="s">
        <v>27856</v>
      </c>
      <c r="P5171" s="12">
        <v>11</v>
      </c>
      <c r="Q5171" s="14" t="s">
        <v>27856</v>
      </c>
      <c r="R5171" s="14" t="s">
        <v>27856</v>
      </c>
    </row>
    <row r="5172" spans="1:18" ht="17" customHeight="1" x14ac:dyDescent="0.15">
      <c r="A5172" s="8" t="s">
        <v>27961</v>
      </c>
      <c r="B5172" s="9" t="s">
        <v>27962</v>
      </c>
      <c r="C5172" s="8" t="s">
        <v>27963</v>
      </c>
      <c r="D5172" s="8" t="s">
        <v>27963</v>
      </c>
      <c r="E5172" s="8" t="s">
        <v>27964</v>
      </c>
      <c r="F5172" s="8" t="s">
        <v>27902</v>
      </c>
      <c r="G5172" s="8" t="s">
        <v>27922</v>
      </c>
      <c r="H5172" s="8" t="s">
        <v>27923</v>
      </c>
      <c r="I5172" s="8" t="str">
        <f>HYPERLINK("http://www.florensgloves.net/","www.florensgloves.net")</f>
        <v>www.florensgloves.net</v>
      </c>
      <c r="J5172" s="10">
        <v>928.31500000000005</v>
      </c>
      <c r="K5172" s="15" t="s">
        <v>27856</v>
      </c>
      <c r="L5172" s="15" t="s">
        <v>27856</v>
      </c>
      <c r="M5172" s="10">
        <v>3.1070000000000002</v>
      </c>
      <c r="N5172" s="15" t="s">
        <v>27856</v>
      </c>
      <c r="O5172" s="15" t="s">
        <v>27856</v>
      </c>
      <c r="P5172" s="10">
        <v>0</v>
      </c>
      <c r="Q5172" s="15" t="s">
        <v>27856</v>
      </c>
      <c r="R5172" s="15" t="s">
        <v>27856</v>
      </c>
    </row>
    <row r="5173" spans="1:18" ht="17" customHeight="1" x14ac:dyDescent="0.15">
      <c r="A5173" s="11" t="s">
        <v>27965</v>
      </c>
      <c r="B5173" s="1" t="s">
        <v>27966</v>
      </c>
      <c r="C5173" s="11" t="s">
        <v>27967</v>
      </c>
      <c r="D5173" s="11" t="s">
        <v>27967</v>
      </c>
      <c r="E5173" s="11" t="s">
        <v>27968</v>
      </c>
      <c r="F5173" s="11" t="s">
        <v>27921</v>
      </c>
      <c r="G5173" s="11" t="s">
        <v>27969</v>
      </c>
      <c r="H5173" s="11" t="s">
        <v>27970</v>
      </c>
      <c r="I5173" s="11" t="str">
        <f>HYPERLINK("http://www.officinetessili.it/","www.officinetessili.it")</f>
        <v>www.officinetessili.it</v>
      </c>
      <c r="J5173" s="12">
        <v>926.16200000000003</v>
      </c>
      <c r="K5173" s="14" t="s">
        <v>27856</v>
      </c>
      <c r="L5173" s="16" t="s">
        <v>27856</v>
      </c>
      <c r="M5173" s="12">
        <v>-58.194000000000003</v>
      </c>
      <c r="N5173" s="14" t="s">
        <v>27856</v>
      </c>
      <c r="O5173" s="14" t="s">
        <v>27856</v>
      </c>
      <c r="P5173" s="12">
        <v>1</v>
      </c>
      <c r="Q5173" s="14" t="s">
        <v>27856</v>
      </c>
      <c r="R5173" s="14" t="s">
        <v>27856</v>
      </c>
    </row>
    <row r="5174" spans="1:18" ht="17" customHeight="1" x14ac:dyDescent="0.15">
      <c r="A5174" s="8" t="s">
        <v>27971</v>
      </c>
      <c r="B5174" s="9" t="s">
        <v>27972</v>
      </c>
      <c r="C5174" s="8" t="s">
        <v>27973</v>
      </c>
      <c r="D5174" s="8" t="s">
        <v>27973</v>
      </c>
      <c r="E5174" s="8" t="s">
        <v>27974</v>
      </c>
      <c r="F5174" s="8" t="s">
        <v>27975</v>
      </c>
      <c r="G5174" s="8" t="s">
        <v>27880</v>
      </c>
      <c r="H5174" s="8" t="s">
        <v>27881</v>
      </c>
      <c r="I5174" s="8" t="str">
        <f>HYPERLINK("http://www.sartoriacazzaniga.it/","www.sartoriacazzaniga.it")</f>
        <v>www.sartoriacazzaniga.it</v>
      </c>
      <c r="J5174" s="10">
        <v>923.26900000000001</v>
      </c>
      <c r="K5174" s="15" t="s">
        <v>27856</v>
      </c>
      <c r="L5174" s="15" t="s">
        <v>27856</v>
      </c>
      <c r="M5174" s="10">
        <v>-202.31</v>
      </c>
      <c r="N5174" s="15" t="s">
        <v>27856</v>
      </c>
      <c r="O5174" s="15" t="s">
        <v>27856</v>
      </c>
      <c r="P5174" s="10">
        <v>15</v>
      </c>
      <c r="Q5174" s="15" t="s">
        <v>27856</v>
      </c>
      <c r="R5174" s="15" t="s">
        <v>27856</v>
      </c>
    </row>
    <row r="5175" spans="1:18" ht="17" customHeight="1" x14ac:dyDescent="0.15">
      <c r="A5175" s="11" t="s">
        <v>27976</v>
      </c>
      <c r="B5175" s="1" t="s">
        <v>27977</v>
      </c>
      <c r="C5175" s="11" t="s">
        <v>27978</v>
      </c>
      <c r="D5175" s="11" t="s">
        <v>27978</v>
      </c>
      <c r="E5175" s="11" t="s">
        <v>27979</v>
      </c>
      <c r="F5175" s="11" t="s">
        <v>27980</v>
      </c>
      <c r="G5175" s="11" t="s">
        <v>27981</v>
      </c>
      <c r="H5175" s="11" t="s">
        <v>27982</v>
      </c>
      <c r="I5175" s="11" t="str">
        <f>HYPERLINK("http://www.onesrl.one/","www.onesrl.one")</f>
        <v>www.onesrl.one</v>
      </c>
      <c r="J5175" s="12">
        <v>908.471</v>
      </c>
      <c r="K5175" s="12">
        <v>908.471</v>
      </c>
      <c r="L5175" s="16" t="s">
        <v>27856</v>
      </c>
      <c r="M5175" s="12">
        <v>0.65800000000000003</v>
      </c>
      <c r="N5175" s="12">
        <v>0.65800000000000003</v>
      </c>
      <c r="O5175" s="14" t="s">
        <v>27856</v>
      </c>
      <c r="P5175" s="12">
        <v>1</v>
      </c>
      <c r="Q5175" s="12">
        <v>1</v>
      </c>
      <c r="R5175" s="14" t="s">
        <v>27856</v>
      </c>
    </row>
    <row r="5176" spans="1:18" ht="17" customHeight="1" x14ac:dyDescent="0.15">
      <c r="A5176" s="8" t="s">
        <v>27983</v>
      </c>
      <c r="B5176" s="9" t="s">
        <v>27984</v>
      </c>
      <c r="C5176" s="8" t="s">
        <v>27985</v>
      </c>
      <c r="D5176" s="8" t="s">
        <v>27985</v>
      </c>
      <c r="E5176" s="8" t="s">
        <v>27986</v>
      </c>
      <c r="F5176" s="8" t="s">
        <v>27890</v>
      </c>
      <c r="G5176" s="8" t="s">
        <v>27987</v>
      </c>
      <c r="H5176" s="8" t="s">
        <v>27988</v>
      </c>
      <c r="I5176" s="8" t="str">
        <f>HYPERLINK("http://www.bambolita.it/","www.bambolita.it")</f>
        <v>www.bambolita.it</v>
      </c>
      <c r="J5176" s="10">
        <v>905.6</v>
      </c>
      <c r="K5176" s="15" t="s">
        <v>27856</v>
      </c>
      <c r="L5176" s="15" t="s">
        <v>27856</v>
      </c>
      <c r="M5176" s="10">
        <v>13.374000000000001</v>
      </c>
      <c r="N5176" s="15" t="s">
        <v>27856</v>
      </c>
      <c r="O5176" s="15" t="s">
        <v>27856</v>
      </c>
      <c r="P5176" s="10">
        <v>15</v>
      </c>
      <c r="Q5176" s="15" t="s">
        <v>27856</v>
      </c>
      <c r="R5176" s="15" t="s">
        <v>27856</v>
      </c>
    </row>
    <row r="5177" spans="1:18" ht="17" customHeight="1" x14ac:dyDescent="0.15">
      <c r="A5177" s="11" t="s">
        <v>27989</v>
      </c>
      <c r="B5177" s="1" t="s">
        <v>27990</v>
      </c>
      <c r="C5177" s="11" t="s">
        <v>27991</v>
      </c>
      <c r="D5177" s="11" t="s">
        <v>27991</v>
      </c>
      <c r="E5177" s="11" t="s">
        <v>27992</v>
      </c>
      <c r="F5177" s="11" t="s">
        <v>27902</v>
      </c>
      <c r="G5177" s="11" t="s">
        <v>27993</v>
      </c>
      <c r="H5177" s="11" t="s">
        <v>27875</v>
      </c>
      <c r="I5177" s="11" t="str">
        <f>HYPERLINK("http://isabelleblanche.com/","isabelleblanche.com")</f>
        <v>isabelleblanche.com</v>
      </c>
      <c r="J5177" s="12">
        <v>894.43100000000004</v>
      </c>
      <c r="K5177" s="14" t="s">
        <v>27856</v>
      </c>
      <c r="L5177" s="16" t="s">
        <v>27856</v>
      </c>
      <c r="M5177" s="12">
        <v>-23.11</v>
      </c>
      <c r="N5177" s="14" t="s">
        <v>27856</v>
      </c>
      <c r="O5177" s="14" t="s">
        <v>27856</v>
      </c>
      <c r="P5177" s="12">
        <v>2</v>
      </c>
      <c r="Q5177" s="14" t="s">
        <v>27856</v>
      </c>
      <c r="R5177" s="14" t="s">
        <v>27856</v>
      </c>
    </row>
    <row r="5178" spans="1:18" ht="17" customHeight="1" x14ac:dyDescent="0.15">
      <c r="A5178" s="8" t="s">
        <v>27994</v>
      </c>
      <c r="B5178" s="9" t="s">
        <v>27995</v>
      </c>
      <c r="C5178" s="8" t="s">
        <v>27996</v>
      </c>
      <c r="D5178" s="8" t="s">
        <v>27996</v>
      </c>
      <c r="E5178" s="8" t="s">
        <v>27997</v>
      </c>
      <c r="F5178" s="8" t="s">
        <v>27890</v>
      </c>
      <c r="G5178" s="8" t="s">
        <v>27998</v>
      </c>
      <c r="H5178" s="8" t="s">
        <v>27910</v>
      </c>
      <c r="I5178" s="8" t="str">
        <f>HYPERLINK("http://www.simonavignoli.it/","www.simonavignoli.it")</f>
        <v>www.simonavignoli.it</v>
      </c>
      <c r="J5178" s="10">
        <v>886.19</v>
      </c>
      <c r="K5178" s="15" t="s">
        <v>27856</v>
      </c>
      <c r="L5178" s="15" t="s">
        <v>27856</v>
      </c>
      <c r="M5178" s="10">
        <v>39.552</v>
      </c>
      <c r="N5178" s="15" t="s">
        <v>27856</v>
      </c>
      <c r="O5178" s="15" t="s">
        <v>27856</v>
      </c>
      <c r="P5178" s="10">
        <v>2</v>
      </c>
      <c r="Q5178" s="15" t="s">
        <v>27856</v>
      </c>
      <c r="R5178" s="15" t="s">
        <v>27856</v>
      </c>
    </row>
    <row r="5179" spans="1:18" ht="17" customHeight="1" x14ac:dyDescent="0.15">
      <c r="A5179" s="11" t="s">
        <v>27999</v>
      </c>
      <c r="B5179" s="1" t="s">
        <v>28000</v>
      </c>
      <c r="C5179" s="11" t="s">
        <v>28001</v>
      </c>
      <c r="D5179" s="11" t="s">
        <v>28001</v>
      </c>
      <c r="E5179" s="11" t="s">
        <v>28002</v>
      </c>
      <c r="F5179" s="11" t="s">
        <v>28003</v>
      </c>
      <c r="G5179" s="11" t="s">
        <v>28004</v>
      </c>
      <c r="H5179" s="11" t="s">
        <v>28005</v>
      </c>
      <c r="I5179" s="11" t="str">
        <f>HYPERLINK("http://www.ufficiosrl.com/","www.ufficiosrl.com")</f>
        <v>www.ufficiosrl.com</v>
      </c>
      <c r="J5179" s="12">
        <v>857.43299999999999</v>
      </c>
      <c r="K5179" s="14" t="s">
        <v>27856</v>
      </c>
      <c r="L5179" s="16" t="s">
        <v>27856</v>
      </c>
      <c r="M5179" s="12">
        <v>124.932</v>
      </c>
      <c r="N5179" s="14" t="s">
        <v>27856</v>
      </c>
      <c r="O5179" s="14" t="s">
        <v>27856</v>
      </c>
      <c r="P5179" s="12">
        <v>12</v>
      </c>
      <c r="Q5179" s="14" t="s">
        <v>27856</v>
      </c>
      <c r="R5179" s="14" t="s">
        <v>27856</v>
      </c>
    </row>
    <row r="5180" spans="1:18" ht="29.5" customHeight="1" x14ac:dyDescent="0.15">
      <c r="A5180" s="8" t="s">
        <v>28006</v>
      </c>
      <c r="B5180" s="9" t="s">
        <v>28007</v>
      </c>
      <c r="C5180" s="8" t="s">
        <v>28008</v>
      </c>
      <c r="D5180" s="8" t="s">
        <v>28008</v>
      </c>
      <c r="E5180" s="8" t="s">
        <v>28009</v>
      </c>
      <c r="F5180" s="8" t="s">
        <v>27890</v>
      </c>
      <c r="G5180" s="8" t="s">
        <v>27910</v>
      </c>
      <c r="H5180" s="8" t="s">
        <v>27910</v>
      </c>
      <c r="I5180" s="8" t="str">
        <f>HYPERLINK("http://www.rossoperla.it/","www.rossoperla.it")</f>
        <v>www.rossoperla.it</v>
      </c>
      <c r="J5180" s="10">
        <v>849.92600000000004</v>
      </c>
      <c r="K5180" s="15" t="s">
        <v>27856</v>
      </c>
      <c r="L5180" s="15" t="s">
        <v>27856</v>
      </c>
      <c r="M5180" s="10">
        <v>-172.05799999999999</v>
      </c>
      <c r="N5180" s="15" t="s">
        <v>27856</v>
      </c>
      <c r="O5180" s="15" t="s">
        <v>27856</v>
      </c>
      <c r="P5180" s="10">
        <v>3</v>
      </c>
      <c r="Q5180" s="15" t="s">
        <v>27856</v>
      </c>
      <c r="R5180" s="15" t="s">
        <v>27856</v>
      </c>
    </row>
    <row r="5181" spans="1:18" ht="17" customHeight="1" x14ac:dyDescent="0.15">
      <c r="A5181" s="11" t="s">
        <v>28010</v>
      </c>
      <c r="B5181" s="1" t="s">
        <v>28011</v>
      </c>
      <c r="C5181" s="11" t="s">
        <v>28012</v>
      </c>
      <c r="D5181" s="11" t="s">
        <v>28012</v>
      </c>
      <c r="E5181" s="11" t="s">
        <v>28013</v>
      </c>
      <c r="F5181" s="11" t="s">
        <v>27928</v>
      </c>
      <c r="G5181" s="11" t="s">
        <v>28014</v>
      </c>
      <c r="H5181" s="11" t="s">
        <v>27910</v>
      </c>
      <c r="I5181" s="11" t="str">
        <f>HYPERLINK("http://www.piepelletteria.it/","www.piepelletteria.it")</f>
        <v>www.piepelletteria.it</v>
      </c>
      <c r="J5181" s="12">
        <v>846.52099999999996</v>
      </c>
      <c r="K5181" s="14" t="s">
        <v>27856</v>
      </c>
      <c r="L5181" s="16" t="s">
        <v>27856</v>
      </c>
      <c r="M5181" s="12">
        <v>22.189</v>
      </c>
      <c r="N5181" s="14" t="s">
        <v>27856</v>
      </c>
      <c r="O5181" s="14" t="s">
        <v>27856</v>
      </c>
      <c r="P5181" s="12">
        <v>35</v>
      </c>
      <c r="Q5181" s="14" t="s">
        <v>27856</v>
      </c>
      <c r="R5181" s="14" t="s">
        <v>27856</v>
      </c>
    </row>
    <row r="5182" spans="1:18" ht="17" customHeight="1" x14ac:dyDescent="0.15">
      <c r="A5182" s="8" t="s">
        <v>28015</v>
      </c>
      <c r="B5182" s="9" t="s">
        <v>28016</v>
      </c>
      <c r="C5182" s="8" t="s">
        <v>28017</v>
      </c>
      <c r="D5182" s="8" t="s">
        <v>28017</v>
      </c>
      <c r="E5182" s="8" t="s">
        <v>28018</v>
      </c>
      <c r="F5182" s="8" t="s">
        <v>27890</v>
      </c>
      <c r="G5182" s="8" t="s">
        <v>28019</v>
      </c>
      <c r="H5182" s="8" t="s">
        <v>27970</v>
      </c>
      <c r="I5182" s="8" t="str">
        <f>HYPERLINK("http://www.marzullomoda.com/","www.marzullomoda.com")</f>
        <v>www.marzullomoda.com</v>
      </c>
      <c r="J5182" s="10">
        <v>842.10500000000002</v>
      </c>
      <c r="K5182" s="15" t="s">
        <v>27856</v>
      </c>
      <c r="L5182" s="15" t="s">
        <v>27856</v>
      </c>
      <c r="M5182" s="10">
        <v>1.2889999999999999</v>
      </c>
      <c r="N5182" s="15" t="s">
        <v>27856</v>
      </c>
      <c r="O5182" s="15" t="s">
        <v>27856</v>
      </c>
      <c r="P5182" s="15" t="s">
        <v>27856</v>
      </c>
      <c r="Q5182" s="15" t="s">
        <v>27856</v>
      </c>
      <c r="R5182" s="15" t="s">
        <v>27856</v>
      </c>
    </row>
    <row r="5183" spans="1:18" ht="17" customHeight="1" x14ac:dyDescent="0.15">
      <c r="A5183" s="11" t="s">
        <v>28020</v>
      </c>
      <c r="B5183" s="1" t="s">
        <v>28021</v>
      </c>
      <c r="C5183" s="11" t="s">
        <v>28022</v>
      </c>
      <c r="D5183" s="11" t="s">
        <v>28022</v>
      </c>
      <c r="E5183" s="11" t="s">
        <v>28023</v>
      </c>
      <c r="F5183" s="11" t="s">
        <v>27890</v>
      </c>
      <c r="G5183" s="11" t="s">
        <v>28024</v>
      </c>
      <c r="H5183" s="11" t="s">
        <v>27988</v>
      </c>
      <c r="I5183" s="11" t="str">
        <f>HYPERLINK("http://www.bagnardisons.it/","www.bagnardisons.it")</f>
        <v>www.bagnardisons.it</v>
      </c>
      <c r="J5183" s="12">
        <v>823.428</v>
      </c>
      <c r="K5183" s="14" t="s">
        <v>27856</v>
      </c>
      <c r="L5183" s="16" t="s">
        <v>27856</v>
      </c>
      <c r="M5183" s="12">
        <v>-35.631</v>
      </c>
      <c r="N5183" s="14" t="s">
        <v>27856</v>
      </c>
      <c r="O5183" s="14" t="s">
        <v>27856</v>
      </c>
      <c r="P5183" s="12">
        <v>8</v>
      </c>
      <c r="Q5183" s="14" t="s">
        <v>27856</v>
      </c>
      <c r="R5183" s="14" t="s">
        <v>27856</v>
      </c>
    </row>
    <row r="5184" spans="1:18" ht="17" customHeight="1" x14ac:dyDescent="0.15">
      <c r="A5184" s="8" t="s">
        <v>28025</v>
      </c>
      <c r="B5184" s="9" t="s">
        <v>28026</v>
      </c>
      <c r="C5184" s="8" t="s">
        <v>28027</v>
      </c>
      <c r="D5184" s="8" t="s">
        <v>28027</v>
      </c>
      <c r="E5184" s="8" t="s">
        <v>28028</v>
      </c>
      <c r="F5184" s="8" t="s">
        <v>27960</v>
      </c>
      <c r="G5184" s="8" t="s">
        <v>28024</v>
      </c>
      <c r="H5184" s="8" t="s">
        <v>27988</v>
      </c>
      <c r="I5184" s="8" t="str">
        <f>HYPERLINK("http://www.a13alba.com/","www.a13alba.com")</f>
        <v>www.a13alba.com</v>
      </c>
      <c r="J5184" s="10">
        <v>797.29</v>
      </c>
      <c r="K5184" s="15" t="s">
        <v>27856</v>
      </c>
      <c r="L5184" s="15" t="s">
        <v>27856</v>
      </c>
      <c r="M5184" s="10">
        <v>2.4740000000000002</v>
      </c>
      <c r="N5184" s="15" t="s">
        <v>27856</v>
      </c>
      <c r="O5184" s="15" t="s">
        <v>27856</v>
      </c>
      <c r="P5184" s="10">
        <v>4</v>
      </c>
      <c r="Q5184" s="15" t="s">
        <v>27856</v>
      </c>
      <c r="R5184" s="15" t="s">
        <v>27856</v>
      </c>
    </row>
    <row r="5185" spans="1:18" ht="17" customHeight="1" x14ac:dyDescent="0.15">
      <c r="A5185" s="11" t="s">
        <v>28029</v>
      </c>
      <c r="B5185" s="1" t="s">
        <v>28030</v>
      </c>
      <c r="C5185" s="11" t="s">
        <v>28031</v>
      </c>
      <c r="D5185" s="11" t="s">
        <v>28031</v>
      </c>
      <c r="E5185" s="11" t="s">
        <v>28032</v>
      </c>
      <c r="F5185" s="11" t="s">
        <v>28033</v>
      </c>
      <c r="G5185" s="11" t="s">
        <v>28034</v>
      </c>
      <c r="H5185" s="11" t="s">
        <v>28035</v>
      </c>
      <c r="I5185" s="11" t="str">
        <f>HYPERLINK("http://www.mymancini.it/","www.mymancini.it")</f>
        <v>www.mymancini.it</v>
      </c>
      <c r="J5185" s="12">
        <v>794.55</v>
      </c>
      <c r="K5185" s="12">
        <v>794.55</v>
      </c>
      <c r="L5185" s="16" t="s">
        <v>28036</v>
      </c>
      <c r="M5185" s="12">
        <v>-11.724</v>
      </c>
      <c r="N5185" s="12">
        <v>-11.724</v>
      </c>
      <c r="O5185" s="14" t="s">
        <v>28036</v>
      </c>
      <c r="P5185" s="12">
        <v>21</v>
      </c>
      <c r="Q5185" s="12">
        <v>21</v>
      </c>
      <c r="R5185" s="14" t="s">
        <v>28036</v>
      </c>
    </row>
    <row r="5186" spans="1:18" ht="17" customHeight="1" x14ac:dyDescent="0.15">
      <c r="A5186" s="8" t="s">
        <v>28037</v>
      </c>
      <c r="B5186" s="9" t="s">
        <v>28038</v>
      </c>
      <c r="C5186" s="8" t="s">
        <v>28039</v>
      </c>
      <c r="D5186" s="8" t="s">
        <v>28039</v>
      </c>
      <c r="E5186" s="8" t="s">
        <v>28040</v>
      </c>
      <c r="F5186" s="8" t="s">
        <v>28041</v>
      </c>
      <c r="G5186" s="8" t="s">
        <v>28042</v>
      </c>
      <c r="H5186" s="8" t="s">
        <v>28043</v>
      </c>
      <c r="I5186" s="8" t="str">
        <f>HYPERLINK("http://www.staloni.it/","www.staloni.it")</f>
        <v>www.staloni.it</v>
      </c>
      <c r="J5186" s="10">
        <v>788.96100000000001</v>
      </c>
      <c r="K5186" s="10">
        <v>788.96100000000001</v>
      </c>
      <c r="L5186" s="15" t="s">
        <v>28036</v>
      </c>
      <c r="M5186" s="10">
        <v>13.009</v>
      </c>
      <c r="N5186" s="10">
        <v>13.009</v>
      </c>
      <c r="O5186" s="15" t="s">
        <v>28036</v>
      </c>
      <c r="P5186" s="15" t="s">
        <v>28036</v>
      </c>
      <c r="Q5186" s="15" t="s">
        <v>28036</v>
      </c>
      <c r="R5186" s="15" t="s">
        <v>28036</v>
      </c>
    </row>
    <row r="5187" spans="1:18" ht="17" customHeight="1" x14ac:dyDescent="0.15">
      <c r="A5187" s="11" t="s">
        <v>28044</v>
      </c>
      <c r="B5187" s="1" t="s">
        <v>28045</v>
      </c>
      <c r="C5187" s="11" t="s">
        <v>28046</v>
      </c>
      <c r="D5187" s="11" t="s">
        <v>28046</v>
      </c>
      <c r="E5187" s="11" t="s">
        <v>28047</v>
      </c>
      <c r="F5187" s="11" t="s">
        <v>28048</v>
      </c>
      <c r="G5187" s="11" t="s">
        <v>28049</v>
      </c>
      <c r="H5187" s="11" t="s">
        <v>28050</v>
      </c>
      <c r="I5187" s="11" t="str">
        <f>HYPERLINK("http://www.mimmagio.it/","www.mimmagio.it")</f>
        <v>www.mimmagio.it</v>
      </c>
      <c r="J5187" s="12">
        <v>785.69</v>
      </c>
      <c r="K5187" s="14" t="s">
        <v>28036</v>
      </c>
      <c r="L5187" s="16" t="s">
        <v>28036</v>
      </c>
      <c r="M5187" s="12">
        <v>29.151</v>
      </c>
      <c r="N5187" s="14" t="s">
        <v>28036</v>
      </c>
      <c r="O5187" s="14" t="s">
        <v>28036</v>
      </c>
      <c r="P5187" s="12">
        <v>9</v>
      </c>
      <c r="Q5187" s="14" t="s">
        <v>28036</v>
      </c>
      <c r="R5187" s="14" t="s">
        <v>28036</v>
      </c>
    </row>
    <row r="5188" spans="1:18" ht="17" customHeight="1" x14ac:dyDescent="0.15">
      <c r="A5188" s="8" t="s">
        <v>28051</v>
      </c>
      <c r="B5188" s="9" t="s">
        <v>28052</v>
      </c>
      <c r="C5188" s="8" t="s">
        <v>28053</v>
      </c>
      <c r="D5188" s="8" t="s">
        <v>28053</v>
      </c>
      <c r="E5188" s="8" t="s">
        <v>28054</v>
      </c>
      <c r="F5188" s="8" t="s">
        <v>28048</v>
      </c>
      <c r="G5188" s="8" t="s">
        <v>28055</v>
      </c>
      <c r="H5188" s="8" t="s">
        <v>28056</v>
      </c>
      <c r="I5188" s="8" t="str">
        <f>HYPERLINK("http://unikool.it/","unikool.it")</f>
        <v>unikool.it</v>
      </c>
      <c r="J5188" s="10">
        <v>783.39700000000005</v>
      </c>
      <c r="K5188" s="15" t="s">
        <v>28036</v>
      </c>
      <c r="L5188" s="15" t="s">
        <v>28036</v>
      </c>
      <c r="M5188" s="10">
        <v>-7.0000000000000007E-2</v>
      </c>
      <c r="N5188" s="15" t="s">
        <v>28036</v>
      </c>
      <c r="O5188" s="15" t="s">
        <v>28036</v>
      </c>
      <c r="P5188" s="10">
        <v>1</v>
      </c>
      <c r="Q5188" s="15" t="s">
        <v>28036</v>
      </c>
      <c r="R5188" s="15" t="s">
        <v>28036</v>
      </c>
    </row>
    <row r="5189" spans="1:18" ht="29.5" customHeight="1" x14ac:dyDescent="0.15">
      <c r="A5189" s="11" t="s">
        <v>28057</v>
      </c>
      <c r="B5189" s="1" t="s">
        <v>28058</v>
      </c>
      <c r="C5189" s="11" t="s">
        <v>28059</v>
      </c>
      <c r="D5189" s="11" t="s">
        <v>28059</v>
      </c>
      <c r="E5189" s="11" t="s">
        <v>28060</v>
      </c>
      <c r="F5189" s="11" t="s">
        <v>28061</v>
      </c>
      <c r="G5189" s="11" t="s">
        <v>28055</v>
      </c>
      <c r="H5189" s="11" t="s">
        <v>28056</v>
      </c>
      <c r="I5189" s="11" t="str">
        <f>HYPERLINK("http://www.venetasuole.it/","www.venetasuole.it")</f>
        <v>www.venetasuole.it</v>
      </c>
      <c r="J5189" s="12">
        <v>760.34699999999998</v>
      </c>
      <c r="K5189" s="12">
        <v>760.34699999999998</v>
      </c>
      <c r="L5189" s="16" t="s">
        <v>28036</v>
      </c>
      <c r="M5189" s="12">
        <v>-58.087000000000003</v>
      </c>
      <c r="N5189" s="12">
        <v>-58.087000000000003</v>
      </c>
      <c r="O5189" s="14" t="s">
        <v>28036</v>
      </c>
      <c r="P5189" s="14" t="s">
        <v>28036</v>
      </c>
      <c r="Q5189" s="14" t="s">
        <v>28036</v>
      </c>
      <c r="R5189" s="14" t="s">
        <v>28036</v>
      </c>
    </row>
    <row r="5190" spans="1:18" ht="17" customHeight="1" x14ac:dyDescent="0.15">
      <c r="A5190" s="8" t="s">
        <v>28062</v>
      </c>
      <c r="B5190" s="9" t="s">
        <v>28063</v>
      </c>
      <c r="C5190" s="8" t="s">
        <v>28064</v>
      </c>
      <c r="D5190" s="8" t="s">
        <v>28064</v>
      </c>
      <c r="E5190" s="8" t="s">
        <v>28065</v>
      </c>
      <c r="F5190" s="8" t="s">
        <v>28033</v>
      </c>
      <c r="G5190" s="8" t="s">
        <v>28066</v>
      </c>
      <c r="H5190" s="8" t="s">
        <v>28056</v>
      </c>
      <c r="I5190" s="8" t="str">
        <f>HYPERLINK("http://www.peruzzigroup.com/","www.peruzzigroup.com")</f>
        <v>www.peruzzigroup.com</v>
      </c>
      <c r="J5190" s="10">
        <v>740.75900000000001</v>
      </c>
      <c r="K5190" s="15" t="s">
        <v>28036</v>
      </c>
      <c r="L5190" s="15" t="s">
        <v>28036</v>
      </c>
      <c r="M5190" s="10">
        <v>6.8479999999999999</v>
      </c>
      <c r="N5190" s="15" t="s">
        <v>28036</v>
      </c>
      <c r="O5190" s="15" t="s">
        <v>28036</v>
      </c>
      <c r="P5190" s="10">
        <v>22</v>
      </c>
      <c r="Q5190" s="15" t="s">
        <v>28036</v>
      </c>
      <c r="R5190" s="15" t="s">
        <v>28036</v>
      </c>
    </row>
    <row r="5191" spans="1:18" ht="17" customHeight="1" x14ac:dyDescent="0.15">
      <c r="A5191" s="11" t="s">
        <v>28067</v>
      </c>
      <c r="B5191" s="1" t="s">
        <v>28068</v>
      </c>
      <c r="C5191" s="11" t="s">
        <v>28069</v>
      </c>
      <c r="D5191" s="11" t="s">
        <v>28069</v>
      </c>
      <c r="E5191" s="11" t="s">
        <v>28070</v>
      </c>
      <c r="F5191" s="11" t="s">
        <v>28033</v>
      </c>
      <c r="G5191" s="11" t="s">
        <v>28071</v>
      </c>
      <c r="H5191" s="11" t="s">
        <v>28072</v>
      </c>
      <c r="I5191" s="11" t="str">
        <f>HYPERLINK("http://hongkong-lux.com/","hongkong-lux.com")</f>
        <v>hongkong-lux.com</v>
      </c>
      <c r="J5191" s="12">
        <v>736.90200000000004</v>
      </c>
      <c r="K5191" s="12">
        <v>736.90200000000004</v>
      </c>
      <c r="L5191" s="16" t="s">
        <v>28036</v>
      </c>
      <c r="M5191" s="12">
        <v>22.908000000000001</v>
      </c>
      <c r="N5191" s="12">
        <v>22.908000000000001</v>
      </c>
      <c r="O5191" s="14" t="s">
        <v>28036</v>
      </c>
      <c r="P5191" s="14" t="s">
        <v>28036</v>
      </c>
      <c r="Q5191" s="14" t="s">
        <v>28036</v>
      </c>
      <c r="R5191" s="14" t="s">
        <v>28036</v>
      </c>
    </row>
    <row r="5192" spans="1:18" ht="17" customHeight="1" x14ac:dyDescent="0.15">
      <c r="A5192" s="8" t="s">
        <v>28073</v>
      </c>
      <c r="B5192" s="9" t="s">
        <v>28074</v>
      </c>
      <c r="C5192" s="8" t="s">
        <v>28075</v>
      </c>
      <c r="D5192" s="8" t="s">
        <v>28075</v>
      </c>
      <c r="E5192" s="8" t="s">
        <v>28076</v>
      </c>
      <c r="F5192" s="8" t="s">
        <v>28077</v>
      </c>
      <c r="G5192" s="8" t="s">
        <v>28078</v>
      </c>
      <c r="H5192" s="8" t="s">
        <v>28056</v>
      </c>
      <c r="I5192" s="8" t="str">
        <f>HYPERLINK("http://www.hyra.it/","www.hyra.it")</f>
        <v>www.hyra.it</v>
      </c>
      <c r="J5192" s="10">
        <v>735.43899999999996</v>
      </c>
      <c r="K5192" s="15" t="s">
        <v>28036</v>
      </c>
      <c r="L5192" s="15" t="s">
        <v>28036</v>
      </c>
      <c r="M5192" s="10">
        <v>-271.65300000000002</v>
      </c>
      <c r="N5192" s="15" t="s">
        <v>28036</v>
      </c>
      <c r="O5192" s="15" t="s">
        <v>28036</v>
      </c>
      <c r="P5192" s="10">
        <v>2</v>
      </c>
      <c r="Q5192" s="15" t="s">
        <v>28036</v>
      </c>
      <c r="R5192" s="15" t="s">
        <v>28036</v>
      </c>
    </row>
    <row r="5193" spans="1:18" ht="17" customHeight="1" x14ac:dyDescent="0.15">
      <c r="A5193" s="11" t="s">
        <v>28079</v>
      </c>
      <c r="B5193" s="1" t="s">
        <v>28080</v>
      </c>
      <c r="C5193" s="11" t="s">
        <v>28081</v>
      </c>
      <c r="D5193" s="11" t="s">
        <v>28081</v>
      </c>
      <c r="E5193" s="11" t="s">
        <v>28082</v>
      </c>
      <c r="F5193" s="11" t="s">
        <v>28033</v>
      </c>
      <c r="G5193" s="11" t="s">
        <v>28083</v>
      </c>
      <c r="H5193" s="11" t="s">
        <v>28056</v>
      </c>
      <c r="I5193" s="11" t="str">
        <f>HYPERLINK("http://www.spritzer.it/","www.spritzer.it")</f>
        <v>www.spritzer.it</v>
      </c>
      <c r="J5193" s="12">
        <v>729.59100000000001</v>
      </c>
      <c r="K5193" s="14" t="s">
        <v>28036</v>
      </c>
      <c r="L5193" s="16" t="s">
        <v>28036</v>
      </c>
      <c r="M5193" s="12">
        <v>-113.354</v>
      </c>
      <c r="N5193" s="14" t="s">
        <v>28036</v>
      </c>
      <c r="O5193" s="14" t="s">
        <v>28036</v>
      </c>
      <c r="P5193" s="12">
        <v>7</v>
      </c>
      <c r="Q5193" s="14" t="s">
        <v>28036</v>
      </c>
      <c r="R5193" s="14" t="s">
        <v>28036</v>
      </c>
    </row>
    <row r="5194" spans="1:18" ht="29.5" customHeight="1" x14ac:dyDescent="0.15">
      <c r="A5194" s="8" t="s">
        <v>28084</v>
      </c>
      <c r="B5194" s="9" t="s">
        <v>28085</v>
      </c>
      <c r="C5194" s="8" t="s">
        <v>28086</v>
      </c>
      <c r="D5194" s="8" t="s">
        <v>28086</v>
      </c>
      <c r="E5194" s="8" t="s">
        <v>28087</v>
      </c>
      <c r="F5194" s="8" t="s">
        <v>28048</v>
      </c>
      <c r="G5194" s="8" t="s">
        <v>28088</v>
      </c>
      <c r="H5194" s="8" t="s">
        <v>28089</v>
      </c>
      <c r="I5194" s="8" t="str">
        <f>HYPERLINK("http://www.itmsrl.net/","www.itmsrl.net")</f>
        <v>www.itmsrl.net</v>
      </c>
      <c r="J5194" s="10">
        <v>728.88900000000001</v>
      </c>
      <c r="K5194" s="15" t="s">
        <v>28036</v>
      </c>
      <c r="L5194" s="15" t="s">
        <v>28036</v>
      </c>
      <c r="M5194" s="10">
        <v>2.3759999999999999</v>
      </c>
      <c r="N5194" s="15" t="s">
        <v>28036</v>
      </c>
      <c r="O5194" s="15" t="s">
        <v>28036</v>
      </c>
      <c r="P5194" s="10">
        <v>3</v>
      </c>
      <c r="Q5194" s="15" t="s">
        <v>28036</v>
      </c>
      <c r="R5194" s="15" t="s">
        <v>28036</v>
      </c>
    </row>
    <row r="5195" spans="1:18" ht="17" customHeight="1" x14ac:dyDescent="0.15">
      <c r="A5195" s="11" t="s">
        <v>28090</v>
      </c>
      <c r="B5195" s="1" t="s">
        <v>28091</v>
      </c>
      <c r="C5195" s="11" t="s">
        <v>28092</v>
      </c>
      <c r="D5195" s="11" t="s">
        <v>28092</v>
      </c>
      <c r="E5195" s="11" t="s">
        <v>28093</v>
      </c>
      <c r="F5195" s="11" t="s">
        <v>28033</v>
      </c>
      <c r="G5195" s="11" t="s">
        <v>28049</v>
      </c>
      <c r="H5195" s="11" t="s">
        <v>28050</v>
      </c>
      <c r="I5195" s="11" t="str">
        <f>HYPERLINK("http://www.spazialesplendy.it/","www.spazialesplendy.it")</f>
        <v>www.spazialesplendy.it</v>
      </c>
      <c r="J5195" s="12">
        <v>727.8</v>
      </c>
      <c r="K5195" s="14" t="s">
        <v>28036</v>
      </c>
      <c r="L5195" s="16" t="s">
        <v>28036</v>
      </c>
      <c r="M5195" s="12">
        <v>-229.255</v>
      </c>
      <c r="N5195" s="14" t="s">
        <v>28036</v>
      </c>
      <c r="O5195" s="14" t="s">
        <v>28036</v>
      </c>
      <c r="P5195" s="12">
        <v>3</v>
      </c>
      <c r="Q5195" s="14" t="s">
        <v>28036</v>
      </c>
      <c r="R5195" s="14" t="s">
        <v>28036</v>
      </c>
    </row>
    <row r="5196" spans="1:18" ht="29.5" customHeight="1" x14ac:dyDescent="0.15">
      <c r="A5196" s="8" t="s">
        <v>28094</v>
      </c>
      <c r="B5196" s="9" t="s">
        <v>28095</v>
      </c>
      <c r="C5196" s="8" t="s">
        <v>28096</v>
      </c>
      <c r="D5196" s="8" t="s">
        <v>28096</v>
      </c>
      <c r="E5196" s="8" t="s">
        <v>28097</v>
      </c>
      <c r="F5196" s="8" t="s">
        <v>28048</v>
      </c>
      <c r="G5196" s="8" t="s">
        <v>28098</v>
      </c>
      <c r="H5196" s="8" t="s">
        <v>28099</v>
      </c>
      <c r="I5196" s="8" t="str">
        <f>HYPERLINK("http://www.robertocorpina.it/","www.robertocorpina.it")</f>
        <v>www.robertocorpina.it</v>
      </c>
      <c r="J5196" s="10">
        <v>726.85299999999995</v>
      </c>
      <c r="K5196" s="10">
        <v>726.85299999999995</v>
      </c>
      <c r="L5196" s="15" t="s">
        <v>28036</v>
      </c>
      <c r="M5196" s="10">
        <v>58.845999999999997</v>
      </c>
      <c r="N5196" s="10">
        <v>58.845999999999997</v>
      </c>
      <c r="O5196" s="15" t="s">
        <v>28036</v>
      </c>
      <c r="P5196" s="10">
        <v>37</v>
      </c>
      <c r="Q5196" s="10">
        <v>37</v>
      </c>
      <c r="R5196" s="15" t="s">
        <v>28036</v>
      </c>
    </row>
    <row r="5197" spans="1:18" ht="17" customHeight="1" x14ac:dyDescent="0.15">
      <c r="A5197" s="11" t="s">
        <v>28100</v>
      </c>
      <c r="B5197" s="1" t="s">
        <v>28101</v>
      </c>
      <c r="C5197" s="11" t="s">
        <v>28102</v>
      </c>
      <c r="D5197" s="11" t="s">
        <v>28102</v>
      </c>
      <c r="E5197" s="11" t="s">
        <v>28103</v>
      </c>
      <c r="F5197" s="11" t="s">
        <v>28077</v>
      </c>
      <c r="G5197" s="11" t="s">
        <v>28049</v>
      </c>
      <c r="H5197" s="11" t="s">
        <v>28050</v>
      </c>
      <c r="I5197" s="11" t="str">
        <f>HYPERLINK("http://www.b3srl.it/","www.b3srl.it")</f>
        <v>www.b3srl.it</v>
      </c>
      <c r="J5197" s="12">
        <v>722.197</v>
      </c>
      <c r="K5197" s="14" t="s">
        <v>28036</v>
      </c>
      <c r="L5197" s="16" t="s">
        <v>28036</v>
      </c>
      <c r="M5197" s="12">
        <v>55.585000000000001</v>
      </c>
      <c r="N5197" s="14" t="s">
        <v>28036</v>
      </c>
      <c r="O5197" s="14" t="s">
        <v>28036</v>
      </c>
      <c r="P5197" s="12">
        <v>2</v>
      </c>
      <c r="Q5197" s="14" t="s">
        <v>28036</v>
      </c>
      <c r="R5197" s="14" t="s">
        <v>28036</v>
      </c>
    </row>
    <row r="5198" spans="1:18" ht="29.5" customHeight="1" x14ac:dyDescent="0.15">
      <c r="A5198" s="8" t="s">
        <v>28104</v>
      </c>
      <c r="B5198" s="9" t="s">
        <v>28105</v>
      </c>
      <c r="C5198" s="8" t="s">
        <v>28106</v>
      </c>
      <c r="D5198" s="8" t="s">
        <v>28106</v>
      </c>
      <c r="E5198" s="8" t="s">
        <v>28107</v>
      </c>
      <c r="F5198" s="8" t="s">
        <v>28108</v>
      </c>
      <c r="G5198" s="8" t="s">
        <v>28049</v>
      </c>
      <c r="H5198" s="8" t="s">
        <v>28050</v>
      </c>
      <c r="I5198" s="8" t="str">
        <f>HYPERLINK("http://www.riccardobanfi.it/","http://www.riccardobanfi.it")</f>
        <v>http://www.riccardobanfi.it</v>
      </c>
      <c r="J5198" s="10">
        <v>694.85500000000002</v>
      </c>
      <c r="K5198" s="10">
        <v>694.85500000000002</v>
      </c>
      <c r="L5198" s="15" t="s">
        <v>28036</v>
      </c>
      <c r="M5198" s="10">
        <v>65.638000000000005</v>
      </c>
      <c r="N5198" s="10">
        <v>65.638000000000005</v>
      </c>
      <c r="O5198" s="15" t="s">
        <v>28036</v>
      </c>
      <c r="P5198" s="10">
        <v>1</v>
      </c>
      <c r="Q5198" s="10">
        <v>1</v>
      </c>
      <c r="R5198" s="15" t="s">
        <v>28036</v>
      </c>
    </row>
    <row r="5199" spans="1:18" ht="17" customHeight="1" x14ac:dyDescent="0.15">
      <c r="A5199" s="11" t="s">
        <v>28109</v>
      </c>
      <c r="B5199" s="1" t="s">
        <v>28110</v>
      </c>
      <c r="C5199" s="11" t="s">
        <v>28111</v>
      </c>
      <c r="D5199" s="11" t="s">
        <v>28111</v>
      </c>
      <c r="E5199" s="11" t="s">
        <v>28112</v>
      </c>
      <c r="F5199" s="11" t="s">
        <v>28108</v>
      </c>
      <c r="G5199" s="11" t="s">
        <v>28113</v>
      </c>
      <c r="H5199" s="11" t="s">
        <v>28072</v>
      </c>
      <c r="I5199" s="11" t="str">
        <f>HYPERLINK("http://www.sax-shoes.com/","www.sax-shoes.com")</f>
        <v>www.sax-shoes.com</v>
      </c>
      <c r="J5199" s="12">
        <v>682.24699999999996</v>
      </c>
      <c r="K5199" s="14" t="s">
        <v>28036</v>
      </c>
      <c r="L5199" s="16" t="s">
        <v>28036</v>
      </c>
      <c r="M5199" s="12">
        <v>-2432.5419999999999</v>
      </c>
      <c r="N5199" s="14" t="s">
        <v>28036</v>
      </c>
      <c r="O5199" s="14" t="s">
        <v>28036</v>
      </c>
      <c r="P5199" s="12">
        <v>23</v>
      </c>
      <c r="Q5199" s="14" t="s">
        <v>28036</v>
      </c>
      <c r="R5199" s="14" t="s">
        <v>28036</v>
      </c>
    </row>
    <row r="5200" spans="1:18" ht="17" customHeight="1" x14ac:dyDescent="0.15">
      <c r="A5200" s="8" t="s">
        <v>28114</v>
      </c>
      <c r="B5200" s="9" t="s">
        <v>28115</v>
      </c>
      <c r="C5200" s="8" t="s">
        <v>28116</v>
      </c>
      <c r="D5200" s="8" t="s">
        <v>28116</v>
      </c>
      <c r="E5200" s="8" t="s">
        <v>28117</v>
      </c>
      <c r="F5200" s="8" t="s">
        <v>28061</v>
      </c>
      <c r="G5200" s="8" t="s">
        <v>28118</v>
      </c>
      <c r="H5200" s="8" t="s">
        <v>28119</v>
      </c>
      <c r="I5200" s="8" t="str">
        <f>HYPERLINK("http://www.adelaidesrl.com/","www.adelaidesrl.com")</f>
        <v>www.adelaidesrl.com</v>
      </c>
      <c r="J5200" s="10">
        <v>651.18700000000001</v>
      </c>
      <c r="K5200" s="15" t="s">
        <v>28036</v>
      </c>
      <c r="L5200" s="15" t="s">
        <v>28036</v>
      </c>
      <c r="M5200" s="10">
        <v>22.856999999999999</v>
      </c>
      <c r="N5200" s="15" t="s">
        <v>28036</v>
      </c>
      <c r="O5200" s="15" t="s">
        <v>28036</v>
      </c>
      <c r="P5200" s="10">
        <v>5</v>
      </c>
      <c r="Q5200" s="15" t="s">
        <v>28036</v>
      </c>
      <c r="R5200" s="15" t="s">
        <v>28036</v>
      </c>
    </row>
    <row r="5201" spans="1:18" ht="17" customHeight="1" x14ac:dyDescent="0.15">
      <c r="A5201" s="11" t="s">
        <v>28120</v>
      </c>
      <c r="B5201" s="1" t="s">
        <v>28121</v>
      </c>
      <c r="C5201" s="11" t="s">
        <v>28122</v>
      </c>
      <c r="D5201" s="11" t="s">
        <v>28122</v>
      </c>
      <c r="E5201" s="11" t="s">
        <v>28123</v>
      </c>
      <c r="F5201" s="11" t="s">
        <v>28048</v>
      </c>
      <c r="G5201" s="11" t="s">
        <v>28042</v>
      </c>
      <c r="H5201" s="11" t="s">
        <v>28043</v>
      </c>
      <c r="I5201" s="11" t="str">
        <f>HYPERLINK("http://www.azuma.it/","www.azuma.it")</f>
        <v>www.azuma.it</v>
      </c>
      <c r="J5201" s="12">
        <v>633.721</v>
      </c>
      <c r="K5201" s="14" t="s">
        <v>28036</v>
      </c>
      <c r="L5201" s="16" t="s">
        <v>28036</v>
      </c>
      <c r="M5201" s="12">
        <v>1.85</v>
      </c>
      <c r="N5201" s="14" t="s">
        <v>28036</v>
      </c>
      <c r="O5201" s="14" t="s">
        <v>28036</v>
      </c>
      <c r="P5201" s="12">
        <v>1</v>
      </c>
      <c r="Q5201" s="14" t="s">
        <v>28036</v>
      </c>
      <c r="R5201" s="14" t="s">
        <v>28036</v>
      </c>
    </row>
    <row r="5202" spans="1:18" ht="43" customHeight="1" x14ac:dyDescent="0.15">
      <c r="A5202" s="8" t="s">
        <v>28124</v>
      </c>
      <c r="B5202" s="9" t="s">
        <v>28125</v>
      </c>
      <c r="C5202" s="8" t="s">
        <v>28126</v>
      </c>
      <c r="D5202" s="8" t="s">
        <v>28126</v>
      </c>
      <c r="E5202" s="8" t="s">
        <v>28127</v>
      </c>
      <c r="F5202" s="8" t="s">
        <v>28048</v>
      </c>
      <c r="G5202" s="8" t="s">
        <v>28118</v>
      </c>
      <c r="H5202" s="8" t="s">
        <v>28119</v>
      </c>
      <c r="I5202" s="8" t="str">
        <f>HYPERLINK("http://www.giacchettino.it/","www.giacchettino.it")</f>
        <v>www.giacchettino.it</v>
      </c>
      <c r="J5202" s="10">
        <v>621.75199999999995</v>
      </c>
      <c r="K5202" s="15" t="s">
        <v>28036</v>
      </c>
      <c r="L5202" s="15" t="s">
        <v>28036</v>
      </c>
      <c r="M5202" s="10">
        <v>19.216000000000001</v>
      </c>
      <c r="N5202" s="15" t="s">
        <v>28036</v>
      </c>
      <c r="O5202" s="15" t="s">
        <v>28036</v>
      </c>
      <c r="P5202" s="10">
        <v>4</v>
      </c>
      <c r="Q5202" s="15" t="s">
        <v>28036</v>
      </c>
      <c r="R5202" s="15" t="s">
        <v>28036</v>
      </c>
    </row>
    <row r="5203" spans="1:18" ht="17" customHeight="1" x14ac:dyDescent="0.15">
      <c r="A5203" s="11" t="s">
        <v>28128</v>
      </c>
      <c r="B5203" s="1" t="s">
        <v>28129</v>
      </c>
      <c r="C5203" s="11" t="s">
        <v>28130</v>
      </c>
      <c r="D5203" s="11" t="s">
        <v>28130</v>
      </c>
      <c r="E5203" s="11" t="s">
        <v>28131</v>
      </c>
      <c r="F5203" s="11" t="s">
        <v>28108</v>
      </c>
      <c r="G5203" s="11" t="s">
        <v>28055</v>
      </c>
      <c r="H5203" s="11" t="s">
        <v>28056</v>
      </c>
      <c r="I5203" s="11" t="str">
        <f>HYPERLINK("http://www.vladishoes.it/","www.vladishoes.it")</f>
        <v>www.vladishoes.it</v>
      </c>
      <c r="J5203" s="12">
        <v>609.32899999999995</v>
      </c>
      <c r="K5203" s="14" t="s">
        <v>28036</v>
      </c>
      <c r="L5203" s="16" t="s">
        <v>28036</v>
      </c>
      <c r="M5203" s="12">
        <v>8.7379999999999995</v>
      </c>
      <c r="N5203" s="14" t="s">
        <v>28036</v>
      </c>
      <c r="O5203" s="14" t="s">
        <v>28036</v>
      </c>
      <c r="P5203" s="12">
        <v>6</v>
      </c>
      <c r="Q5203" s="14" t="s">
        <v>28036</v>
      </c>
      <c r="R5203" s="14" t="s">
        <v>28036</v>
      </c>
    </row>
    <row r="5204" spans="1:18" ht="17" customHeight="1" x14ac:dyDescent="0.15">
      <c r="A5204" s="8" t="s">
        <v>28132</v>
      </c>
      <c r="B5204" s="9" t="s">
        <v>28133</v>
      </c>
      <c r="C5204" s="8" t="s">
        <v>28134</v>
      </c>
      <c r="D5204" s="8" t="s">
        <v>28134</v>
      </c>
      <c r="E5204" s="8" t="s">
        <v>28135</v>
      </c>
      <c r="F5204" s="8" t="s">
        <v>28041</v>
      </c>
      <c r="G5204" s="8" t="s">
        <v>28136</v>
      </c>
      <c r="H5204" s="8" t="s">
        <v>28137</v>
      </c>
      <c r="I5204" s="8" t="str">
        <f>HYPERLINK("http://renatoangi.com/","renatoangi.com")</f>
        <v>renatoangi.com</v>
      </c>
      <c r="J5204" s="10">
        <v>599.34299999999996</v>
      </c>
      <c r="K5204" s="15" t="s">
        <v>28036</v>
      </c>
      <c r="L5204" s="15" t="s">
        <v>28036</v>
      </c>
      <c r="M5204" s="10">
        <v>-12.122999999999999</v>
      </c>
      <c r="N5204" s="15" t="s">
        <v>28036</v>
      </c>
      <c r="O5204" s="15" t="s">
        <v>28036</v>
      </c>
      <c r="P5204" s="10">
        <v>11</v>
      </c>
      <c r="Q5204" s="15" t="s">
        <v>28036</v>
      </c>
      <c r="R5204" s="15" t="s">
        <v>28036</v>
      </c>
    </row>
    <row r="5205" spans="1:18" ht="43" customHeight="1" x14ac:dyDescent="0.15">
      <c r="A5205" s="11" t="s">
        <v>28138</v>
      </c>
      <c r="B5205" s="1" t="s">
        <v>28139</v>
      </c>
      <c r="C5205" s="11" t="s">
        <v>28140</v>
      </c>
      <c r="D5205" s="11" t="s">
        <v>28140</v>
      </c>
      <c r="E5205" s="11" t="s">
        <v>28141</v>
      </c>
      <c r="F5205" s="11" t="s">
        <v>28077</v>
      </c>
      <c r="G5205" s="11" t="s">
        <v>28142</v>
      </c>
      <c r="H5205" s="11" t="s">
        <v>28137</v>
      </c>
      <c r="I5205" s="11" t="str">
        <f>HYPERLINK("http://www.ledasport.it/","www.ledasport.it")</f>
        <v>www.ledasport.it</v>
      </c>
      <c r="J5205" s="12">
        <v>598.36099999999999</v>
      </c>
      <c r="K5205" s="14" t="s">
        <v>28036</v>
      </c>
      <c r="L5205" s="16" t="s">
        <v>28036</v>
      </c>
      <c r="M5205" s="12">
        <v>39.85</v>
      </c>
      <c r="N5205" s="14" t="s">
        <v>28036</v>
      </c>
      <c r="O5205" s="14" t="s">
        <v>28036</v>
      </c>
      <c r="P5205" s="12">
        <v>7</v>
      </c>
      <c r="Q5205" s="14" t="s">
        <v>28036</v>
      </c>
      <c r="R5205" s="14" t="s">
        <v>28036</v>
      </c>
    </row>
    <row r="5206" spans="1:18" ht="29.5" customHeight="1" x14ac:dyDescent="0.15">
      <c r="A5206" s="8" t="s">
        <v>28143</v>
      </c>
      <c r="B5206" s="9" t="s">
        <v>28144</v>
      </c>
      <c r="C5206" s="8" t="s">
        <v>28145</v>
      </c>
      <c r="D5206" s="8" t="s">
        <v>28145</v>
      </c>
      <c r="E5206" s="8" t="s">
        <v>28146</v>
      </c>
      <c r="F5206" s="8" t="s">
        <v>28147</v>
      </c>
      <c r="G5206" s="8" t="s">
        <v>28136</v>
      </c>
      <c r="H5206" s="8" t="s">
        <v>28137</v>
      </c>
      <c r="I5206" s="8" t="str">
        <f>HYPERLINK("http://www.decouture.it/","www.decouture.it")</f>
        <v>www.decouture.it</v>
      </c>
      <c r="J5206" s="10">
        <v>588.33699999999999</v>
      </c>
      <c r="K5206" s="15" t="s">
        <v>28036</v>
      </c>
      <c r="L5206" s="15" t="s">
        <v>28036</v>
      </c>
      <c r="M5206" s="10">
        <v>-15.093</v>
      </c>
      <c r="N5206" s="15" t="s">
        <v>28036</v>
      </c>
      <c r="O5206" s="15" t="s">
        <v>28036</v>
      </c>
      <c r="P5206" s="10">
        <v>0</v>
      </c>
      <c r="Q5206" s="15" t="s">
        <v>28036</v>
      </c>
      <c r="R5206" s="15" t="s">
        <v>28036</v>
      </c>
    </row>
    <row r="5207" spans="1:18" ht="29.5" customHeight="1" x14ac:dyDescent="0.15">
      <c r="A5207" s="11" t="s">
        <v>28148</v>
      </c>
      <c r="B5207" s="1" t="s">
        <v>28149</v>
      </c>
      <c r="C5207" s="11" t="s">
        <v>28150</v>
      </c>
      <c r="D5207" s="11" t="s">
        <v>28150</v>
      </c>
      <c r="E5207" s="11" t="s">
        <v>28151</v>
      </c>
      <c r="F5207" s="11" t="s">
        <v>28061</v>
      </c>
      <c r="G5207" s="11" t="s">
        <v>28152</v>
      </c>
      <c r="H5207" s="11" t="s">
        <v>28153</v>
      </c>
      <c r="I5207" s="11" t="str">
        <f>HYPERLINK("http://www.suolificiotuttofondi.com/","www.suolificiotuttofondi.com")</f>
        <v>www.suolificiotuttofondi.com</v>
      </c>
      <c r="J5207" s="12">
        <v>583.03099999999995</v>
      </c>
      <c r="K5207" s="14" t="s">
        <v>28036</v>
      </c>
      <c r="L5207" s="16" t="s">
        <v>28036</v>
      </c>
      <c r="M5207" s="12">
        <v>-13.208</v>
      </c>
      <c r="N5207" s="14" t="s">
        <v>28036</v>
      </c>
      <c r="O5207" s="14" t="s">
        <v>28036</v>
      </c>
      <c r="P5207" s="12">
        <v>9</v>
      </c>
      <c r="Q5207" s="14" t="s">
        <v>28036</v>
      </c>
      <c r="R5207" s="14" t="s">
        <v>28036</v>
      </c>
    </row>
    <row r="5208" spans="1:18" ht="17" customHeight="1" x14ac:dyDescent="0.15">
      <c r="A5208" s="8" t="s">
        <v>28154</v>
      </c>
      <c r="B5208" s="9" t="s">
        <v>28155</v>
      </c>
      <c r="C5208" s="8" t="s">
        <v>28156</v>
      </c>
      <c r="D5208" s="8" t="s">
        <v>28156</v>
      </c>
      <c r="E5208" s="8" t="s">
        <v>28157</v>
      </c>
      <c r="F5208" s="8" t="s">
        <v>28033</v>
      </c>
      <c r="G5208" s="8" t="s">
        <v>28152</v>
      </c>
      <c r="H5208" s="8" t="s">
        <v>28153</v>
      </c>
      <c r="I5208" s="8" t="str">
        <f>HYPERLINK("http://www.styleinlove.it/","www.styleinlove.it")</f>
        <v>www.styleinlove.it</v>
      </c>
      <c r="J5208" s="10">
        <v>581.63</v>
      </c>
      <c r="K5208" s="15" t="s">
        <v>28036</v>
      </c>
      <c r="L5208" s="15" t="s">
        <v>28036</v>
      </c>
      <c r="M5208" s="10">
        <v>6.4909999999999997</v>
      </c>
      <c r="N5208" s="15" t="s">
        <v>28036</v>
      </c>
      <c r="O5208" s="15" t="s">
        <v>28036</v>
      </c>
      <c r="P5208" s="10">
        <v>1</v>
      </c>
      <c r="Q5208" s="15" t="s">
        <v>28036</v>
      </c>
      <c r="R5208" s="15" t="s">
        <v>28036</v>
      </c>
    </row>
    <row r="5209" spans="1:18" ht="17" customHeight="1" x14ac:dyDescent="0.15">
      <c r="A5209" s="11" t="s">
        <v>28158</v>
      </c>
      <c r="B5209" s="1" t="s">
        <v>28159</v>
      </c>
      <c r="C5209" s="11" t="s">
        <v>28160</v>
      </c>
      <c r="D5209" s="11" t="s">
        <v>28160</v>
      </c>
      <c r="E5209" s="11" t="s">
        <v>28161</v>
      </c>
      <c r="F5209" s="11" t="s">
        <v>28162</v>
      </c>
      <c r="G5209" s="11" t="s">
        <v>28163</v>
      </c>
      <c r="H5209" s="11" t="s">
        <v>28043</v>
      </c>
      <c r="I5209" s="11" t="str">
        <f>HYPERLINK("http://www.compagniadeltessile.it/","www.compagniadeltessile.it")</f>
        <v>www.compagniadeltessile.it</v>
      </c>
      <c r="J5209" s="12">
        <v>571.69000000000005</v>
      </c>
      <c r="K5209" s="14" t="s">
        <v>28036</v>
      </c>
      <c r="L5209" s="16" t="s">
        <v>28036</v>
      </c>
      <c r="M5209" s="12">
        <v>35.094000000000001</v>
      </c>
      <c r="N5209" s="14" t="s">
        <v>28036</v>
      </c>
      <c r="O5209" s="14" t="s">
        <v>28036</v>
      </c>
      <c r="P5209" s="12">
        <v>3</v>
      </c>
      <c r="Q5209" s="14" t="s">
        <v>28036</v>
      </c>
      <c r="R5209" s="14" t="s">
        <v>28036</v>
      </c>
    </row>
    <row r="5210" spans="1:18" ht="43" customHeight="1" x14ac:dyDescent="0.15">
      <c r="A5210" s="8" t="s">
        <v>28164</v>
      </c>
      <c r="B5210" s="9" t="s">
        <v>28165</v>
      </c>
      <c r="C5210" s="8" t="s">
        <v>28166</v>
      </c>
      <c r="D5210" s="8" t="s">
        <v>28166</v>
      </c>
      <c r="E5210" s="8" t="s">
        <v>28167</v>
      </c>
      <c r="F5210" s="8" t="s">
        <v>28147</v>
      </c>
      <c r="G5210" s="8" t="s">
        <v>28168</v>
      </c>
      <c r="H5210" s="8" t="s">
        <v>28153</v>
      </c>
      <c r="I5210" s="8" t="str">
        <f>HYPERLINK("http://doppiapellestore.it/","doppiapellestore.it")</f>
        <v>doppiapellestore.it</v>
      </c>
      <c r="J5210" s="10">
        <v>570.89099999999996</v>
      </c>
      <c r="K5210" s="15" t="s">
        <v>28036</v>
      </c>
      <c r="L5210" s="15" t="s">
        <v>28036</v>
      </c>
      <c r="M5210" s="10">
        <v>10.034000000000001</v>
      </c>
      <c r="N5210" s="15" t="s">
        <v>28036</v>
      </c>
      <c r="O5210" s="15" t="s">
        <v>28036</v>
      </c>
      <c r="P5210" s="10">
        <v>3</v>
      </c>
      <c r="Q5210" s="15" t="s">
        <v>28036</v>
      </c>
      <c r="R5210" s="15" t="s">
        <v>28036</v>
      </c>
    </row>
    <row r="5211" spans="1:18" ht="17" customHeight="1" x14ac:dyDescent="0.15">
      <c r="A5211" s="11" t="s">
        <v>28169</v>
      </c>
      <c r="B5211" s="1" t="s">
        <v>28170</v>
      </c>
      <c r="C5211" s="11" t="s">
        <v>28171</v>
      </c>
      <c r="D5211" s="11" t="s">
        <v>28171</v>
      </c>
      <c r="E5211" s="11" t="s">
        <v>28172</v>
      </c>
      <c r="F5211" s="11" t="s">
        <v>28162</v>
      </c>
      <c r="G5211" s="11" t="s">
        <v>28152</v>
      </c>
      <c r="H5211" s="11" t="s">
        <v>28153</v>
      </c>
      <c r="I5211" s="11" t="str">
        <f>HYPERLINK("http://www.influencenegative.it/","www.influencenegative.it")</f>
        <v>www.influencenegative.it</v>
      </c>
      <c r="J5211" s="12">
        <v>559.34</v>
      </c>
      <c r="K5211" s="14" t="s">
        <v>28036</v>
      </c>
      <c r="L5211" s="16" t="s">
        <v>28036</v>
      </c>
      <c r="M5211" s="12">
        <v>20.001000000000001</v>
      </c>
      <c r="N5211" s="14" t="s">
        <v>28036</v>
      </c>
      <c r="O5211" s="14" t="s">
        <v>28036</v>
      </c>
      <c r="P5211" s="12">
        <v>7</v>
      </c>
      <c r="Q5211" s="14" t="s">
        <v>28036</v>
      </c>
      <c r="R5211" s="14" t="s">
        <v>28036</v>
      </c>
    </row>
    <row r="5212" spans="1:18" ht="17" customHeight="1" x14ac:dyDescent="0.15">
      <c r="A5212" s="8" t="s">
        <v>28173</v>
      </c>
      <c r="B5212" s="9" t="s">
        <v>28174</v>
      </c>
      <c r="C5212" s="8" t="s">
        <v>28175</v>
      </c>
      <c r="D5212" s="8" t="s">
        <v>28175</v>
      </c>
      <c r="E5212" s="8" t="s">
        <v>28176</v>
      </c>
      <c r="F5212" s="8" t="s">
        <v>28033</v>
      </c>
      <c r="G5212" s="8" t="s">
        <v>28055</v>
      </c>
      <c r="H5212" s="8" t="s">
        <v>28056</v>
      </c>
      <c r="I5212" s="8" t="str">
        <f>HYPERLINK("http://www.ean13.it/","www.ean13.it")</f>
        <v>www.ean13.it</v>
      </c>
      <c r="J5212" s="10">
        <v>557.70799999999997</v>
      </c>
      <c r="K5212" s="15" t="s">
        <v>28036</v>
      </c>
      <c r="L5212" s="15" t="s">
        <v>28036</v>
      </c>
      <c r="M5212" s="10">
        <v>31.151</v>
      </c>
      <c r="N5212" s="15" t="s">
        <v>28036</v>
      </c>
      <c r="O5212" s="15" t="s">
        <v>28036</v>
      </c>
      <c r="P5212" s="10">
        <v>8</v>
      </c>
      <c r="Q5212" s="15" t="s">
        <v>28036</v>
      </c>
      <c r="R5212" s="15" t="s">
        <v>28036</v>
      </c>
    </row>
    <row r="5213" spans="1:18" ht="29.5" customHeight="1" x14ac:dyDescent="0.15">
      <c r="A5213" s="11" t="s">
        <v>28177</v>
      </c>
      <c r="B5213" s="1" t="s">
        <v>28178</v>
      </c>
      <c r="C5213" s="11" t="s">
        <v>28179</v>
      </c>
      <c r="D5213" s="11" t="s">
        <v>28179</v>
      </c>
      <c r="E5213" s="11" t="s">
        <v>28180</v>
      </c>
      <c r="F5213" s="11" t="s">
        <v>28108</v>
      </c>
      <c r="G5213" s="11" t="s">
        <v>28181</v>
      </c>
      <c r="H5213" s="11" t="s">
        <v>28182</v>
      </c>
      <c r="I5213" s="11" t="str">
        <f>HYPERLINK("http://stivalifabbri.it/","stivalifabbri.it")</f>
        <v>stivalifabbri.it</v>
      </c>
      <c r="J5213" s="12">
        <v>550.61599999999999</v>
      </c>
      <c r="K5213" s="12">
        <v>550.61599999999999</v>
      </c>
      <c r="L5213" s="16" t="s">
        <v>28036</v>
      </c>
      <c r="M5213" s="12">
        <v>-110.884</v>
      </c>
      <c r="N5213" s="12">
        <v>-110.884</v>
      </c>
      <c r="O5213" s="14" t="s">
        <v>28036</v>
      </c>
      <c r="P5213" s="12">
        <v>8</v>
      </c>
      <c r="Q5213" s="12">
        <v>8</v>
      </c>
      <c r="R5213" s="14" t="s">
        <v>28036</v>
      </c>
    </row>
    <row r="5214" spans="1:18" ht="17" customHeight="1" x14ac:dyDescent="0.15">
      <c r="A5214" s="8" t="s">
        <v>28183</v>
      </c>
      <c r="B5214" s="9" t="s">
        <v>28184</v>
      </c>
      <c r="C5214" s="8" t="s">
        <v>28185</v>
      </c>
      <c r="D5214" s="8" t="s">
        <v>28185</v>
      </c>
      <c r="E5214" s="8" t="s">
        <v>28186</v>
      </c>
      <c r="F5214" s="8" t="s">
        <v>28187</v>
      </c>
      <c r="G5214" s="8" t="s">
        <v>28113</v>
      </c>
      <c r="H5214" s="8" t="s">
        <v>28072</v>
      </c>
      <c r="I5214" s="8" t="str">
        <f>HYPERLINK("http://www.culturasrl.com/","www.culturasrl.com")</f>
        <v>www.culturasrl.com</v>
      </c>
      <c r="J5214" s="10">
        <v>550.55999999999995</v>
      </c>
      <c r="K5214" s="15" t="s">
        <v>28036</v>
      </c>
      <c r="L5214" s="15" t="s">
        <v>28036</v>
      </c>
      <c r="M5214" s="10">
        <v>-1.845</v>
      </c>
      <c r="N5214" s="15" t="s">
        <v>28036</v>
      </c>
      <c r="O5214" s="15" t="s">
        <v>28036</v>
      </c>
      <c r="P5214" s="10">
        <v>0</v>
      </c>
      <c r="Q5214" s="15" t="s">
        <v>28036</v>
      </c>
      <c r="R5214" s="15" t="s">
        <v>28036</v>
      </c>
    </row>
    <row r="5215" spans="1:18" ht="29.5" customHeight="1" x14ac:dyDescent="0.15">
      <c r="A5215" s="11" t="s">
        <v>28188</v>
      </c>
      <c r="B5215" s="1" t="s">
        <v>28189</v>
      </c>
      <c r="C5215" s="11" t="s">
        <v>28190</v>
      </c>
      <c r="D5215" s="11" t="s">
        <v>28190</v>
      </c>
      <c r="E5215" s="11" t="s">
        <v>28191</v>
      </c>
      <c r="F5215" s="11" t="s">
        <v>28033</v>
      </c>
      <c r="G5215" s="11" t="s">
        <v>28192</v>
      </c>
      <c r="H5215" s="11" t="s">
        <v>28193</v>
      </c>
      <c r="I5215" s="11" t="str">
        <f>HYPERLINK("http://www.lumibrand.it/","www.lumibrand.it")</f>
        <v>www.lumibrand.it</v>
      </c>
      <c r="J5215" s="12">
        <v>539.38199999999995</v>
      </c>
      <c r="K5215" s="14" t="s">
        <v>28036</v>
      </c>
      <c r="L5215" s="16" t="s">
        <v>28036</v>
      </c>
      <c r="M5215" s="12">
        <v>-214.161</v>
      </c>
      <c r="N5215" s="14" t="s">
        <v>28036</v>
      </c>
      <c r="O5215" s="14" t="s">
        <v>28036</v>
      </c>
      <c r="P5215" s="12">
        <v>8</v>
      </c>
      <c r="Q5215" s="14" t="s">
        <v>28036</v>
      </c>
      <c r="R5215" s="14" t="s">
        <v>28036</v>
      </c>
    </row>
    <row r="5216" spans="1:18" ht="29.5" customHeight="1" x14ac:dyDescent="0.15">
      <c r="A5216" s="8" t="s">
        <v>28194</v>
      </c>
      <c r="B5216" s="9" t="s">
        <v>28195</v>
      </c>
      <c r="C5216" s="8" t="s">
        <v>28196</v>
      </c>
      <c r="D5216" s="8" t="s">
        <v>28196</v>
      </c>
      <c r="E5216" s="8" t="s">
        <v>28197</v>
      </c>
      <c r="F5216" s="8" t="s">
        <v>28198</v>
      </c>
      <c r="G5216" s="8" t="s">
        <v>28199</v>
      </c>
      <c r="H5216" s="8" t="s">
        <v>28200</v>
      </c>
      <c r="I5216" s="8" t="str">
        <f>HYPERLINK("http://www.fioridarancioatelier.com/","www.fioridarancioatelier.com")</f>
        <v>www.fioridarancioatelier.com</v>
      </c>
      <c r="J5216" s="10">
        <v>530.36300000000006</v>
      </c>
      <c r="K5216" s="10">
        <v>530.36300000000006</v>
      </c>
      <c r="L5216" s="15" t="s">
        <v>28036</v>
      </c>
      <c r="M5216" s="10">
        <v>18.135999999999999</v>
      </c>
      <c r="N5216" s="10">
        <v>18.135999999999999</v>
      </c>
      <c r="O5216" s="15" t="s">
        <v>28036</v>
      </c>
      <c r="P5216" s="10">
        <v>7</v>
      </c>
      <c r="Q5216" s="10">
        <v>7</v>
      </c>
      <c r="R5216" s="15" t="s">
        <v>28036</v>
      </c>
    </row>
    <row r="5217" spans="1:18" ht="17" customHeight="1" x14ac:dyDescent="0.15">
      <c r="A5217" s="11" t="s">
        <v>28201</v>
      </c>
      <c r="B5217" s="1" t="s">
        <v>28202</v>
      </c>
      <c r="C5217" s="11" t="s">
        <v>28203</v>
      </c>
      <c r="D5217" s="11" t="s">
        <v>28203</v>
      </c>
      <c r="E5217" s="11" t="s">
        <v>28204</v>
      </c>
      <c r="F5217" s="11" t="s">
        <v>28205</v>
      </c>
      <c r="G5217" s="11" t="s">
        <v>28206</v>
      </c>
      <c r="H5217" s="11" t="s">
        <v>28207</v>
      </c>
      <c r="I5217" s="11" t="str">
        <f>HYPERLINK("http://www.selleriaferroshop.it/","www.selleriaferroshop.it")</f>
        <v>www.selleriaferroshop.it</v>
      </c>
      <c r="J5217" s="12">
        <v>528.279</v>
      </c>
      <c r="K5217" s="14" t="s">
        <v>28208</v>
      </c>
      <c r="L5217" s="16" t="s">
        <v>28208</v>
      </c>
      <c r="M5217" s="12">
        <v>11.02</v>
      </c>
      <c r="N5217" s="14" t="s">
        <v>28208</v>
      </c>
      <c r="O5217" s="14" t="s">
        <v>28208</v>
      </c>
      <c r="P5217" s="12">
        <v>3</v>
      </c>
      <c r="Q5217" s="14" t="s">
        <v>28208</v>
      </c>
      <c r="R5217" s="14" t="s">
        <v>28208</v>
      </c>
    </row>
    <row r="5218" spans="1:18" ht="29.5" customHeight="1" x14ac:dyDescent="0.15">
      <c r="A5218" s="8" t="s">
        <v>28209</v>
      </c>
      <c r="B5218" s="9" t="s">
        <v>28210</v>
      </c>
      <c r="C5218" s="8" t="s">
        <v>28211</v>
      </c>
      <c r="D5218" s="8" t="s">
        <v>28211</v>
      </c>
      <c r="E5218" s="8" t="s">
        <v>28212</v>
      </c>
      <c r="F5218" s="8" t="s">
        <v>28213</v>
      </c>
      <c r="G5218" s="8" t="s">
        <v>28214</v>
      </c>
      <c r="H5218" s="8" t="s">
        <v>28215</v>
      </c>
      <c r="I5218" s="8" t="str">
        <f>HYPERLINK("http://erricomaria.it/","erricomaria.it")</f>
        <v>erricomaria.it</v>
      </c>
      <c r="J5218" s="10">
        <v>526.16800000000001</v>
      </c>
      <c r="K5218" s="15" t="s">
        <v>28208</v>
      </c>
      <c r="L5218" s="15" t="s">
        <v>28208</v>
      </c>
      <c r="M5218" s="10">
        <v>-45.542999999999999</v>
      </c>
      <c r="N5218" s="15" t="s">
        <v>28208</v>
      </c>
      <c r="O5218" s="15" t="s">
        <v>28208</v>
      </c>
      <c r="P5218" s="10">
        <v>10</v>
      </c>
      <c r="Q5218" s="15" t="s">
        <v>28208</v>
      </c>
      <c r="R5218" s="15" t="s">
        <v>28208</v>
      </c>
    </row>
    <row r="5219" spans="1:18" ht="17" customHeight="1" x14ac:dyDescent="0.15">
      <c r="A5219" s="11" t="s">
        <v>28216</v>
      </c>
      <c r="B5219" s="1" t="s">
        <v>28217</v>
      </c>
      <c r="C5219" s="11" t="s">
        <v>28218</v>
      </c>
      <c r="D5219" s="11" t="s">
        <v>28218</v>
      </c>
      <c r="E5219" s="11" t="s">
        <v>28219</v>
      </c>
      <c r="F5219" s="11" t="s">
        <v>28220</v>
      </c>
      <c r="G5219" s="11" t="s">
        <v>28221</v>
      </c>
      <c r="H5219" s="11" t="s">
        <v>28222</v>
      </c>
      <c r="I5219" s="11" t="str">
        <f>HYPERLINK("http://benvecashmere.com/","benvecashmere.com")</f>
        <v>benvecashmere.com</v>
      </c>
      <c r="J5219" s="12">
        <v>525.077</v>
      </c>
      <c r="K5219" s="12">
        <v>525.077</v>
      </c>
      <c r="L5219" s="16" t="s">
        <v>28208</v>
      </c>
      <c r="M5219" s="12">
        <v>2.3090000000000002</v>
      </c>
      <c r="N5219" s="12">
        <v>2.3090000000000002</v>
      </c>
      <c r="O5219" s="14" t="s">
        <v>28208</v>
      </c>
      <c r="P5219" s="12">
        <v>4</v>
      </c>
      <c r="Q5219" s="12">
        <v>4</v>
      </c>
      <c r="R5219" s="14" t="s">
        <v>28208</v>
      </c>
    </row>
    <row r="5220" spans="1:18" ht="17" customHeight="1" x14ac:dyDescent="0.15">
      <c r="A5220" s="8" t="s">
        <v>28223</v>
      </c>
      <c r="B5220" s="9" t="s">
        <v>28224</v>
      </c>
      <c r="C5220" s="8" t="s">
        <v>28225</v>
      </c>
      <c r="D5220" s="8" t="s">
        <v>28225</v>
      </c>
      <c r="E5220" s="8" t="s">
        <v>28226</v>
      </c>
      <c r="F5220" s="8" t="s">
        <v>28227</v>
      </c>
      <c r="G5220" s="8" t="s">
        <v>28228</v>
      </c>
      <c r="H5220" s="8" t="s">
        <v>28229</v>
      </c>
      <c r="I5220" s="8" t="str">
        <f>HYPERLINK("http://www.ilfiorepelletteria.it/","www.ilfiorepelletteria.it")</f>
        <v>www.ilfiorepelletteria.it</v>
      </c>
      <c r="J5220" s="10">
        <v>518.322</v>
      </c>
      <c r="K5220" s="10">
        <v>518.322</v>
      </c>
      <c r="L5220" s="15" t="s">
        <v>28208</v>
      </c>
      <c r="M5220" s="10">
        <v>113.187</v>
      </c>
      <c r="N5220" s="10">
        <v>113.187</v>
      </c>
      <c r="O5220" s="15" t="s">
        <v>28208</v>
      </c>
      <c r="P5220" s="10">
        <v>2</v>
      </c>
      <c r="Q5220" s="10">
        <v>2</v>
      </c>
      <c r="R5220" s="15" t="s">
        <v>28208</v>
      </c>
    </row>
    <row r="5221" spans="1:18" ht="17" customHeight="1" x14ac:dyDescent="0.15">
      <c r="A5221" s="11" t="s">
        <v>28230</v>
      </c>
      <c r="B5221" s="1" t="s">
        <v>28231</v>
      </c>
      <c r="C5221" s="11" t="s">
        <v>28232</v>
      </c>
      <c r="D5221" s="11" t="s">
        <v>28232</v>
      </c>
      <c r="E5221" s="11" t="s">
        <v>28233</v>
      </c>
      <c r="F5221" s="11" t="s">
        <v>28234</v>
      </c>
      <c r="G5221" s="11" t="s">
        <v>28221</v>
      </c>
      <c r="H5221" s="11" t="s">
        <v>28222</v>
      </c>
      <c r="I5221" s="11" t="str">
        <f>HYPERLINK("http://www.sartoriaveneta.it/","www.sartoriaveneta.it")</f>
        <v>www.sartoriaveneta.it</v>
      </c>
      <c r="J5221" s="12">
        <v>500.03399999999999</v>
      </c>
      <c r="K5221" s="14" t="s">
        <v>28208</v>
      </c>
      <c r="L5221" s="16" t="s">
        <v>28208</v>
      </c>
      <c r="M5221" s="12">
        <v>28.161000000000001</v>
      </c>
      <c r="N5221" s="14" t="s">
        <v>28208</v>
      </c>
      <c r="O5221" s="14" t="s">
        <v>28208</v>
      </c>
      <c r="P5221" s="12">
        <v>0</v>
      </c>
      <c r="Q5221" s="14" t="s">
        <v>28208</v>
      </c>
      <c r="R5221" s="14" t="s">
        <v>28208</v>
      </c>
    </row>
    <row r="5222" spans="1:18" ht="17" customHeight="1" x14ac:dyDescent="0.15">
      <c r="A5222" s="8" t="s">
        <v>28235</v>
      </c>
      <c r="B5222" s="9" t="s">
        <v>28236</v>
      </c>
      <c r="C5222" s="8" t="s">
        <v>28237</v>
      </c>
      <c r="D5222" s="8" t="s">
        <v>28237</v>
      </c>
      <c r="E5222" s="8" t="s">
        <v>28238</v>
      </c>
      <c r="F5222" s="8" t="s">
        <v>28239</v>
      </c>
      <c r="G5222" s="8" t="s">
        <v>28240</v>
      </c>
      <c r="H5222" s="8" t="s">
        <v>28241</v>
      </c>
      <c r="I5222" s="8" t="str">
        <f>HYPERLINK("http://www.activegroupsrl.com/","http://www.activegroupsrl.com")</f>
        <v>http://www.activegroupsrl.com</v>
      </c>
      <c r="J5222" s="10">
        <v>492.346</v>
      </c>
      <c r="K5222" s="15" t="s">
        <v>28208</v>
      </c>
      <c r="L5222" s="15" t="s">
        <v>28208</v>
      </c>
      <c r="M5222" s="10">
        <v>-25.22</v>
      </c>
      <c r="N5222" s="15" t="s">
        <v>28208</v>
      </c>
      <c r="O5222" s="15" t="s">
        <v>28208</v>
      </c>
      <c r="P5222" s="10">
        <v>3</v>
      </c>
      <c r="Q5222" s="15" t="s">
        <v>28208</v>
      </c>
      <c r="R5222" s="15" t="s">
        <v>28208</v>
      </c>
    </row>
    <row r="5223" spans="1:18" ht="17" customHeight="1" x14ac:dyDescent="0.15">
      <c r="A5223" s="11" t="s">
        <v>28242</v>
      </c>
      <c r="B5223" s="1" t="s">
        <v>28243</v>
      </c>
      <c r="C5223" s="11" t="s">
        <v>28244</v>
      </c>
      <c r="D5223" s="11" t="s">
        <v>28244</v>
      </c>
      <c r="E5223" s="11" t="s">
        <v>28245</v>
      </c>
      <c r="F5223" s="11" t="s">
        <v>28246</v>
      </c>
      <c r="G5223" s="11" t="s">
        <v>28247</v>
      </c>
      <c r="H5223" s="11" t="s">
        <v>28248</v>
      </c>
      <c r="I5223" s="11" t="str">
        <f>HYPERLINK("http://www.tacchificiodama.it/","www.tacchificiodama.it")</f>
        <v>www.tacchificiodama.it</v>
      </c>
      <c r="J5223" s="12">
        <v>491.10500000000002</v>
      </c>
      <c r="K5223" s="12">
        <v>491.10500000000002</v>
      </c>
      <c r="L5223" s="16" t="s">
        <v>28208</v>
      </c>
      <c r="M5223" s="12">
        <v>24.529</v>
      </c>
      <c r="N5223" s="12">
        <v>24.529</v>
      </c>
      <c r="O5223" s="14" t="s">
        <v>28208</v>
      </c>
      <c r="P5223" s="12">
        <v>7</v>
      </c>
      <c r="Q5223" s="12">
        <v>7</v>
      </c>
      <c r="R5223" s="14" t="s">
        <v>28208</v>
      </c>
    </row>
    <row r="5224" spans="1:18" ht="17" customHeight="1" x14ac:dyDescent="0.15">
      <c r="A5224" s="8" t="s">
        <v>28249</v>
      </c>
      <c r="B5224" s="9" t="s">
        <v>28250</v>
      </c>
      <c r="C5224" s="8" t="s">
        <v>28251</v>
      </c>
      <c r="D5224" s="8" t="s">
        <v>28251</v>
      </c>
      <c r="E5224" s="8" t="s">
        <v>28252</v>
      </c>
      <c r="F5224" s="8" t="s">
        <v>28253</v>
      </c>
      <c r="G5224" s="8" t="s">
        <v>28254</v>
      </c>
      <c r="H5224" s="8" t="s">
        <v>28229</v>
      </c>
      <c r="I5224" s="8" t="str">
        <f>HYPERLINK("http://www.modellipersartoria.it/","www.modellipersartoria.it")</f>
        <v>www.modellipersartoria.it</v>
      </c>
      <c r="J5224" s="10">
        <v>485.66500000000002</v>
      </c>
      <c r="K5224" s="15" t="s">
        <v>28208</v>
      </c>
      <c r="L5224" s="15" t="s">
        <v>28208</v>
      </c>
      <c r="M5224" s="10">
        <v>104.46899999999999</v>
      </c>
      <c r="N5224" s="15" t="s">
        <v>28208</v>
      </c>
      <c r="O5224" s="15" t="s">
        <v>28208</v>
      </c>
      <c r="P5224" s="10">
        <v>11</v>
      </c>
      <c r="Q5224" s="15" t="s">
        <v>28208</v>
      </c>
      <c r="R5224" s="15" t="s">
        <v>28208</v>
      </c>
    </row>
    <row r="5225" spans="1:18" ht="17" customHeight="1" x14ac:dyDescent="0.15">
      <c r="A5225" s="11" t="s">
        <v>28255</v>
      </c>
      <c r="B5225" s="1" t="s">
        <v>28256</v>
      </c>
      <c r="C5225" s="11" t="s">
        <v>28257</v>
      </c>
      <c r="D5225" s="11" t="s">
        <v>28257</v>
      </c>
      <c r="E5225" s="11" t="s">
        <v>28258</v>
      </c>
      <c r="F5225" s="11" t="s">
        <v>28259</v>
      </c>
      <c r="G5225" s="11" t="s">
        <v>28260</v>
      </c>
      <c r="H5225" s="11" t="s">
        <v>28261</v>
      </c>
      <c r="I5225" s="11" t="str">
        <f>HYPERLINK("http://www.elkayfashions.it/","www.elkayfashions.it")</f>
        <v>www.elkayfashions.it</v>
      </c>
      <c r="J5225" s="12">
        <v>482.17099999999999</v>
      </c>
      <c r="K5225" s="14" t="s">
        <v>28208</v>
      </c>
      <c r="L5225" s="16" t="s">
        <v>28208</v>
      </c>
      <c r="M5225" s="12">
        <v>-78.646000000000001</v>
      </c>
      <c r="N5225" s="14" t="s">
        <v>28208</v>
      </c>
      <c r="O5225" s="14" t="s">
        <v>28208</v>
      </c>
      <c r="P5225" s="12">
        <v>6</v>
      </c>
      <c r="Q5225" s="14" t="s">
        <v>28208</v>
      </c>
      <c r="R5225" s="14" t="s">
        <v>28208</v>
      </c>
    </row>
    <row r="5226" spans="1:18" ht="43" customHeight="1" x14ac:dyDescent="0.15">
      <c r="A5226" s="8" t="s">
        <v>28262</v>
      </c>
      <c r="B5226" s="9" t="s">
        <v>28263</v>
      </c>
      <c r="C5226" s="8" t="s">
        <v>28264</v>
      </c>
      <c r="D5226" s="8" t="s">
        <v>28264</v>
      </c>
      <c r="E5226" s="8" t="s">
        <v>28265</v>
      </c>
      <c r="F5226" s="8" t="s">
        <v>28234</v>
      </c>
      <c r="G5226" s="8" t="s">
        <v>28254</v>
      </c>
      <c r="H5226" s="8" t="s">
        <v>28229</v>
      </c>
      <c r="I5226" s="8" t="str">
        <f>HYPERLINK("http://www.coopilfiore.it/","www.coopilfiore.it")</f>
        <v>www.coopilfiore.it</v>
      </c>
      <c r="J5226" s="10">
        <v>479.89</v>
      </c>
      <c r="K5226" s="15" t="s">
        <v>28208</v>
      </c>
      <c r="L5226" s="15" t="s">
        <v>28208</v>
      </c>
      <c r="M5226" s="10">
        <v>-676.02300000000002</v>
      </c>
      <c r="N5226" s="15" t="s">
        <v>28208</v>
      </c>
      <c r="O5226" s="15" t="s">
        <v>28208</v>
      </c>
      <c r="P5226" s="10">
        <v>29</v>
      </c>
      <c r="Q5226" s="15" t="s">
        <v>28208</v>
      </c>
      <c r="R5226" s="15" t="s">
        <v>28208</v>
      </c>
    </row>
    <row r="5227" spans="1:18" ht="17" customHeight="1" x14ac:dyDescent="0.15">
      <c r="A5227" s="11" t="s">
        <v>28266</v>
      </c>
      <c r="B5227" s="1" t="s">
        <v>28267</v>
      </c>
      <c r="C5227" s="11" t="s">
        <v>28268</v>
      </c>
      <c r="D5227" s="11" t="s">
        <v>28268</v>
      </c>
      <c r="E5227" s="11" t="s">
        <v>28269</v>
      </c>
      <c r="F5227" s="11" t="s">
        <v>28205</v>
      </c>
      <c r="G5227" s="11" t="s">
        <v>28270</v>
      </c>
      <c r="H5227" s="11" t="s">
        <v>28271</v>
      </c>
      <c r="I5227" s="11" t="str">
        <f>HYPERLINK("http://www.monas-studio.it/","http://www.monas-studio.it")</f>
        <v>http://www.monas-studio.it</v>
      </c>
      <c r="J5227" s="12">
        <v>478.56400000000002</v>
      </c>
      <c r="K5227" s="14" t="s">
        <v>28208</v>
      </c>
      <c r="L5227" s="16" t="s">
        <v>28208</v>
      </c>
      <c r="M5227" s="12">
        <v>17.006</v>
      </c>
      <c r="N5227" s="14" t="s">
        <v>28208</v>
      </c>
      <c r="O5227" s="14" t="s">
        <v>28208</v>
      </c>
      <c r="P5227" s="12">
        <v>2</v>
      </c>
      <c r="Q5227" s="14" t="s">
        <v>28208</v>
      </c>
      <c r="R5227" s="14" t="s">
        <v>28208</v>
      </c>
    </row>
    <row r="5228" spans="1:18" ht="17" customHeight="1" x14ac:dyDescent="0.15">
      <c r="A5228" s="8" t="s">
        <v>28272</v>
      </c>
      <c r="B5228" s="9" t="s">
        <v>28273</v>
      </c>
      <c r="C5228" s="8" t="s">
        <v>28274</v>
      </c>
      <c r="D5228" s="8" t="s">
        <v>28274</v>
      </c>
      <c r="E5228" s="8" t="s">
        <v>28275</v>
      </c>
      <c r="F5228" s="8" t="s">
        <v>28205</v>
      </c>
      <c r="G5228" s="8" t="s">
        <v>28276</v>
      </c>
      <c r="H5228" s="8" t="s">
        <v>28271</v>
      </c>
      <c r="I5228" s="8" t="str">
        <f>HYPERLINK("http://hymybag-official.com/","http://hymybag-official.com")</f>
        <v>http://hymybag-official.com</v>
      </c>
      <c r="J5228" s="10">
        <v>478.15800000000002</v>
      </c>
      <c r="K5228" s="15" t="s">
        <v>28208</v>
      </c>
      <c r="L5228" s="15" t="s">
        <v>28208</v>
      </c>
      <c r="M5228" s="10">
        <v>-178.68799999999999</v>
      </c>
      <c r="N5228" s="15" t="s">
        <v>28208</v>
      </c>
      <c r="O5228" s="15" t="s">
        <v>28208</v>
      </c>
      <c r="P5228" s="10">
        <v>0</v>
      </c>
      <c r="Q5228" s="15" t="s">
        <v>28208</v>
      </c>
      <c r="R5228" s="15" t="s">
        <v>28208</v>
      </c>
    </row>
    <row r="5229" spans="1:18" ht="17" customHeight="1" x14ac:dyDescent="0.15">
      <c r="A5229" s="11" t="s">
        <v>28277</v>
      </c>
      <c r="B5229" s="1" t="s">
        <v>28278</v>
      </c>
      <c r="C5229" s="11" t="s">
        <v>28279</v>
      </c>
      <c r="D5229" s="11" t="s">
        <v>28279</v>
      </c>
      <c r="E5229" s="11" t="s">
        <v>28280</v>
      </c>
      <c r="F5229" s="11" t="s">
        <v>28253</v>
      </c>
      <c r="G5229" s="11" t="s">
        <v>28281</v>
      </c>
      <c r="H5229" s="11" t="s">
        <v>28261</v>
      </c>
      <c r="I5229" s="11" t="str">
        <f>HYPERLINK("http://www.maisondor.it/","www.maisondor.it")</f>
        <v>www.maisondor.it</v>
      </c>
      <c r="J5229" s="12">
        <v>467.07499999999999</v>
      </c>
      <c r="K5229" s="12">
        <v>467.07499999999999</v>
      </c>
      <c r="L5229" s="16" t="s">
        <v>28208</v>
      </c>
      <c r="M5229" s="12">
        <v>-40.726999999999997</v>
      </c>
      <c r="N5229" s="12">
        <v>-40.726999999999997</v>
      </c>
      <c r="O5229" s="14" t="s">
        <v>28208</v>
      </c>
      <c r="P5229" s="12">
        <v>10</v>
      </c>
      <c r="Q5229" s="12">
        <v>10</v>
      </c>
      <c r="R5229" s="14" t="s">
        <v>28208</v>
      </c>
    </row>
    <row r="5230" spans="1:18" ht="43" customHeight="1" x14ac:dyDescent="0.15">
      <c r="A5230" s="8" t="s">
        <v>28282</v>
      </c>
      <c r="B5230" s="9" t="s">
        <v>28283</v>
      </c>
      <c r="C5230" s="8" t="s">
        <v>28284</v>
      </c>
      <c r="D5230" s="8" t="s">
        <v>28284</v>
      </c>
      <c r="E5230" s="8" t="s">
        <v>28285</v>
      </c>
      <c r="F5230" s="8" t="s">
        <v>28253</v>
      </c>
      <c r="G5230" s="8" t="s">
        <v>28214</v>
      </c>
      <c r="H5230" s="8" t="s">
        <v>28215</v>
      </c>
      <c r="I5230" s="8" t="str">
        <f>HYPERLINK("http://www.salvatorepennetta.com/","www.salvatorepennetta.com")</f>
        <v>www.salvatorepennetta.com</v>
      </c>
      <c r="J5230" s="10">
        <v>466.53500000000003</v>
      </c>
      <c r="K5230" s="15" t="s">
        <v>28208</v>
      </c>
      <c r="L5230" s="15" t="s">
        <v>28208</v>
      </c>
      <c r="M5230" s="10">
        <v>3.19</v>
      </c>
      <c r="N5230" s="15" t="s">
        <v>28208</v>
      </c>
      <c r="O5230" s="15" t="s">
        <v>28208</v>
      </c>
      <c r="P5230" s="10">
        <v>21</v>
      </c>
      <c r="Q5230" s="15" t="s">
        <v>28208</v>
      </c>
      <c r="R5230" s="15" t="s">
        <v>28208</v>
      </c>
    </row>
    <row r="5231" spans="1:18" ht="17" customHeight="1" x14ac:dyDescent="0.15">
      <c r="A5231" s="11" t="s">
        <v>28286</v>
      </c>
      <c r="B5231" s="1" t="s">
        <v>28287</v>
      </c>
      <c r="C5231" s="11" t="s">
        <v>28288</v>
      </c>
      <c r="D5231" s="11" t="s">
        <v>28288</v>
      </c>
      <c r="E5231" s="11" t="s">
        <v>28289</v>
      </c>
      <c r="F5231" s="11" t="s">
        <v>28290</v>
      </c>
      <c r="G5231" s="11" t="s">
        <v>28291</v>
      </c>
      <c r="H5231" s="11" t="s">
        <v>28292</v>
      </c>
      <c r="I5231" s="11" t="str">
        <f>HYPERLINK("http://www.produttorecalzepigiamitrec.com/","www.produttorecalzepigiamitrec.com")</f>
        <v>www.produttorecalzepigiamitrec.com</v>
      </c>
      <c r="J5231" s="12">
        <v>463.24</v>
      </c>
      <c r="K5231" s="14" t="s">
        <v>28208</v>
      </c>
      <c r="L5231" s="16" t="s">
        <v>28208</v>
      </c>
      <c r="M5231" s="12">
        <v>7.0549999999999997</v>
      </c>
      <c r="N5231" s="14" t="s">
        <v>28208</v>
      </c>
      <c r="O5231" s="14" t="s">
        <v>28208</v>
      </c>
      <c r="P5231" s="12">
        <v>10</v>
      </c>
      <c r="Q5231" s="14" t="s">
        <v>28208</v>
      </c>
      <c r="R5231" s="14" t="s">
        <v>28208</v>
      </c>
    </row>
    <row r="5232" spans="1:18" ht="17" customHeight="1" x14ac:dyDescent="0.15">
      <c r="A5232" s="8" t="s">
        <v>28293</v>
      </c>
      <c r="B5232" s="9" t="s">
        <v>28294</v>
      </c>
      <c r="C5232" s="8" t="s">
        <v>28295</v>
      </c>
      <c r="D5232" s="8" t="s">
        <v>28295</v>
      </c>
      <c r="E5232" s="8" t="s">
        <v>28296</v>
      </c>
      <c r="F5232" s="8" t="s">
        <v>28297</v>
      </c>
      <c r="G5232" s="8" t="s">
        <v>28298</v>
      </c>
      <c r="H5232" s="8" t="s">
        <v>28299</v>
      </c>
      <c r="I5232" s="8" t="str">
        <f>HYPERLINK("http://www.meccarielloshoes.it/","www.meccarielloshoes.it")</f>
        <v>www.meccarielloshoes.it</v>
      </c>
      <c r="J5232" s="10">
        <v>458.37900000000002</v>
      </c>
      <c r="K5232" s="15" t="s">
        <v>28208</v>
      </c>
      <c r="L5232" s="15" t="s">
        <v>28208</v>
      </c>
      <c r="M5232" s="10">
        <v>18.021000000000001</v>
      </c>
      <c r="N5232" s="15" t="s">
        <v>28208</v>
      </c>
      <c r="O5232" s="15" t="s">
        <v>28208</v>
      </c>
      <c r="P5232" s="10">
        <v>1</v>
      </c>
      <c r="Q5232" s="15" t="s">
        <v>28208</v>
      </c>
      <c r="R5232" s="15" t="s">
        <v>28208</v>
      </c>
    </row>
    <row r="5233" spans="1:18" ht="17" customHeight="1" x14ac:dyDescent="0.15">
      <c r="A5233" s="11" t="s">
        <v>28300</v>
      </c>
      <c r="B5233" s="1" t="s">
        <v>28301</v>
      </c>
      <c r="C5233" s="11" t="s">
        <v>28302</v>
      </c>
      <c r="D5233" s="11" t="s">
        <v>28302</v>
      </c>
      <c r="E5233" s="11" t="s">
        <v>28303</v>
      </c>
      <c r="F5233" s="11" t="s">
        <v>28234</v>
      </c>
      <c r="G5233" s="11" t="s">
        <v>28304</v>
      </c>
      <c r="H5233" s="11" t="s">
        <v>28271</v>
      </c>
      <c r="I5233" s="11" t="str">
        <f>HYPERLINK("http://basedodici-distribution.com/","basedodici-distribution.com")</f>
        <v>basedodici-distribution.com</v>
      </c>
      <c r="J5233" s="12">
        <v>456.726</v>
      </c>
      <c r="K5233" s="12">
        <v>456.726</v>
      </c>
      <c r="L5233" s="16" t="s">
        <v>28208</v>
      </c>
      <c r="M5233" s="12">
        <v>10.211</v>
      </c>
      <c r="N5233" s="12">
        <v>10.211</v>
      </c>
      <c r="O5233" s="14" t="s">
        <v>28208</v>
      </c>
      <c r="P5233" s="12">
        <v>1</v>
      </c>
      <c r="Q5233" s="12">
        <v>1</v>
      </c>
      <c r="R5233" s="14" t="s">
        <v>28208</v>
      </c>
    </row>
    <row r="5234" spans="1:18" ht="17" customHeight="1" x14ac:dyDescent="0.15">
      <c r="A5234" s="8" t="s">
        <v>28305</v>
      </c>
      <c r="B5234" s="9" t="s">
        <v>28306</v>
      </c>
      <c r="C5234" s="8" t="s">
        <v>28307</v>
      </c>
      <c r="D5234" s="8" t="s">
        <v>28307</v>
      </c>
      <c r="E5234" s="8" t="s">
        <v>28308</v>
      </c>
      <c r="F5234" s="8" t="s">
        <v>28239</v>
      </c>
      <c r="G5234" s="8" t="s">
        <v>28309</v>
      </c>
      <c r="H5234" s="8" t="s">
        <v>28261</v>
      </c>
      <c r="I5234" s="8" t="str">
        <f>HYPERLINK("http://www.sticom.it/","www.sticom.it")</f>
        <v>www.sticom.it</v>
      </c>
      <c r="J5234" s="10">
        <v>453.27800000000002</v>
      </c>
      <c r="K5234" s="10">
        <v>453.27800000000002</v>
      </c>
      <c r="L5234" s="15" t="s">
        <v>28208</v>
      </c>
      <c r="M5234" s="10">
        <v>13.454000000000001</v>
      </c>
      <c r="N5234" s="10">
        <v>13.454000000000001</v>
      </c>
      <c r="O5234" s="15" t="s">
        <v>28208</v>
      </c>
      <c r="P5234" s="10">
        <v>10</v>
      </c>
      <c r="Q5234" s="10">
        <v>10</v>
      </c>
      <c r="R5234" s="15" t="s">
        <v>28208</v>
      </c>
    </row>
    <row r="5235" spans="1:18" ht="55.75" customHeight="1" x14ac:dyDescent="0.15">
      <c r="A5235" s="11" t="s">
        <v>28310</v>
      </c>
      <c r="B5235" s="1" t="s">
        <v>28311</v>
      </c>
      <c r="C5235" s="11" t="s">
        <v>28312</v>
      </c>
      <c r="D5235" s="11" t="s">
        <v>28312</v>
      </c>
      <c r="E5235" s="11" t="s">
        <v>28313</v>
      </c>
      <c r="F5235" s="11" t="s">
        <v>28227</v>
      </c>
      <c r="G5235" s="11" t="s">
        <v>28314</v>
      </c>
      <c r="H5235" s="11" t="s">
        <v>28248</v>
      </c>
      <c r="I5235" s="11" t="str">
        <f>HYPERLINK("http://www.outletdelcavallo.com/","www.outletdelcavallo.com")</f>
        <v>www.outletdelcavallo.com</v>
      </c>
      <c r="J5235" s="12">
        <v>451.86500000000001</v>
      </c>
      <c r="K5235" s="12">
        <v>451.86500000000001</v>
      </c>
      <c r="L5235" s="16" t="s">
        <v>28208</v>
      </c>
      <c r="M5235" s="12">
        <v>4.0410000000000004</v>
      </c>
      <c r="N5235" s="12">
        <v>4.0410000000000004</v>
      </c>
      <c r="O5235" s="14" t="s">
        <v>28208</v>
      </c>
      <c r="P5235" s="14" t="s">
        <v>28208</v>
      </c>
      <c r="Q5235" s="14" t="s">
        <v>28208</v>
      </c>
      <c r="R5235" s="14" t="s">
        <v>28208</v>
      </c>
    </row>
    <row r="5236" spans="1:18" ht="17" customHeight="1" x14ac:dyDescent="0.15">
      <c r="A5236" s="8" t="s">
        <v>28315</v>
      </c>
      <c r="B5236" s="9" t="s">
        <v>28316</v>
      </c>
      <c r="C5236" s="8" t="s">
        <v>28317</v>
      </c>
      <c r="D5236" s="8" t="s">
        <v>28317</v>
      </c>
      <c r="E5236" s="8" t="s">
        <v>28318</v>
      </c>
      <c r="F5236" s="8" t="s">
        <v>28213</v>
      </c>
      <c r="G5236" s="8" t="s">
        <v>28319</v>
      </c>
      <c r="H5236" s="8" t="s">
        <v>28229</v>
      </c>
      <c r="I5236" s="8" t="str">
        <f>HYPERLINK("http://www.kreizy.it/","www.kreizy.it")</f>
        <v>www.kreizy.it</v>
      </c>
      <c r="J5236" s="10">
        <v>444.26</v>
      </c>
      <c r="K5236" s="10">
        <v>444.26</v>
      </c>
      <c r="L5236" s="15" t="s">
        <v>28208</v>
      </c>
      <c r="M5236" s="10">
        <v>36.606000000000002</v>
      </c>
      <c r="N5236" s="10">
        <v>36.606000000000002</v>
      </c>
      <c r="O5236" s="15" t="s">
        <v>28208</v>
      </c>
      <c r="P5236" s="15" t="s">
        <v>28208</v>
      </c>
      <c r="Q5236" s="15" t="s">
        <v>28208</v>
      </c>
      <c r="R5236" s="15" t="s">
        <v>28208</v>
      </c>
    </row>
    <row r="5237" spans="1:18" ht="17" customHeight="1" x14ac:dyDescent="0.15">
      <c r="A5237" s="11" t="s">
        <v>28320</v>
      </c>
      <c r="B5237" s="1" t="s">
        <v>28321</v>
      </c>
      <c r="C5237" s="11" t="s">
        <v>28322</v>
      </c>
      <c r="D5237" s="11" t="s">
        <v>28322</v>
      </c>
      <c r="E5237" s="11" t="s">
        <v>28323</v>
      </c>
      <c r="F5237" s="11" t="s">
        <v>28324</v>
      </c>
      <c r="G5237" s="11" t="s">
        <v>28325</v>
      </c>
      <c r="H5237" s="11" t="s">
        <v>28299</v>
      </c>
      <c r="I5237" s="11" t="str">
        <f>HYPERLINK("http://www.ammoda.com/","www.ammoda.com")</f>
        <v>www.ammoda.com</v>
      </c>
      <c r="J5237" s="12">
        <v>441.89600000000002</v>
      </c>
      <c r="K5237" s="14" t="s">
        <v>28208</v>
      </c>
      <c r="L5237" s="16" t="s">
        <v>28208</v>
      </c>
      <c r="M5237" s="12">
        <v>14.778</v>
      </c>
      <c r="N5237" s="14" t="s">
        <v>28208</v>
      </c>
      <c r="O5237" s="14" t="s">
        <v>28208</v>
      </c>
      <c r="P5237" s="12">
        <v>4</v>
      </c>
      <c r="Q5237" s="14" t="s">
        <v>28208</v>
      </c>
      <c r="R5237" s="14" t="s">
        <v>28208</v>
      </c>
    </row>
    <row r="5238" spans="1:18" ht="17" customHeight="1" x14ac:dyDescent="0.15">
      <c r="A5238" s="8" t="s">
        <v>28326</v>
      </c>
      <c r="B5238" s="9" t="s">
        <v>28327</v>
      </c>
      <c r="C5238" s="8" t="s">
        <v>28328</v>
      </c>
      <c r="D5238" s="8" t="s">
        <v>28328</v>
      </c>
      <c r="E5238" s="8" t="s">
        <v>28329</v>
      </c>
      <c r="F5238" s="8" t="s">
        <v>28253</v>
      </c>
      <c r="G5238" s="8" t="s">
        <v>28330</v>
      </c>
      <c r="H5238" s="8" t="s">
        <v>28222</v>
      </c>
      <c r="I5238" s="8" t="str">
        <f>HYPERLINK("http://www.onedaysrl.it/","www.onedaysrl.it")</f>
        <v>www.onedaysrl.it</v>
      </c>
      <c r="J5238" s="10">
        <v>438.72</v>
      </c>
      <c r="K5238" s="15" t="s">
        <v>28208</v>
      </c>
      <c r="L5238" s="15" t="s">
        <v>28208</v>
      </c>
      <c r="M5238" s="10">
        <v>5.67</v>
      </c>
      <c r="N5238" s="15" t="s">
        <v>28208</v>
      </c>
      <c r="O5238" s="15" t="s">
        <v>28208</v>
      </c>
      <c r="P5238" s="10">
        <v>4</v>
      </c>
      <c r="Q5238" s="15" t="s">
        <v>28208</v>
      </c>
      <c r="R5238" s="15" t="s">
        <v>28208</v>
      </c>
    </row>
    <row r="5239" spans="1:18" ht="29.5" customHeight="1" x14ac:dyDescent="0.15">
      <c r="A5239" s="11" t="s">
        <v>28331</v>
      </c>
      <c r="B5239" s="1" t="s">
        <v>28332</v>
      </c>
      <c r="C5239" s="11" t="s">
        <v>28333</v>
      </c>
      <c r="D5239" s="11" t="s">
        <v>28333</v>
      </c>
      <c r="E5239" s="11" t="s">
        <v>28334</v>
      </c>
      <c r="F5239" s="11" t="s">
        <v>28234</v>
      </c>
      <c r="G5239" s="11" t="s">
        <v>28335</v>
      </c>
      <c r="H5239" s="11" t="s">
        <v>28207</v>
      </c>
      <c r="I5239" s="11" t="str">
        <f>HYPERLINK("http://www.nwsport.it/","www.nwsport.it")</f>
        <v>www.nwsport.it</v>
      </c>
      <c r="J5239" s="12">
        <v>435.49700000000001</v>
      </c>
      <c r="K5239" s="14" t="s">
        <v>28208</v>
      </c>
      <c r="L5239" s="16" t="s">
        <v>28208</v>
      </c>
      <c r="M5239" s="12">
        <v>-44.843000000000004</v>
      </c>
      <c r="N5239" s="14" t="s">
        <v>28208</v>
      </c>
      <c r="O5239" s="14" t="s">
        <v>28208</v>
      </c>
      <c r="P5239" s="12">
        <v>10</v>
      </c>
      <c r="Q5239" s="14" t="s">
        <v>28208</v>
      </c>
      <c r="R5239" s="14" t="s">
        <v>28208</v>
      </c>
    </row>
    <row r="5240" spans="1:18" ht="17" customHeight="1" x14ac:dyDescent="0.15">
      <c r="A5240" s="8" t="s">
        <v>28336</v>
      </c>
      <c r="B5240" s="9" t="s">
        <v>28337</v>
      </c>
      <c r="C5240" s="8" t="s">
        <v>28338</v>
      </c>
      <c r="D5240" s="8" t="s">
        <v>28338</v>
      </c>
      <c r="E5240" s="8" t="s">
        <v>28339</v>
      </c>
      <c r="F5240" s="8" t="s">
        <v>28213</v>
      </c>
      <c r="G5240" s="8" t="s">
        <v>28340</v>
      </c>
      <c r="H5240" s="8" t="s">
        <v>28241</v>
      </c>
      <c r="I5240" s="8" t="str">
        <f>HYPERLINK("http://www.pmfashionlab.it/","www.pmfashionlab.it")</f>
        <v>www.pmfashionlab.it</v>
      </c>
      <c r="J5240" s="10">
        <v>433.82799999999997</v>
      </c>
      <c r="K5240" s="10">
        <v>433.82799999999997</v>
      </c>
      <c r="L5240" s="15" t="s">
        <v>28208</v>
      </c>
      <c r="M5240" s="10">
        <v>-1.9550000000000001</v>
      </c>
      <c r="N5240" s="10">
        <v>-1.9550000000000001</v>
      </c>
      <c r="O5240" s="15" t="s">
        <v>28208</v>
      </c>
      <c r="P5240" s="10">
        <v>9</v>
      </c>
      <c r="Q5240" s="10">
        <v>9</v>
      </c>
      <c r="R5240" s="15" t="s">
        <v>28208</v>
      </c>
    </row>
    <row r="5241" spans="1:18" ht="29.5" customHeight="1" x14ac:dyDescent="0.15">
      <c r="A5241" s="11" t="s">
        <v>28341</v>
      </c>
      <c r="B5241" s="1" t="s">
        <v>28342</v>
      </c>
      <c r="C5241" s="11" t="s">
        <v>28343</v>
      </c>
      <c r="D5241" s="11" t="s">
        <v>28344</v>
      </c>
      <c r="E5241" s="11" t="s">
        <v>28345</v>
      </c>
      <c r="F5241" s="11" t="s">
        <v>28346</v>
      </c>
      <c r="G5241" s="11" t="s">
        <v>28347</v>
      </c>
      <c r="H5241" s="11" t="s">
        <v>28348</v>
      </c>
      <c r="I5241" s="11" t="str">
        <f>HYPERLINK("http://www.borellotorino.it/","www.borellotorino.it")</f>
        <v>www.borellotorino.it</v>
      </c>
      <c r="J5241" s="12">
        <v>433.56299999999999</v>
      </c>
      <c r="K5241" s="14" t="s">
        <v>28208</v>
      </c>
      <c r="L5241" s="16" t="s">
        <v>28208</v>
      </c>
      <c r="M5241" s="12">
        <v>-65.647000000000006</v>
      </c>
      <c r="N5241" s="14" t="s">
        <v>28208</v>
      </c>
      <c r="O5241" s="14" t="s">
        <v>28208</v>
      </c>
      <c r="P5241" s="12">
        <v>0</v>
      </c>
      <c r="Q5241" s="14" t="s">
        <v>28208</v>
      </c>
      <c r="R5241" s="14" t="s">
        <v>28208</v>
      </c>
    </row>
    <row r="5242" spans="1:18" ht="17" customHeight="1" x14ac:dyDescent="0.15">
      <c r="A5242" s="8" t="s">
        <v>28349</v>
      </c>
      <c r="B5242" s="9" t="s">
        <v>28350</v>
      </c>
      <c r="C5242" s="8" t="s">
        <v>28351</v>
      </c>
      <c r="D5242" s="8" t="s">
        <v>28351</v>
      </c>
      <c r="E5242" s="8" t="s">
        <v>28352</v>
      </c>
      <c r="F5242" s="8" t="s">
        <v>28353</v>
      </c>
      <c r="G5242" s="8" t="s">
        <v>28247</v>
      </c>
      <c r="H5242" s="8" t="s">
        <v>28248</v>
      </c>
      <c r="I5242" s="8" t="str">
        <f>HYPERLINK("http://www.conceriagaia.com/","www.conceriagaia.com")</f>
        <v>www.conceriagaia.com</v>
      </c>
      <c r="J5242" s="10">
        <v>429.53399999999999</v>
      </c>
      <c r="K5242" s="15" t="s">
        <v>28208</v>
      </c>
      <c r="L5242" s="15" t="s">
        <v>28208</v>
      </c>
      <c r="M5242" s="10">
        <v>-237.94200000000001</v>
      </c>
      <c r="N5242" s="15" t="s">
        <v>28208</v>
      </c>
      <c r="O5242" s="15" t="s">
        <v>28208</v>
      </c>
      <c r="P5242" s="10">
        <v>6</v>
      </c>
      <c r="Q5242" s="15" t="s">
        <v>28208</v>
      </c>
      <c r="R5242" s="15" t="s">
        <v>28208</v>
      </c>
    </row>
    <row r="5243" spans="1:18" ht="17" customHeight="1" x14ac:dyDescent="0.15">
      <c r="A5243" s="11" t="s">
        <v>28354</v>
      </c>
      <c r="B5243" s="1" t="s">
        <v>28355</v>
      </c>
      <c r="C5243" s="11" t="s">
        <v>28356</v>
      </c>
      <c r="D5243" s="11" t="s">
        <v>28356</v>
      </c>
      <c r="E5243" s="11" t="s">
        <v>28357</v>
      </c>
      <c r="F5243" s="11" t="s">
        <v>28213</v>
      </c>
      <c r="G5243" s="11" t="s">
        <v>28260</v>
      </c>
      <c r="H5243" s="11" t="s">
        <v>28261</v>
      </c>
      <c r="I5243" s="11" t="str">
        <f>HYPERLINK("http://www.acquachiara.it/","www.acquachiara.it")</f>
        <v>www.acquachiara.it</v>
      </c>
      <c r="J5243" s="12">
        <v>420.60300000000001</v>
      </c>
      <c r="K5243" s="14" t="s">
        <v>28208</v>
      </c>
      <c r="L5243" s="16" t="s">
        <v>28208</v>
      </c>
      <c r="M5243" s="12">
        <v>3.3610000000000002</v>
      </c>
      <c r="N5243" s="14" t="s">
        <v>28208</v>
      </c>
      <c r="O5243" s="14" t="s">
        <v>28208</v>
      </c>
      <c r="P5243" s="12">
        <v>6</v>
      </c>
      <c r="Q5243" s="14" t="s">
        <v>28208</v>
      </c>
      <c r="R5243" s="14" t="s">
        <v>28208</v>
      </c>
    </row>
    <row r="5244" spans="1:18" ht="17" customHeight="1" x14ac:dyDescent="0.15">
      <c r="A5244" s="8" t="s">
        <v>28358</v>
      </c>
      <c r="B5244" s="9" t="s">
        <v>28359</v>
      </c>
      <c r="C5244" s="8" t="s">
        <v>28360</v>
      </c>
      <c r="D5244" s="8" t="s">
        <v>28360</v>
      </c>
      <c r="E5244" s="8" t="s">
        <v>28361</v>
      </c>
      <c r="F5244" s="8" t="s">
        <v>28234</v>
      </c>
      <c r="G5244" s="8" t="s">
        <v>28362</v>
      </c>
      <c r="H5244" s="8" t="s">
        <v>28271</v>
      </c>
      <c r="I5244" s="8" t="str">
        <f>HYPERLINK("http://www.strcompany.it/","www.strcompany.it")</f>
        <v>www.strcompany.it</v>
      </c>
      <c r="J5244" s="10">
        <v>417.29899999999998</v>
      </c>
      <c r="K5244" s="15" t="s">
        <v>28208</v>
      </c>
      <c r="L5244" s="15" t="s">
        <v>28208</v>
      </c>
      <c r="M5244" s="10">
        <v>10.928000000000001</v>
      </c>
      <c r="N5244" s="15" t="s">
        <v>28208</v>
      </c>
      <c r="O5244" s="15" t="s">
        <v>28208</v>
      </c>
      <c r="P5244" s="15" t="s">
        <v>28208</v>
      </c>
      <c r="Q5244" s="15" t="s">
        <v>28208</v>
      </c>
      <c r="R5244" s="15" t="s">
        <v>28208</v>
      </c>
    </row>
    <row r="5245" spans="1:18" ht="17" customHeight="1" x14ac:dyDescent="0.15">
      <c r="A5245" s="11" t="s">
        <v>28363</v>
      </c>
      <c r="B5245" s="1" t="s">
        <v>28364</v>
      </c>
      <c r="C5245" s="11" t="s">
        <v>28365</v>
      </c>
      <c r="D5245" s="11" t="s">
        <v>28365</v>
      </c>
      <c r="E5245" s="11" t="s">
        <v>28366</v>
      </c>
      <c r="F5245" s="11" t="s">
        <v>28367</v>
      </c>
      <c r="G5245" s="11" t="s">
        <v>28270</v>
      </c>
      <c r="H5245" s="11" t="s">
        <v>28271</v>
      </c>
      <c r="I5245" s="11" t="s">
        <v>28368</v>
      </c>
      <c r="J5245" s="12">
        <v>415.46600000000001</v>
      </c>
      <c r="K5245" s="14" t="s">
        <v>28208</v>
      </c>
      <c r="L5245" s="16" t="s">
        <v>28208</v>
      </c>
      <c r="M5245" s="12">
        <v>2.9209999999999998</v>
      </c>
      <c r="N5245" s="14" t="s">
        <v>28208</v>
      </c>
      <c r="O5245" s="14" t="s">
        <v>28208</v>
      </c>
      <c r="P5245" s="12">
        <v>14</v>
      </c>
      <c r="Q5245" s="14" t="s">
        <v>28208</v>
      </c>
      <c r="R5245" s="14" t="s">
        <v>28208</v>
      </c>
    </row>
    <row r="5246" spans="1:18" ht="29.5" customHeight="1" x14ac:dyDescent="0.15">
      <c r="A5246" s="8" t="s">
        <v>28369</v>
      </c>
      <c r="B5246" s="9" t="s">
        <v>28370</v>
      </c>
      <c r="C5246" s="8" t="s">
        <v>28371</v>
      </c>
      <c r="D5246" s="8" t="s">
        <v>28371</v>
      </c>
      <c r="E5246" s="8" t="s">
        <v>28372</v>
      </c>
      <c r="F5246" s="8" t="s">
        <v>28239</v>
      </c>
      <c r="G5246" s="8" t="s">
        <v>28325</v>
      </c>
      <c r="H5246" s="8" t="s">
        <v>28299</v>
      </c>
      <c r="I5246" s="8" t="str">
        <f>HYPERLINK("http://www.gloves.it/","www.gloves.it")</f>
        <v>www.gloves.it</v>
      </c>
      <c r="J5246" s="10">
        <v>402.315</v>
      </c>
      <c r="K5246" s="15" t="s">
        <v>28208</v>
      </c>
      <c r="L5246" s="15" t="s">
        <v>28208</v>
      </c>
      <c r="M5246" s="10">
        <v>14.96</v>
      </c>
      <c r="N5246" s="15" t="s">
        <v>28208</v>
      </c>
      <c r="O5246" s="15" t="s">
        <v>28208</v>
      </c>
      <c r="P5246" s="10">
        <v>3</v>
      </c>
      <c r="Q5246" s="15" t="s">
        <v>28208</v>
      </c>
      <c r="R5246" s="15" t="s">
        <v>28208</v>
      </c>
    </row>
    <row r="5247" spans="1:18" ht="17" customHeight="1" x14ac:dyDescent="0.15">
      <c r="A5247" s="11" t="s">
        <v>28373</v>
      </c>
      <c r="B5247" s="1" t="s">
        <v>28374</v>
      </c>
      <c r="C5247" s="11" t="s">
        <v>28375</v>
      </c>
      <c r="D5247" s="11" t="s">
        <v>28375</v>
      </c>
      <c r="E5247" s="11" t="s">
        <v>28376</v>
      </c>
      <c r="F5247" s="11" t="s">
        <v>28259</v>
      </c>
      <c r="G5247" s="11" t="s">
        <v>28377</v>
      </c>
      <c r="H5247" s="11" t="s">
        <v>28248</v>
      </c>
      <c r="I5247" s="11" t="str">
        <f>HYPERLINK("http://www.opificidigitali.it/brumel","http://www.opificidigitali.it/brumel")</f>
        <v>http://www.opificidigitali.it/brumel</v>
      </c>
      <c r="J5247" s="12">
        <v>397.94900000000001</v>
      </c>
      <c r="K5247" s="14" t="s">
        <v>28208</v>
      </c>
      <c r="L5247" s="16" t="s">
        <v>28208</v>
      </c>
      <c r="M5247" s="12">
        <v>-2.6179999999999999</v>
      </c>
      <c r="N5247" s="14" t="s">
        <v>28208</v>
      </c>
      <c r="O5247" s="14" t="s">
        <v>28208</v>
      </c>
      <c r="P5247" s="12">
        <v>0</v>
      </c>
      <c r="Q5247" s="14" t="s">
        <v>28208</v>
      </c>
      <c r="R5247" s="14" t="s">
        <v>28208</v>
      </c>
    </row>
    <row r="5248" spans="1:18" ht="17" customHeight="1" x14ac:dyDescent="0.15">
      <c r="A5248" s="8" t="s">
        <v>28378</v>
      </c>
      <c r="B5248" s="9" t="s">
        <v>28379</v>
      </c>
      <c r="C5248" s="8" t="s">
        <v>28380</v>
      </c>
      <c r="D5248" s="8" t="s">
        <v>28380</v>
      </c>
      <c r="E5248" s="8" t="s">
        <v>28381</v>
      </c>
      <c r="F5248" s="8" t="s">
        <v>28297</v>
      </c>
      <c r="G5248" s="8" t="s">
        <v>28382</v>
      </c>
      <c r="H5248" s="8" t="s">
        <v>28271</v>
      </c>
      <c r="I5248" s="8" t="str">
        <f>HYPERLINK("http://www.simonesrl.com/","http://www.simonesrl.com")</f>
        <v>http://www.simonesrl.com</v>
      </c>
      <c r="J5248" s="10">
        <v>396.73399999999998</v>
      </c>
      <c r="K5248" s="15" t="s">
        <v>28208</v>
      </c>
      <c r="L5248" s="15" t="s">
        <v>28208</v>
      </c>
      <c r="M5248" s="10">
        <v>183.958</v>
      </c>
      <c r="N5248" s="15" t="s">
        <v>28208</v>
      </c>
      <c r="O5248" s="15" t="s">
        <v>28208</v>
      </c>
      <c r="P5248" s="10">
        <v>2</v>
      </c>
      <c r="Q5248" s="15" t="s">
        <v>28208</v>
      </c>
      <c r="R5248" s="15" t="s">
        <v>28208</v>
      </c>
    </row>
    <row r="5249" spans="1:18" ht="43" customHeight="1" x14ac:dyDescent="0.15">
      <c r="A5249" s="11" t="s">
        <v>28383</v>
      </c>
      <c r="B5249" s="1" t="s">
        <v>28384</v>
      </c>
      <c r="C5249" s="11" t="s">
        <v>28385</v>
      </c>
      <c r="D5249" s="11" t="s">
        <v>28385</v>
      </c>
      <c r="E5249" s="11" t="s">
        <v>28386</v>
      </c>
      <c r="F5249" s="11" t="s">
        <v>28387</v>
      </c>
      <c r="G5249" s="11" t="s">
        <v>28388</v>
      </c>
      <c r="H5249" s="11" t="s">
        <v>28389</v>
      </c>
      <c r="I5249" s="11" t="str">
        <f>HYPERLINK("http://www.laciconfezioni.it/","www.laciconfezioni.it")</f>
        <v>www.laciconfezioni.it</v>
      </c>
      <c r="J5249" s="12">
        <v>392.18799999999999</v>
      </c>
      <c r="K5249" s="14" t="s">
        <v>28390</v>
      </c>
      <c r="L5249" s="16" t="s">
        <v>28390</v>
      </c>
      <c r="M5249" s="12">
        <v>0.628</v>
      </c>
      <c r="N5249" s="14" t="s">
        <v>28390</v>
      </c>
      <c r="O5249" s="14" t="s">
        <v>28390</v>
      </c>
      <c r="P5249" s="12">
        <v>4</v>
      </c>
      <c r="Q5249" s="14" t="s">
        <v>28390</v>
      </c>
      <c r="R5249" s="14" t="s">
        <v>28390</v>
      </c>
    </row>
    <row r="5250" spans="1:18" ht="17" customHeight="1" x14ac:dyDescent="0.15">
      <c r="A5250" s="8" t="s">
        <v>28391</v>
      </c>
      <c r="B5250" s="9" t="s">
        <v>28392</v>
      </c>
      <c r="C5250" s="8" t="s">
        <v>28393</v>
      </c>
      <c r="D5250" s="8" t="s">
        <v>28393</v>
      </c>
      <c r="E5250" s="8" t="s">
        <v>28394</v>
      </c>
      <c r="F5250" s="8" t="s">
        <v>28395</v>
      </c>
      <c r="G5250" s="8" t="s">
        <v>28396</v>
      </c>
      <c r="H5250" s="8" t="s">
        <v>28397</v>
      </c>
      <c r="I5250" s="8" t="str">
        <f>HYPERLINK("http://lamiabandiera.it/","lamiabandiera.it")</f>
        <v>lamiabandiera.it</v>
      </c>
      <c r="J5250" s="10">
        <v>386.88799999999998</v>
      </c>
      <c r="K5250" s="15" t="s">
        <v>28390</v>
      </c>
      <c r="L5250" s="15" t="s">
        <v>28390</v>
      </c>
      <c r="M5250" s="10">
        <v>-69.694000000000003</v>
      </c>
      <c r="N5250" s="15" t="s">
        <v>28390</v>
      </c>
      <c r="O5250" s="15" t="s">
        <v>28390</v>
      </c>
      <c r="P5250" s="10">
        <v>5</v>
      </c>
      <c r="Q5250" s="15" t="s">
        <v>28390</v>
      </c>
      <c r="R5250" s="15" t="s">
        <v>28390</v>
      </c>
    </row>
    <row r="5251" spans="1:18" ht="17" customHeight="1" x14ac:dyDescent="0.15">
      <c r="A5251" s="11" t="s">
        <v>28398</v>
      </c>
      <c r="B5251" s="1" t="s">
        <v>28399</v>
      </c>
      <c r="C5251" s="11" t="s">
        <v>28400</v>
      </c>
      <c r="D5251" s="11" t="s">
        <v>28400</v>
      </c>
      <c r="E5251" s="11" t="s">
        <v>28401</v>
      </c>
      <c r="F5251" s="11" t="s">
        <v>28402</v>
      </c>
      <c r="G5251" s="11" t="s">
        <v>28403</v>
      </c>
      <c r="H5251" s="11" t="s">
        <v>28404</v>
      </c>
      <c r="I5251" s="11" t="str">
        <f>HYPERLINK("http://kamamoto.it/","kamamoto.it")</f>
        <v>kamamoto.it</v>
      </c>
      <c r="J5251" s="12">
        <v>384.94</v>
      </c>
      <c r="K5251" s="14" t="s">
        <v>28390</v>
      </c>
      <c r="L5251" s="16" t="s">
        <v>28390</v>
      </c>
      <c r="M5251" s="12">
        <v>80.506</v>
      </c>
      <c r="N5251" s="14" t="s">
        <v>28390</v>
      </c>
      <c r="O5251" s="14" t="s">
        <v>28390</v>
      </c>
      <c r="P5251" s="14" t="s">
        <v>28390</v>
      </c>
      <c r="Q5251" s="14" t="s">
        <v>28390</v>
      </c>
      <c r="R5251" s="14" t="s">
        <v>28390</v>
      </c>
    </row>
    <row r="5252" spans="1:18" ht="17" customHeight="1" x14ac:dyDescent="0.15">
      <c r="A5252" s="8" t="s">
        <v>28405</v>
      </c>
      <c r="B5252" s="9" t="s">
        <v>28406</v>
      </c>
      <c r="C5252" s="8" t="s">
        <v>28407</v>
      </c>
      <c r="D5252" s="8" t="s">
        <v>28407</v>
      </c>
      <c r="E5252" s="8" t="s">
        <v>28408</v>
      </c>
      <c r="F5252" s="8" t="s">
        <v>28409</v>
      </c>
      <c r="G5252" s="8" t="s">
        <v>28410</v>
      </c>
      <c r="H5252" s="8" t="s">
        <v>28389</v>
      </c>
      <c r="I5252" s="8" t="str">
        <f>HYPERLINK("http://www.silvanolattanzi.com/","www.silvanolattanzi.com")</f>
        <v>www.silvanolattanzi.com</v>
      </c>
      <c r="J5252" s="10">
        <v>382.88</v>
      </c>
      <c r="K5252" s="15" t="s">
        <v>28390</v>
      </c>
      <c r="L5252" s="15" t="s">
        <v>28390</v>
      </c>
      <c r="M5252" s="10">
        <v>4.2</v>
      </c>
      <c r="N5252" s="15" t="s">
        <v>28390</v>
      </c>
      <c r="O5252" s="15" t="s">
        <v>28390</v>
      </c>
      <c r="P5252" s="10">
        <v>2</v>
      </c>
      <c r="Q5252" s="15" t="s">
        <v>28390</v>
      </c>
      <c r="R5252" s="15" t="s">
        <v>28390</v>
      </c>
    </row>
    <row r="5253" spans="1:18" ht="29.5" customHeight="1" x14ac:dyDescent="0.15">
      <c r="A5253" s="11" t="s">
        <v>28411</v>
      </c>
      <c r="B5253" s="1" t="s">
        <v>28412</v>
      </c>
      <c r="C5253" s="11" t="s">
        <v>28413</v>
      </c>
      <c r="D5253" s="11" t="s">
        <v>28413</v>
      </c>
      <c r="E5253" s="11" t="s">
        <v>28414</v>
      </c>
      <c r="F5253" s="11" t="s">
        <v>28415</v>
      </c>
      <c r="G5253" s="11" t="s">
        <v>28416</v>
      </c>
      <c r="H5253" s="11" t="s">
        <v>28417</v>
      </c>
      <c r="I5253" s="11" t="str">
        <f>HYPERLINK("http://www.frette.it/","www.frette.it")</f>
        <v>www.frette.it</v>
      </c>
      <c r="J5253" s="12">
        <v>382.61900000000003</v>
      </c>
      <c r="K5253" s="14" t="s">
        <v>28390</v>
      </c>
      <c r="L5253" s="16" t="s">
        <v>28390</v>
      </c>
      <c r="M5253" s="12">
        <v>12.368</v>
      </c>
      <c r="N5253" s="14" t="s">
        <v>28390</v>
      </c>
      <c r="O5253" s="14" t="s">
        <v>28390</v>
      </c>
      <c r="P5253" s="12">
        <v>3</v>
      </c>
      <c r="Q5253" s="14" t="s">
        <v>28390</v>
      </c>
      <c r="R5253" s="14" t="s">
        <v>28390</v>
      </c>
    </row>
    <row r="5254" spans="1:18" ht="17" customHeight="1" x14ac:dyDescent="0.15">
      <c r="A5254" s="8" t="s">
        <v>28418</v>
      </c>
      <c r="B5254" s="9" t="s">
        <v>28419</v>
      </c>
      <c r="C5254" s="8" t="s">
        <v>28420</v>
      </c>
      <c r="D5254" s="8" t="s">
        <v>28420</v>
      </c>
      <c r="E5254" s="8" t="s">
        <v>28421</v>
      </c>
      <c r="F5254" s="8" t="s">
        <v>28422</v>
      </c>
      <c r="G5254" s="8" t="s">
        <v>28423</v>
      </c>
      <c r="H5254" s="8" t="s">
        <v>28424</v>
      </c>
      <c r="I5254" s="8" t="str">
        <f>HYPERLINK("http://www.belfur.it/","www.belfur.it")</f>
        <v>www.belfur.it</v>
      </c>
      <c r="J5254" s="10">
        <v>378.27199999999999</v>
      </c>
      <c r="K5254" s="15" t="s">
        <v>28390</v>
      </c>
      <c r="L5254" s="15" t="s">
        <v>28390</v>
      </c>
      <c r="M5254" s="10">
        <v>-21.937000000000001</v>
      </c>
      <c r="N5254" s="15" t="s">
        <v>28390</v>
      </c>
      <c r="O5254" s="15" t="s">
        <v>28390</v>
      </c>
      <c r="P5254" s="10">
        <v>3</v>
      </c>
      <c r="Q5254" s="15" t="s">
        <v>28390</v>
      </c>
      <c r="R5254" s="15" t="s">
        <v>28390</v>
      </c>
    </row>
    <row r="5255" spans="1:18" ht="29.5" customHeight="1" x14ac:dyDescent="0.15">
      <c r="A5255" s="11" t="s">
        <v>28425</v>
      </c>
      <c r="B5255" s="1" t="s">
        <v>28426</v>
      </c>
      <c r="C5255" s="11" t="s">
        <v>28427</v>
      </c>
      <c r="D5255" s="11" t="s">
        <v>28427</v>
      </c>
      <c r="E5255" s="11" t="s">
        <v>28428</v>
      </c>
      <c r="F5255" s="11" t="s">
        <v>28395</v>
      </c>
      <c r="G5255" s="11" t="s">
        <v>28429</v>
      </c>
      <c r="H5255" s="11" t="s">
        <v>28430</v>
      </c>
      <c r="I5255" s="11" t="str">
        <f>HYPERLINK("http://www.4female.it/","www.4female.it")</f>
        <v>www.4female.it</v>
      </c>
      <c r="J5255" s="12">
        <v>377.87799999999999</v>
      </c>
      <c r="K5255" s="14" t="s">
        <v>28390</v>
      </c>
      <c r="L5255" s="16" t="s">
        <v>28390</v>
      </c>
      <c r="M5255" s="12">
        <v>-1.732</v>
      </c>
      <c r="N5255" s="14" t="s">
        <v>28390</v>
      </c>
      <c r="O5255" s="14" t="s">
        <v>28390</v>
      </c>
      <c r="P5255" s="12">
        <v>20</v>
      </c>
      <c r="Q5255" s="14" t="s">
        <v>28390</v>
      </c>
      <c r="R5255" s="14" t="s">
        <v>28390</v>
      </c>
    </row>
    <row r="5256" spans="1:18" ht="29.5" customHeight="1" x14ac:dyDescent="0.15">
      <c r="A5256" s="8" t="s">
        <v>28431</v>
      </c>
      <c r="B5256" s="9" t="s">
        <v>28432</v>
      </c>
      <c r="C5256" s="8" t="s">
        <v>28433</v>
      </c>
      <c r="D5256" s="8" t="s">
        <v>28433</v>
      </c>
      <c r="E5256" s="8" t="s">
        <v>28434</v>
      </c>
      <c r="F5256" s="8" t="s">
        <v>28415</v>
      </c>
      <c r="G5256" s="8" t="s">
        <v>28435</v>
      </c>
      <c r="H5256" s="8" t="s">
        <v>28430</v>
      </c>
      <c r="I5256" s="8" t="str">
        <f>HYPERLINK("http://mach-srl-13403691002.quantofattura.com/","mach-srl-13403691002.quantofattura.com")</f>
        <v>mach-srl-13403691002.quantofattura.com</v>
      </c>
      <c r="J5256" s="10">
        <v>373.54199999999997</v>
      </c>
      <c r="K5256" s="15" t="s">
        <v>28390</v>
      </c>
      <c r="L5256" s="15" t="s">
        <v>28390</v>
      </c>
      <c r="M5256" s="10">
        <v>-4.6639999999999997</v>
      </c>
      <c r="N5256" s="15" t="s">
        <v>28390</v>
      </c>
      <c r="O5256" s="15" t="s">
        <v>28390</v>
      </c>
      <c r="P5256" s="10">
        <v>7</v>
      </c>
      <c r="Q5256" s="15" t="s">
        <v>28390</v>
      </c>
      <c r="R5256" s="15" t="s">
        <v>28390</v>
      </c>
    </row>
    <row r="5257" spans="1:18" ht="29.5" customHeight="1" x14ac:dyDescent="0.15">
      <c r="A5257" s="11" t="s">
        <v>28436</v>
      </c>
      <c r="B5257" s="1" t="s">
        <v>28437</v>
      </c>
      <c r="C5257" s="11" t="s">
        <v>28438</v>
      </c>
      <c r="D5257" s="11" t="s">
        <v>28438</v>
      </c>
      <c r="E5257" s="11" t="s">
        <v>28439</v>
      </c>
      <c r="F5257" s="11" t="s">
        <v>28415</v>
      </c>
      <c r="G5257" s="11" t="s">
        <v>28440</v>
      </c>
      <c r="H5257" s="11" t="s">
        <v>28441</v>
      </c>
      <c r="I5257" s="11" t="str">
        <f>HYPERLINK("http://www.t-shirt4you.it/","www.t-shirt4you.it")</f>
        <v>www.t-shirt4you.it</v>
      </c>
      <c r="J5257" s="12">
        <v>367.73200000000003</v>
      </c>
      <c r="K5257" s="14" t="s">
        <v>28390</v>
      </c>
      <c r="L5257" s="16" t="s">
        <v>28390</v>
      </c>
      <c r="M5257" s="12">
        <v>-113.05500000000001</v>
      </c>
      <c r="N5257" s="14" t="s">
        <v>28390</v>
      </c>
      <c r="O5257" s="14" t="s">
        <v>28390</v>
      </c>
      <c r="P5257" s="12">
        <v>11</v>
      </c>
      <c r="Q5257" s="14" t="s">
        <v>28390</v>
      </c>
      <c r="R5257" s="14" t="s">
        <v>28390</v>
      </c>
    </row>
    <row r="5258" spans="1:18" ht="17" customHeight="1" x14ac:dyDescent="0.15">
      <c r="A5258" s="8" t="s">
        <v>28442</v>
      </c>
      <c r="B5258" s="9" t="s">
        <v>28443</v>
      </c>
      <c r="C5258" s="8" t="s">
        <v>28444</v>
      </c>
      <c r="D5258" s="8" t="s">
        <v>28444</v>
      </c>
      <c r="E5258" s="8" t="s">
        <v>28445</v>
      </c>
      <c r="F5258" s="8" t="s">
        <v>28422</v>
      </c>
      <c r="G5258" s="8" t="s">
        <v>28416</v>
      </c>
      <c r="H5258" s="8" t="s">
        <v>28417</v>
      </c>
      <c r="I5258" s="8" t="str">
        <f>HYPERLINK("http://www.pelletteriaforino.it/","www.pelletteriaforino.it")</f>
        <v>www.pelletteriaforino.it</v>
      </c>
      <c r="J5258" s="10">
        <v>364.803</v>
      </c>
      <c r="K5258" s="15" t="s">
        <v>28390</v>
      </c>
      <c r="L5258" s="15" t="s">
        <v>28390</v>
      </c>
      <c r="M5258" s="10">
        <v>7.26</v>
      </c>
      <c r="N5258" s="15" t="s">
        <v>28390</v>
      </c>
      <c r="O5258" s="15" t="s">
        <v>28390</v>
      </c>
      <c r="P5258" s="10">
        <v>6</v>
      </c>
      <c r="Q5258" s="15" t="s">
        <v>28390</v>
      </c>
      <c r="R5258" s="15" t="s">
        <v>28390</v>
      </c>
    </row>
    <row r="5259" spans="1:18" ht="17" customHeight="1" x14ac:dyDescent="0.15">
      <c r="A5259" s="11" t="s">
        <v>28446</v>
      </c>
      <c r="B5259" s="1" t="s">
        <v>28447</v>
      </c>
      <c r="C5259" s="11" t="s">
        <v>28448</v>
      </c>
      <c r="D5259" s="11" t="s">
        <v>28448</v>
      </c>
      <c r="E5259" s="11" t="s">
        <v>28449</v>
      </c>
      <c r="F5259" s="11" t="s">
        <v>28395</v>
      </c>
      <c r="G5259" s="11" t="s">
        <v>28450</v>
      </c>
      <c r="H5259" s="11" t="s">
        <v>28404</v>
      </c>
      <c r="I5259" s="11" t="str">
        <f>HYPERLINK("http://www.bullish.it/","www.bullish.it")</f>
        <v>www.bullish.it</v>
      </c>
      <c r="J5259" s="12">
        <v>362.65199999999999</v>
      </c>
      <c r="K5259" s="14" t="s">
        <v>28390</v>
      </c>
      <c r="L5259" s="16" t="s">
        <v>28390</v>
      </c>
      <c r="M5259" s="12">
        <v>0.28999999999999998</v>
      </c>
      <c r="N5259" s="14" t="s">
        <v>28390</v>
      </c>
      <c r="O5259" s="14" t="s">
        <v>28390</v>
      </c>
      <c r="P5259" s="12">
        <v>3</v>
      </c>
      <c r="Q5259" s="14" t="s">
        <v>28390</v>
      </c>
      <c r="R5259" s="14" t="s">
        <v>28390</v>
      </c>
    </row>
    <row r="5260" spans="1:18" ht="17" customHeight="1" x14ac:dyDescent="0.15">
      <c r="A5260" s="8" t="s">
        <v>28451</v>
      </c>
      <c r="B5260" s="9" t="s">
        <v>28452</v>
      </c>
      <c r="C5260" s="8" t="s">
        <v>28453</v>
      </c>
      <c r="D5260" s="8" t="s">
        <v>28453</v>
      </c>
      <c r="E5260" s="8" t="s">
        <v>28454</v>
      </c>
      <c r="F5260" s="8" t="s">
        <v>28455</v>
      </c>
      <c r="G5260" s="8" t="s">
        <v>28456</v>
      </c>
      <c r="H5260" s="8" t="s">
        <v>28404</v>
      </c>
      <c r="I5260" s="8" t="str">
        <f>HYPERLINK("http://hicarisport.com/","hicarisport.com")</f>
        <v>hicarisport.com</v>
      </c>
      <c r="J5260" s="10">
        <v>358.20100000000002</v>
      </c>
      <c r="K5260" s="15" t="s">
        <v>28390</v>
      </c>
      <c r="L5260" s="15" t="s">
        <v>28390</v>
      </c>
      <c r="M5260" s="10">
        <v>-2.71</v>
      </c>
      <c r="N5260" s="15" t="s">
        <v>28390</v>
      </c>
      <c r="O5260" s="15" t="s">
        <v>28390</v>
      </c>
      <c r="P5260" s="10">
        <v>6</v>
      </c>
      <c r="Q5260" s="15" t="s">
        <v>28390</v>
      </c>
      <c r="R5260" s="15" t="s">
        <v>28390</v>
      </c>
    </row>
    <row r="5261" spans="1:18" ht="17" customHeight="1" x14ac:dyDescent="0.15">
      <c r="A5261" s="11" t="s">
        <v>28457</v>
      </c>
      <c r="B5261" s="1" t="s">
        <v>28458</v>
      </c>
      <c r="C5261" s="11" t="s">
        <v>28459</v>
      </c>
      <c r="D5261" s="11" t="s">
        <v>28459</v>
      </c>
      <c r="E5261" s="11" t="s">
        <v>28460</v>
      </c>
      <c r="F5261" s="11" t="s">
        <v>28461</v>
      </c>
      <c r="G5261" s="11" t="s">
        <v>28462</v>
      </c>
      <c r="H5261" s="11" t="s">
        <v>28397</v>
      </c>
      <c r="I5261" s="11" t="str">
        <f>HYPERLINK("http://pier23.com/","pier23.com")</f>
        <v>pier23.com</v>
      </c>
      <c r="J5261" s="12">
        <v>352.88400000000001</v>
      </c>
      <c r="K5261" s="12">
        <v>352.88400000000001</v>
      </c>
      <c r="L5261" s="16" t="s">
        <v>28390</v>
      </c>
      <c r="M5261" s="12">
        <v>35.768000000000001</v>
      </c>
      <c r="N5261" s="12">
        <v>35.768000000000001</v>
      </c>
      <c r="O5261" s="14" t="s">
        <v>28390</v>
      </c>
      <c r="P5261" s="14" t="s">
        <v>28390</v>
      </c>
      <c r="Q5261" s="14" t="s">
        <v>28390</v>
      </c>
      <c r="R5261" s="14" t="s">
        <v>28390</v>
      </c>
    </row>
    <row r="5262" spans="1:18" ht="17" customHeight="1" x14ac:dyDescent="0.15">
      <c r="A5262" s="8" t="s">
        <v>28463</v>
      </c>
      <c r="B5262" s="9" t="s">
        <v>28464</v>
      </c>
      <c r="C5262" s="8" t="s">
        <v>28465</v>
      </c>
      <c r="D5262" s="8" t="s">
        <v>28465</v>
      </c>
      <c r="E5262" s="8" t="s">
        <v>28466</v>
      </c>
      <c r="F5262" s="8" t="s">
        <v>28467</v>
      </c>
      <c r="G5262" s="8" t="s">
        <v>28416</v>
      </c>
      <c r="H5262" s="8" t="s">
        <v>28417</v>
      </c>
      <c r="I5262" s="8" t="str">
        <f>HYPERLINK("http://www.sabbiolina.com/","www.sabbiolina.com")</f>
        <v>www.sabbiolina.com</v>
      </c>
      <c r="J5262" s="10">
        <v>351.90699999999998</v>
      </c>
      <c r="K5262" s="15" t="s">
        <v>28390</v>
      </c>
      <c r="L5262" s="15" t="s">
        <v>28390</v>
      </c>
      <c r="M5262" s="10">
        <v>4.7549999999999999</v>
      </c>
      <c r="N5262" s="15" t="s">
        <v>28390</v>
      </c>
      <c r="O5262" s="15" t="s">
        <v>28390</v>
      </c>
      <c r="P5262" s="10">
        <v>2</v>
      </c>
      <c r="Q5262" s="15" t="s">
        <v>28390</v>
      </c>
      <c r="R5262" s="15" t="s">
        <v>28390</v>
      </c>
    </row>
    <row r="5263" spans="1:18" ht="17" customHeight="1" x14ac:dyDescent="0.15">
      <c r="A5263" s="11" t="s">
        <v>28468</v>
      </c>
      <c r="B5263" s="1" t="s">
        <v>28469</v>
      </c>
      <c r="C5263" s="11" t="s">
        <v>28470</v>
      </c>
      <c r="D5263" s="11" t="s">
        <v>28470</v>
      </c>
      <c r="E5263" s="11" t="s">
        <v>28471</v>
      </c>
      <c r="F5263" s="11" t="s">
        <v>28415</v>
      </c>
      <c r="G5263" s="11" t="s">
        <v>28472</v>
      </c>
      <c r="H5263" s="11" t="s">
        <v>28473</v>
      </c>
      <c r="I5263" s="11" t="str">
        <f>HYPERLINK("http://www.moodyfashion.it/","www.moodyfashion.it")</f>
        <v>www.moodyfashion.it</v>
      </c>
      <c r="J5263" s="12">
        <v>350.32299999999998</v>
      </c>
      <c r="K5263" s="14" t="s">
        <v>28390</v>
      </c>
      <c r="L5263" s="16" t="s">
        <v>28390</v>
      </c>
      <c r="M5263" s="12">
        <v>2.5840000000000001</v>
      </c>
      <c r="N5263" s="14" t="s">
        <v>28390</v>
      </c>
      <c r="O5263" s="14" t="s">
        <v>28390</v>
      </c>
      <c r="P5263" s="12">
        <v>0</v>
      </c>
      <c r="Q5263" s="14" t="s">
        <v>28390</v>
      </c>
      <c r="R5263" s="14" t="s">
        <v>28390</v>
      </c>
    </row>
    <row r="5264" spans="1:18" ht="17" customHeight="1" x14ac:dyDescent="0.15">
      <c r="A5264" s="8" t="s">
        <v>28474</v>
      </c>
      <c r="B5264" s="9" t="s">
        <v>28475</v>
      </c>
      <c r="C5264" s="8" t="s">
        <v>28476</v>
      </c>
      <c r="D5264" s="8" t="s">
        <v>28476</v>
      </c>
      <c r="E5264" s="8" t="s">
        <v>28477</v>
      </c>
      <c r="F5264" s="8" t="s">
        <v>28478</v>
      </c>
      <c r="G5264" s="8" t="s">
        <v>28479</v>
      </c>
      <c r="H5264" s="8" t="s">
        <v>28480</v>
      </c>
      <c r="I5264" s="8" t="str">
        <f>HYPERLINK("http://www.maglificiocoster.it/","www.maglificiocoster.it")</f>
        <v>www.maglificiocoster.it</v>
      </c>
      <c r="J5264" s="10">
        <v>345.12</v>
      </c>
      <c r="K5264" s="15" t="s">
        <v>28390</v>
      </c>
      <c r="L5264" s="15" t="s">
        <v>28390</v>
      </c>
      <c r="M5264" s="10">
        <v>19.841999999999999</v>
      </c>
      <c r="N5264" s="15" t="s">
        <v>28390</v>
      </c>
      <c r="O5264" s="15" t="s">
        <v>28390</v>
      </c>
      <c r="P5264" s="10">
        <v>2</v>
      </c>
      <c r="Q5264" s="15" t="s">
        <v>28390</v>
      </c>
      <c r="R5264" s="15" t="s">
        <v>28390</v>
      </c>
    </row>
    <row r="5265" spans="1:18" ht="29.5" customHeight="1" x14ac:dyDescent="0.15">
      <c r="A5265" s="11" t="s">
        <v>28481</v>
      </c>
      <c r="B5265" s="1" t="s">
        <v>28482</v>
      </c>
      <c r="C5265" s="11" t="s">
        <v>28483</v>
      </c>
      <c r="D5265" s="11" t="s">
        <v>28483</v>
      </c>
      <c r="E5265" s="11" t="s">
        <v>28484</v>
      </c>
      <c r="F5265" s="11" t="s">
        <v>28409</v>
      </c>
      <c r="G5265" s="11" t="s">
        <v>28485</v>
      </c>
      <c r="H5265" s="11" t="s">
        <v>28389</v>
      </c>
      <c r="I5265" s="11" t="str">
        <f>HYPERLINK("http://biemme-srl-01901250439.quantofattura.com/","biemme-srl-01901250439.quantofattura.com")</f>
        <v>biemme-srl-01901250439.quantofattura.com</v>
      </c>
      <c r="J5265" s="12">
        <v>342.26600000000002</v>
      </c>
      <c r="K5265" s="14" t="s">
        <v>28390</v>
      </c>
      <c r="L5265" s="16" t="s">
        <v>28390</v>
      </c>
      <c r="M5265" s="12">
        <v>60.649000000000001</v>
      </c>
      <c r="N5265" s="14" t="s">
        <v>28390</v>
      </c>
      <c r="O5265" s="14" t="s">
        <v>28390</v>
      </c>
      <c r="P5265" s="12">
        <v>9</v>
      </c>
      <c r="Q5265" s="14" t="s">
        <v>28390</v>
      </c>
      <c r="R5265" s="14" t="s">
        <v>28390</v>
      </c>
    </row>
    <row r="5266" spans="1:18" ht="17" customHeight="1" x14ac:dyDescent="0.15">
      <c r="A5266" s="8" t="s">
        <v>28486</v>
      </c>
      <c r="B5266" s="9" t="s">
        <v>28487</v>
      </c>
      <c r="C5266" s="8" t="s">
        <v>28488</v>
      </c>
      <c r="D5266" s="8" t="s">
        <v>28488</v>
      </c>
      <c r="E5266" s="8" t="s">
        <v>28489</v>
      </c>
      <c r="F5266" s="8" t="s">
        <v>28409</v>
      </c>
      <c r="G5266" s="8" t="s">
        <v>28490</v>
      </c>
      <c r="H5266" s="8" t="s">
        <v>28491</v>
      </c>
      <c r="I5266" s="8" t="str">
        <f>HYPERLINK("http://www.lineadelfino.it/","www.lineadelfino.it")</f>
        <v>www.lineadelfino.it</v>
      </c>
      <c r="J5266" s="10">
        <v>341.56599999999997</v>
      </c>
      <c r="K5266" s="15" t="s">
        <v>28390</v>
      </c>
      <c r="L5266" s="15" t="s">
        <v>28390</v>
      </c>
      <c r="M5266" s="10">
        <v>1.131</v>
      </c>
      <c r="N5266" s="15" t="s">
        <v>28390</v>
      </c>
      <c r="O5266" s="15" t="s">
        <v>28390</v>
      </c>
      <c r="P5266" s="10">
        <v>1</v>
      </c>
      <c r="Q5266" s="15" t="s">
        <v>28390</v>
      </c>
      <c r="R5266" s="15" t="s">
        <v>28390</v>
      </c>
    </row>
    <row r="5267" spans="1:18" ht="29.5" customHeight="1" x14ac:dyDescent="0.15">
      <c r="A5267" s="11" t="s">
        <v>28492</v>
      </c>
      <c r="B5267" s="1" t="s">
        <v>28493</v>
      </c>
      <c r="C5267" s="11" t="s">
        <v>28494</v>
      </c>
      <c r="D5267" s="11" t="s">
        <v>28494</v>
      </c>
      <c r="E5267" s="11" t="s">
        <v>28495</v>
      </c>
      <c r="F5267" s="11" t="s">
        <v>28496</v>
      </c>
      <c r="G5267" s="11" t="s">
        <v>28497</v>
      </c>
      <c r="H5267" s="11" t="s">
        <v>28424</v>
      </c>
      <c r="I5267" s="11" t="str">
        <f>HYPERLINK("http://www.fabriziodelcarlo.it/","http://www.fabriziodelcarlo.it")</f>
        <v>http://www.fabriziodelcarlo.it</v>
      </c>
      <c r="J5267" s="12">
        <v>338.69600000000003</v>
      </c>
      <c r="K5267" s="14" t="s">
        <v>28390</v>
      </c>
      <c r="L5267" s="16" t="s">
        <v>28390</v>
      </c>
      <c r="M5267" s="12">
        <v>1.839</v>
      </c>
      <c r="N5267" s="14" t="s">
        <v>28390</v>
      </c>
      <c r="O5267" s="14" t="s">
        <v>28390</v>
      </c>
      <c r="P5267" s="12">
        <v>11</v>
      </c>
      <c r="Q5267" s="14" t="s">
        <v>28390</v>
      </c>
      <c r="R5267" s="14" t="s">
        <v>28390</v>
      </c>
    </row>
    <row r="5268" spans="1:18" ht="17" customHeight="1" x14ac:dyDescent="0.15">
      <c r="A5268" s="8" t="s">
        <v>28498</v>
      </c>
      <c r="B5268" s="9" t="s">
        <v>28499</v>
      </c>
      <c r="C5268" s="8" t="s">
        <v>28500</v>
      </c>
      <c r="D5268" s="8" t="s">
        <v>28500</v>
      </c>
      <c r="E5268" s="8" t="s">
        <v>28501</v>
      </c>
      <c r="F5268" s="8" t="s">
        <v>28409</v>
      </c>
      <c r="G5268" s="8" t="s">
        <v>28497</v>
      </c>
      <c r="H5268" s="8" t="s">
        <v>28424</v>
      </c>
      <c r="I5268" s="8" t="str">
        <f>HYPERLINK("http://www.caprisandali.com/","www.caprisandali.com")</f>
        <v>www.caprisandali.com</v>
      </c>
      <c r="J5268" s="10">
        <v>335.23099999999999</v>
      </c>
      <c r="K5268" s="10">
        <v>335.23099999999999</v>
      </c>
      <c r="L5268" s="15" t="s">
        <v>28390</v>
      </c>
      <c r="M5268" s="10">
        <v>61.61</v>
      </c>
      <c r="N5268" s="10">
        <v>61.61</v>
      </c>
      <c r="O5268" s="15" t="s">
        <v>28390</v>
      </c>
      <c r="P5268" s="10">
        <v>1</v>
      </c>
      <c r="Q5268" s="10">
        <v>1</v>
      </c>
      <c r="R5268" s="15" t="s">
        <v>28390</v>
      </c>
    </row>
    <row r="5269" spans="1:18" ht="17" customHeight="1" x14ac:dyDescent="0.15">
      <c r="A5269" s="11" t="s">
        <v>28502</v>
      </c>
      <c r="B5269" s="1" t="s">
        <v>28503</v>
      </c>
      <c r="C5269" s="11" t="s">
        <v>28504</v>
      </c>
      <c r="D5269" s="11" t="s">
        <v>28504</v>
      </c>
      <c r="E5269" s="11" t="s">
        <v>28505</v>
      </c>
      <c r="F5269" s="11" t="s">
        <v>28395</v>
      </c>
      <c r="G5269" s="11" t="s">
        <v>28506</v>
      </c>
      <c r="H5269" s="11" t="s">
        <v>28507</v>
      </c>
      <c r="I5269" s="11" t="str">
        <f>HYPERLINK("http://www.rainbow-apparel.it/","www.rainbow-apparel.it")</f>
        <v>www.rainbow-apparel.it</v>
      </c>
      <c r="J5269" s="12">
        <v>318.89499999999998</v>
      </c>
      <c r="K5269" s="14" t="s">
        <v>28390</v>
      </c>
      <c r="L5269" s="16" t="s">
        <v>28390</v>
      </c>
      <c r="M5269" s="12">
        <v>-10.345000000000001</v>
      </c>
      <c r="N5269" s="14" t="s">
        <v>28390</v>
      </c>
      <c r="O5269" s="14" t="s">
        <v>28390</v>
      </c>
      <c r="P5269" s="12">
        <v>2</v>
      </c>
      <c r="Q5269" s="14" t="s">
        <v>28390</v>
      </c>
      <c r="R5269" s="14" t="s">
        <v>28390</v>
      </c>
    </row>
    <row r="5270" spans="1:18" ht="17" customHeight="1" x14ac:dyDescent="0.15">
      <c r="A5270" s="8" t="s">
        <v>28508</v>
      </c>
      <c r="B5270" s="9" t="s">
        <v>28509</v>
      </c>
      <c r="C5270" s="8" t="s">
        <v>28510</v>
      </c>
      <c r="D5270" s="8" t="s">
        <v>28510</v>
      </c>
      <c r="E5270" s="8" t="s">
        <v>28511</v>
      </c>
      <c r="F5270" s="8" t="s">
        <v>28402</v>
      </c>
      <c r="G5270" s="8" t="s">
        <v>28410</v>
      </c>
      <c r="H5270" s="8" t="s">
        <v>28389</v>
      </c>
      <c r="I5270" s="8" t="str">
        <f>HYPERLINK("http://www.clonessrl.com/","www.clonessrl.com")</f>
        <v>www.clonessrl.com</v>
      </c>
      <c r="J5270" s="10">
        <v>318.49799999999999</v>
      </c>
      <c r="K5270" s="10">
        <v>318.49799999999999</v>
      </c>
      <c r="L5270" s="15" t="s">
        <v>28390</v>
      </c>
      <c r="M5270" s="10">
        <v>2.4489999999999998</v>
      </c>
      <c r="N5270" s="10">
        <v>2.4489999999999998</v>
      </c>
      <c r="O5270" s="15" t="s">
        <v>28390</v>
      </c>
      <c r="P5270" s="10">
        <v>2</v>
      </c>
      <c r="Q5270" s="10">
        <v>2</v>
      </c>
      <c r="R5270" s="15" t="s">
        <v>28390</v>
      </c>
    </row>
    <row r="5271" spans="1:18" ht="17" customHeight="1" x14ac:dyDescent="0.15">
      <c r="A5271" s="11" t="s">
        <v>28512</v>
      </c>
      <c r="B5271" s="1" t="s">
        <v>28513</v>
      </c>
      <c r="C5271" s="11" t="s">
        <v>28514</v>
      </c>
      <c r="D5271" s="11" t="s">
        <v>28514</v>
      </c>
      <c r="E5271" s="11" t="s">
        <v>28515</v>
      </c>
      <c r="F5271" s="11" t="s">
        <v>28422</v>
      </c>
      <c r="G5271" s="11" t="s">
        <v>28423</v>
      </c>
      <c r="H5271" s="11" t="s">
        <v>28424</v>
      </c>
      <c r="I5271" s="11" t="str">
        <f>HYPERLINK("http://studiospherasrl.it/","studiospherasrl.it")</f>
        <v>studiospherasrl.it</v>
      </c>
      <c r="J5271" s="12">
        <v>315.99200000000002</v>
      </c>
      <c r="K5271" s="14" t="s">
        <v>28390</v>
      </c>
      <c r="L5271" s="16" t="s">
        <v>28390</v>
      </c>
      <c r="M5271" s="12">
        <v>1.6659999999999999</v>
      </c>
      <c r="N5271" s="14" t="s">
        <v>28390</v>
      </c>
      <c r="O5271" s="14" t="s">
        <v>28390</v>
      </c>
      <c r="P5271" s="12">
        <v>13</v>
      </c>
      <c r="Q5271" s="14" t="s">
        <v>28390</v>
      </c>
      <c r="R5271" s="14" t="s">
        <v>28390</v>
      </c>
    </row>
    <row r="5272" spans="1:18" ht="29.5" customHeight="1" x14ac:dyDescent="0.15">
      <c r="A5272" s="8" t="s">
        <v>28516</v>
      </c>
      <c r="B5272" s="9" t="s">
        <v>28517</v>
      </c>
      <c r="C5272" s="8" t="s">
        <v>28518</v>
      </c>
      <c r="D5272" s="8" t="s">
        <v>28518</v>
      </c>
      <c r="E5272" s="8" t="s">
        <v>28519</v>
      </c>
      <c r="F5272" s="8" t="s">
        <v>28415</v>
      </c>
      <c r="G5272" s="8" t="s">
        <v>28520</v>
      </c>
      <c r="H5272" s="8" t="s">
        <v>28521</v>
      </c>
      <c r="I5272" s="8" t="str">
        <f>HYPERLINK("http://confezione-elen-srl-01189580861.quantofattura.com/","confezione-elen-srl-01189580861.quantofattura.com")</f>
        <v>confezione-elen-srl-01189580861.quantofattura.com</v>
      </c>
      <c r="J5272" s="10">
        <v>312.2</v>
      </c>
      <c r="K5272" s="10">
        <v>312.2</v>
      </c>
      <c r="L5272" s="15" t="s">
        <v>28390</v>
      </c>
      <c r="M5272" s="10">
        <v>-14.131</v>
      </c>
      <c r="N5272" s="10">
        <v>-14.131</v>
      </c>
      <c r="O5272" s="15" t="s">
        <v>28390</v>
      </c>
      <c r="P5272" s="15" t="s">
        <v>28390</v>
      </c>
      <c r="Q5272" s="15" t="s">
        <v>28390</v>
      </c>
      <c r="R5272" s="15" t="s">
        <v>28390</v>
      </c>
    </row>
    <row r="5273" spans="1:18" ht="17" customHeight="1" x14ac:dyDescent="0.15">
      <c r="A5273" s="11" t="s">
        <v>28522</v>
      </c>
      <c r="B5273" s="1" t="s">
        <v>28523</v>
      </c>
      <c r="C5273" s="11" t="s">
        <v>28524</v>
      </c>
      <c r="D5273" s="11" t="s">
        <v>28524</v>
      </c>
      <c r="E5273" s="11" t="s">
        <v>28525</v>
      </c>
      <c r="F5273" s="11" t="s">
        <v>28395</v>
      </c>
      <c r="G5273" s="11" t="s">
        <v>28403</v>
      </c>
      <c r="H5273" s="11" t="s">
        <v>28404</v>
      </c>
      <c r="I5273" s="11" t="str">
        <f>HYPERLINK("http://www.morado.it/","www.morado.it")</f>
        <v>www.morado.it</v>
      </c>
      <c r="J5273" s="12">
        <v>305.93599999999998</v>
      </c>
      <c r="K5273" s="14" t="s">
        <v>28390</v>
      </c>
      <c r="L5273" s="16" t="s">
        <v>28390</v>
      </c>
      <c r="M5273" s="12">
        <v>4.3890000000000002</v>
      </c>
      <c r="N5273" s="14" t="s">
        <v>28390</v>
      </c>
      <c r="O5273" s="14" t="s">
        <v>28390</v>
      </c>
      <c r="P5273" s="12">
        <v>2</v>
      </c>
      <c r="Q5273" s="14" t="s">
        <v>28390</v>
      </c>
      <c r="R5273" s="14" t="s">
        <v>28390</v>
      </c>
    </row>
    <row r="5274" spans="1:18" ht="17" customHeight="1" x14ac:dyDescent="0.15">
      <c r="A5274" s="8" t="s">
        <v>28526</v>
      </c>
      <c r="B5274" s="9" t="s">
        <v>28527</v>
      </c>
      <c r="C5274" s="8" t="s">
        <v>28528</v>
      </c>
      <c r="D5274" s="8" t="s">
        <v>28528</v>
      </c>
      <c r="E5274" s="8" t="s">
        <v>28529</v>
      </c>
      <c r="F5274" s="8" t="s">
        <v>28467</v>
      </c>
      <c r="G5274" s="8" t="s">
        <v>28435</v>
      </c>
      <c r="H5274" s="8" t="s">
        <v>28430</v>
      </c>
      <c r="I5274" s="8" t="str">
        <f>HYPERLINK("http://www.beauty-express.it/","www.beauty-express.it")</f>
        <v>www.beauty-express.it</v>
      </c>
      <c r="J5274" s="10">
        <v>304.92399999999998</v>
      </c>
      <c r="K5274" s="15" t="s">
        <v>28390</v>
      </c>
      <c r="L5274" s="15" t="s">
        <v>28390</v>
      </c>
      <c r="M5274" s="10">
        <v>10.226000000000001</v>
      </c>
      <c r="N5274" s="15" t="s">
        <v>28390</v>
      </c>
      <c r="O5274" s="15" t="s">
        <v>28390</v>
      </c>
      <c r="P5274" s="10">
        <v>0</v>
      </c>
      <c r="Q5274" s="15" t="s">
        <v>28390</v>
      </c>
      <c r="R5274" s="15" t="s">
        <v>28390</v>
      </c>
    </row>
    <row r="5275" spans="1:18" ht="17" customHeight="1" x14ac:dyDescent="0.15">
      <c r="A5275" s="11" t="s">
        <v>28530</v>
      </c>
      <c r="B5275" s="1" t="s">
        <v>28531</v>
      </c>
      <c r="C5275" s="11" t="s">
        <v>28532</v>
      </c>
      <c r="D5275" s="11" t="s">
        <v>28532</v>
      </c>
      <c r="E5275" s="11" t="s">
        <v>28533</v>
      </c>
      <c r="F5275" s="11" t="s">
        <v>28534</v>
      </c>
      <c r="G5275" s="11" t="s">
        <v>28462</v>
      </c>
      <c r="H5275" s="11" t="s">
        <v>28397</v>
      </c>
      <c r="I5275" s="11" t="str">
        <f>HYPERLINK("http://www.sirrondos.com/","www.sirrondos.com")</f>
        <v>www.sirrondos.com</v>
      </c>
      <c r="J5275" s="12">
        <v>297.53899999999999</v>
      </c>
      <c r="K5275" s="14" t="s">
        <v>28390</v>
      </c>
      <c r="L5275" s="16" t="s">
        <v>28390</v>
      </c>
      <c r="M5275" s="12">
        <v>-192.25299999999999</v>
      </c>
      <c r="N5275" s="14" t="s">
        <v>28390</v>
      </c>
      <c r="O5275" s="14" t="s">
        <v>28390</v>
      </c>
      <c r="P5275" s="12">
        <v>0</v>
      </c>
      <c r="Q5275" s="14" t="s">
        <v>28390</v>
      </c>
      <c r="R5275" s="14" t="s">
        <v>28390</v>
      </c>
    </row>
    <row r="5276" spans="1:18" ht="17" customHeight="1" x14ac:dyDescent="0.15">
      <c r="A5276" s="8" t="s">
        <v>28535</v>
      </c>
      <c r="B5276" s="9" t="s">
        <v>28536</v>
      </c>
      <c r="C5276" s="8" t="s">
        <v>28537</v>
      </c>
      <c r="D5276" s="8" t="s">
        <v>28537</v>
      </c>
      <c r="E5276" s="8" t="s">
        <v>28538</v>
      </c>
      <c r="F5276" s="8" t="s">
        <v>28409</v>
      </c>
      <c r="G5276" s="8" t="s">
        <v>28539</v>
      </c>
      <c r="H5276" s="8" t="s">
        <v>28480</v>
      </c>
      <c r="I5276" s="8" t="str">
        <f>HYPERLINK("http://www.spgsrl2017.it/","www.spgsrl2017.it")</f>
        <v>www.spgsrl2017.it</v>
      </c>
      <c r="J5276" s="10">
        <v>294.536</v>
      </c>
      <c r="K5276" s="15" t="s">
        <v>28390</v>
      </c>
      <c r="L5276" s="15" t="s">
        <v>28390</v>
      </c>
      <c r="M5276" s="10">
        <v>22.137</v>
      </c>
      <c r="N5276" s="15" t="s">
        <v>28390</v>
      </c>
      <c r="O5276" s="15" t="s">
        <v>28390</v>
      </c>
      <c r="P5276" s="10">
        <v>0</v>
      </c>
      <c r="Q5276" s="15" t="s">
        <v>28390</v>
      </c>
      <c r="R5276" s="15" t="s">
        <v>28390</v>
      </c>
    </row>
    <row r="5277" spans="1:18" ht="29.5" customHeight="1" x14ac:dyDescent="0.15">
      <c r="A5277" s="11" t="s">
        <v>28540</v>
      </c>
      <c r="B5277" s="1" t="s">
        <v>28541</v>
      </c>
      <c r="C5277" s="11" t="s">
        <v>28542</v>
      </c>
      <c r="D5277" s="11" t="s">
        <v>28542</v>
      </c>
      <c r="E5277" s="11" t="s">
        <v>28543</v>
      </c>
      <c r="F5277" s="11" t="s">
        <v>28544</v>
      </c>
      <c r="G5277" s="11" t="s">
        <v>28545</v>
      </c>
      <c r="H5277" s="11" t="s">
        <v>28417</v>
      </c>
      <c r="I5277" s="11" t="str">
        <f>HYPERLINK("http://www.maffeiconfezioni.it/","www.maffeiconfezioni.it")</f>
        <v>www.maffeiconfezioni.it</v>
      </c>
      <c r="J5277" s="12">
        <v>289.709</v>
      </c>
      <c r="K5277" s="14" t="s">
        <v>28390</v>
      </c>
      <c r="L5277" s="16" t="s">
        <v>28390</v>
      </c>
      <c r="M5277" s="12">
        <v>0.89800000000000002</v>
      </c>
      <c r="N5277" s="14" t="s">
        <v>28390</v>
      </c>
      <c r="O5277" s="14" t="s">
        <v>28390</v>
      </c>
      <c r="P5277" s="12">
        <v>12</v>
      </c>
      <c r="Q5277" s="14" t="s">
        <v>28390</v>
      </c>
      <c r="R5277" s="14" t="s">
        <v>28390</v>
      </c>
    </row>
    <row r="5278" spans="1:18" ht="29.5" customHeight="1" x14ac:dyDescent="0.15">
      <c r="A5278" s="8" t="s">
        <v>28546</v>
      </c>
      <c r="B5278" s="9" t="s">
        <v>28547</v>
      </c>
      <c r="C5278" s="8" t="s">
        <v>28548</v>
      </c>
      <c r="D5278" s="8" t="s">
        <v>28548</v>
      </c>
      <c r="E5278" s="8" t="s">
        <v>28549</v>
      </c>
      <c r="F5278" s="8" t="s">
        <v>28395</v>
      </c>
      <c r="G5278" s="8" t="s">
        <v>28550</v>
      </c>
      <c r="H5278" s="8" t="s">
        <v>28507</v>
      </c>
      <c r="I5278" s="8" t="str">
        <f>HYPERLINK("http://www.modaglamouritalia.com/","www.modaglamouritalia.com")</f>
        <v>www.modaglamouritalia.com</v>
      </c>
      <c r="J5278" s="10">
        <v>288.358</v>
      </c>
      <c r="K5278" s="10">
        <v>288.358</v>
      </c>
      <c r="L5278" s="15" t="s">
        <v>28390</v>
      </c>
      <c r="M5278" s="10">
        <v>4.21</v>
      </c>
      <c r="N5278" s="10">
        <v>4.21</v>
      </c>
      <c r="O5278" s="15" t="s">
        <v>28390</v>
      </c>
      <c r="P5278" s="10">
        <v>1</v>
      </c>
      <c r="Q5278" s="10">
        <v>1</v>
      </c>
      <c r="R5278" s="15" t="s">
        <v>28390</v>
      </c>
    </row>
    <row r="5279" spans="1:18" ht="17" customHeight="1" x14ac:dyDescent="0.15">
      <c r="A5279" s="11" t="s">
        <v>28551</v>
      </c>
      <c r="B5279" s="1" t="s">
        <v>28552</v>
      </c>
      <c r="C5279" s="11" t="s">
        <v>28553</v>
      </c>
      <c r="D5279" s="11" t="s">
        <v>28553</v>
      </c>
      <c r="E5279" s="11" t="s">
        <v>28554</v>
      </c>
      <c r="F5279" s="11" t="s">
        <v>28395</v>
      </c>
      <c r="G5279" s="11" t="s">
        <v>28555</v>
      </c>
      <c r="H5279" s="11" t="s">
        <v>28441</v>
      </c>
      <c r="I5279" s="11" t="str">
        <f>HYPERLINK("http://www.fashionbyitaly.it/","www.fashionbyitaly.it")</f>
        <v>www.fashionbyitaly.it</v>
      </c>
      <c r="J5279" s="12">
        <v>288.166</v>
      </c>
      <c r="K5279" s="14" t="s">
        <v>28390</v>
      </c>
      <c r="L5279" s="16" t="s">
        <v>28390</v>
      </c>
      <c r="M5279" s="12">
        <v>-4.4420000000000002</v>
      </c>
      <c r="N5279" s="14" t="s">
        <v>28390</v>
      </c>
      <c r="O5279" s="14" t="s">
        <v>28390</v>
      </c>
      <c r="P5279" s="12">
        <v>4</v>
      </c>
      <c r="Q5279" s="14" t="s">
        <v>28390</v>
      </c>
      <c r="R5279" s="14" t="s">
        <v>28390</v>
      </c>
    </row>
    <row r="5280" spans="1:18" ht="17" customHeight="1" x14ac:dyDescent="0.15">
      <c r="A5280" s="8" t="s">
        <v>28556</v>
      </c>
      <c r="B5280" s="9" t="s">
        <v>28557</v>
      </c>
      <c r="C5280" s="8" t="s">
        <v>28558</v>
      </c>
      <c r="D5280" s="8" t="s">
        <v>28558</v>
      </c>
      <c r="E5280" s="8" t="s">
        <v>28559</v>
      </c>
      <c r="F5280" s="8" t="s">
        <v>28409</v>
      </c>
      <c r="G5280" s="8" t="s">
        <v>28410</v>
      </c>
      <c r="H5280" s="8" t="s">
        <v>28389</v>
      </c>
      <c r="I5280" s="8" t="str">
        <f>HYPERLINK("http://shop.bhshoes.it/","shop.bhshoes.it")</f>
        <v>shop.bhshoes.it</v>
      </c>
      <c r="J5280" s="10">
        <v>273.113</v>
      </c>
      <c r="K5280" s="15" t="s">
        <v>28390</v>
      </c>
      <c r="L5280" s="15" t="s">
        <v>28390</v>
      </c>
      <c r="M5280" s="10">
        <v>-141.07599999999999</v>
      </c>
      <c r="N5280" s="15" t="s">
        <v>28390</v>
      </c>
      <c r="O5280" s="15" t="s">
        <v>28390</v>
      </c>
      <c r="P5280" s="10">
        <v>6</v>
      </c>
      <c r="Q5280" s="15" t="s">
        <v>28390</v>
      </c>
      <c r="R5280" s="15" t="s">
        <v>28390</v>
      </c>
    </row>
    <row r="5281" spans="1:18" ht="43" customHeight="1" x14ac:dyDescent="0.15">
      <c r="A5281" s="11" t="s">
        <v>28560</v>
      </c>
      <c r="B5281" s="1" t="s">
        <v>28561</v>
      </c>
      <c r="C5281" s="11" t="s">
        <v>28562</v>
      </c>
      <c r="D5281" s="11" t="s">
        <v>28562</v>
      </c>
      <c r="E5281" s="11" t="s">
        <v>28563</v>
      </c>
      <c r="F5281" s="11" t="s">
        <v>28564</v>
      </c>
      <c r="G5281" s="11" t="s">
        <v>28565</v>
      </c>
      <c r="H5281" s="11" t="s">
        <v>28566</v>
      </c>
      <c r="I5281" s="11" t="str">
        <f>HYPERLINK("http://www.detommaso.it/","http://www.detommaso.it")</f>
        <v>http://www.detommaso.it</v>
      </c>
      <c r="J5281" s="12">
        <v>270.25</v>
      </c>
      <c r="K5281" s="14" t="s">
        <v>28567</v>
      </c>
      <c r="L5281" s="16" t="s">
        <v>28567</v>
      </c>
      <c r="M5281" s="12">
        <v>83.742000000000004</v>
      </c>
      <c r="N5281" s="14" t="s">
        <v>28567</v>
      </c>
      <c r="O5281" s="14" t="s">
        <v>28567</v>
      </c>
      <c r="P5281" s="12">
        <v>0</v>
      </c>
      <c r="Q5281" s="14" t="s">
        <v>28567</v>
      </c>
      <c r="R5281" s="14" t="s">
        <v>28567</v>
      </c>
    </row>
    <row r="5282" spans="1:18" ht="17" customHeight="1" x14ac:dyDescent="0.15">
      <c r="A5282" s="8" t="s">
        <v>28568</v>
      </c>
      <c r="B5282" s="9" t="s">
        <v>28569</v>
      </c>
      <c r="C5282" s="8" t="s">
        <v>28570</v>
      </c>
      <c r="D5282" s="8" t="s">
        <v>28570</v>
      </c>
      <c r="E5282" s="8" t="s">
        <v>28571</v>
      </c>
      <c r="F5282" s="8" t="s">
        <v>28572</v>
      </c>
      <c r="G5282" s="8" t="s">
        <v>28573</v>
      </c>
      <c r="H5282" s="8" t="s">
        <v>28574</v>
      </c>
      <c r="I5282" s="8" t="str">
        <f>HYPERLINK("http://zamponi.moda/","zamponi.moda")</f>
        <v>zamponi.moda</v>
      </c>
      <c r="J5282" s="10">
        <v>267.21199999999999</v>
      </c>
      <c r="K5282" s="15" t="s">
        <v>28567</v>
      </c>
      <c r="L5282" s="15" t="s">
        <v>28567</v>
      </c>
      <c r="M5282" s="10">
        <v>-15.927</v>
      </c>
      <c r="N5282" s="15" t="s">
        <v>28567</v>
      </c>
      <c r="O5282" s="15" t="s">
        <v>28567</v>
      </c>
      <c r="P5282" s="10">
        <v>7</v>
      </c>
      <c r="Q5282" s="15" t="s">
        <v>28567</v>
      </c>
      <c r="R5282" s="15" t="s">
        <v>28567</v>
      </c>
    </row>
    <row r="5283" spans="1:18" ht="43" customHeight="1" x14ac:dyDescent="0.15">
      <c r="A5283" s="11" t="s">
        <v>28575</v>
      </c>
      <c r="B5283" s="1" t="s">
        <v>28576</v>
      </c>
      <c r="C5283" s="11" t="s">
        <v>28577</v>
      </c>
      <c r="D5283" s="11" t="s">
        <v>28577</v>
      </c>
      <c r="E5283" s="11" t="s">
        <v>28578</v>
      </c>
      <c r="F5283" s="11" t="s">
        <v>28579</v>
      </c>
      <c r="G5283" s="11" t="s">
        <v>28580</v>
      </c>
      <c r="H5283" s="11" t="s">
        <v>28581</v>
      </c>
      <c r="I5283" s="11" t="str">
        <f>HYPERLINK("http://www.jrwmfashion.com/","www.jrwmfashion.com")</f>
        <v>www.jrwmfashion.com</v>
      </c>
      <c r="J5283" s="12">
        <v>263.70299999999997</v>
      </c>
      <c r="K5283" s="12">
        <v>263.70299999999997</v>
      </c>
      <c r="L5283" s="16" t="s">
        <v>28567</v>
      </c>
      <c r="M5283" s="12">
        <v>25.276</v>
      </c>
      <c r="N5283" s="12">
        <v>25.276</v>
      </c>
      <c r="O5283" s="14" t="s">
        <v>28567</v>
      </c>
      <c r="P5283" s="12">
        <v>0</v>
      </c>
      <c r="Q5283" s="12">
        <v>0</v>
      </c>
      <c r="R5283" s="14" t="s">
        <v>28567</v>
      </c>
    </row>
    <row r="5284" spans="1:18" ht="17" customHeight="1" x14ac:dyDescent="0.15">
      <c r="A5284" s="8" t="s">
        <v>28582</v>
      </c>
      <c r="B5284" s="9" t="s">
        <v>28583</v>
      </c>
      <c r="C5284" s="8" t="s">
        <v>28584</v>
      </c>
      <c r="D5284" s="8" t="s">
        <v>28584</v>
      </c>
      <c r="E5284" s="8" t="s">
        <v>28585</v>
      </c>
      <c r="F5284" s="8" t="s">
        <v>28586</v>
      </c>
      <c r="G5284" s="8" t="s">
        <v>28587</v>
      </c>
      <c r="H5284" s="8" t="s">
        <v>28588</v>
      </c>
      <c r="I5284" s="8" t="str">
        <f>HYPERLINK("http://www.armatrading.it/","www.armatrading.it")</f>
        <v>www.armatrading.it</v>
      </c>
      <c r="J5284" s="10">
        <v>261.88</v>
      </c>
      <c r="K5284" s="15" t="s">
        <v>28567</v>
      </c>
      <c r="L5284" s="15" t="s">
        <v>28567</v>
      </c>
      <c r="M5284" s="10">
        <v>-31.135000000000002</v>
      </c>
      <c r="N5284" s="15" t="s">
        <v>28567</v>
      </c>
      <c r="O5284" s="15" t="s">
        <v>28567</v>
      </c>
      <c r="P5284" s="10">
        <v>0</v>
      </c>
      <c r="Q5284" s="15" t="s">
        <v>28567</v>
      </c>
      <c r="R5284" s="15" t="s">
        <v>28567</v>
      </c>
    </row>
    <row r="5285" spans="1:18" ht="17" customHeight="1" x14ac:dyDescent="0.15">
      <c r="A5285" s="11" t="s">
        <v>28589</v>
      </c>
      <c r="B5285" s="1" t="s">
        <v>28590</v>
      </c>
      <c r="C5285" s="11" t="s">
        <v>28591</v>
      </c>
      <c r="D5285" s="11" t="s">
        <v>28591</v>
      </c>
      <c r="E5285" s="11" t="s">
        <v>28592</v>
      </c>
      <c r="F5285" s="11" t="s">
        <v>28593</v>
      </c>
      <c r="G5285" s="11" t="s">
        <v>28594</v>
      </c>
      <c r="H5285" s="11" t="s">
        <v>28595</v>
      </c>
      <c r="I5285" s="11" t="str">
        <f>HYPERLINK("http://www.alfrashoes.com/","www.alfrashoes.com")</f>
        <v>www.alfrashoes.com</v>
      </c>
      <c r="J5285" s="12">
        <v>261.548</v>
      </c>
      <c r="K5285" s="14" t="s">
        <v>28567</v>
      </c>
      <c r="L5285" s="16" t="s">
        <v>28567</v>
      </c>
      <c r="M5285" s="12">
        <v>23.547000000000001</v>
      </c>
      <c r="N5285" s="14" t="s">
        <v>28567</v>
      </c>
      <c r="O5285" s="14" t="s">
        <v>28567</v>
      </c>
      <c r="P5285" s="14" t="s">
        <v>28567</v>
      </c>
      <c r="Q5285" s="14" t="s">
        <v>28567</v>
      </c>
      <c r="R5285" s="14" t="s">
        <v>28567</v>
      </c>
    </row>
    <row r="5286" spans="1:18" ht="17" customHeight="1" x14ac:dyDescent="0.15">
      <c r="A5286" s="8" t="s">
        <v>28596</v>
      </c>
      <c r="B5286" s="9" t="s">
        <v>28597</v>
      </c>
      <c r="C5286" s="8" t="s">
        <v>28598</v>
      </c>
      <c r="D5286" s="8" t="s">
        <v>28598</v>
      </c>
      <c r="E5286" s="8" t="s">
        <v>28599</v>
      </c>
      <c r="F5286" s="8" t="s">
        <v>28572</v>
      </c>
      <c r="G5286" s="8" t="s">
        <v>28600</v>
      </c>
      <c r="H5286" s="8" t="s">
        <v>28601</v>
      </c>
      <c r="I5286" s="8" t="str">
        <f>HYPERLINK("http://www.gregal.it/","www.gregal.it")</f>
        <v>www.gregal.it</v>
      </c>
      <c r="J5286" s="10">
        <v>258.15199999999999</v>
      </c>
      <c r="K5286" s="15" t="s">
        <v>28567</v>
      </c>
      <c r="L5286" s="15" t="s">
        <v>28567</v>
      </c>
      <c r="M5286" s="10">
        <v>-82.813000000000002</v>
      </c>
      <c r="N5286" s="15" t="s">
        <v>28567</v>
      </c>
      <c r="O5286" s="15" t="s">
        <v>28567</v>
      </c>
      <c r="P5286" s="10">
        <v>6</v>
      </c>
      <c r="Q5286" s="15" t="s">
        <v>28567</v>
      </c>
      <c r="R5286" s="15" t="s">
        <v>28567</v>
      </c>
    </row>
    <row r="5287" spans="1:18" ht="17" customHeight="1" x14ac:dyDescent="0.15">
      <c r="A5287" s="11" t="s">
        <v>28602</v>
      </c>
      <c r="B5287" s="1" t="s">
        <v>28603</v>
      </c>
      <c r="C5287" s="11" t="s">
        <v>28604</v>
      </c>
      <c r="D5287" s="11" t="s">
        <v>28604</v>
      </c>
      <c r="E5287" s="11" t="s">
        <v>28605</v>
      </c>
      <c r="F5287" s="11" t="s">
        <v>28586</v>
      </c>
      <c r="G5287" s="11" t="s">
        <v>28565</v>
      </c>
      <c r="H5287" s="11" t="s">
        <v>28566</v>
      </c>
      <c r="I5287" s="11" t="str">
        <f>HYPERLINK("http://www.admirart.it/","http://www.admirart.it")</f>
        <v>http://www.admirart.it</v>
      </c>
      <c r="J5287" s="12">
        <v>257.89600000000002</v>
      </c>
      <c r="K5287" s="14" t="s">
        <v>28567</v>
      </c>
      <c r="L5287" s="16" t="s">
        <v>28567</v>
      </c>
      <c r="M5287" s="12">
        <v>-4.8070000000000004</v>
      </c>
      <c r="N5287" s="14" t="s">
        <v>28567</v>
      </c>
      <c r="O5287" s="14" t="s">
        <v>28567</v>
      </c>
      <c r="P5287" s="12">
        <v>3</v>
      </c>
      <c r="Q5287" s="14" t="s">
        <v>28567</v>
      </c>
      <c r="R5287" s="14" t="s">
        <v>28567</v>
      </c>
    </row>
    <row r="5288" spans="1:18" ht="17" customHeight="1" x14ac:dyDescent="0.15">
      <c r="A5288" s="8" t="s">
        <v>28606</v>
      </c>
      <c r="B5288" s="9" t="s">
        <v>28607</v>
      </c>
      <c r="C5288" s="8" t="s">
        <v>28608</v>
      </c>
      <c r="D5288" s="8" t="s">
        <v>28608</v>
      </c>
      <c r="E5288" s="8" t="s">
        <v>28609</v>
      </c>
      <c r="F5288" s="8" t="s">
        <v>28564</v>
      </c>
      <c r="G5288" s="8" t="s">
        <v>28610</v>
      </c>
      <c r="H5288" s="8" t="s">
        <v>28581</v>
      </c>
      <c r="I5288" s="8" t="str">
        <f>HYPERLINK("http://www.mariobemer.com/","www.mariobemer.com")</f>
        <v>www.mariobemer.com</v>
      </c>
      <c r="J5288" s="10">
        <v>252.48599999999999</v>
      </c>
      <c r="K5288" s="15" t="s">
        <v>28567</v>
      </c>
      <c r="L5288" s="15" t="s">
        <v>28567</v>
      </c>
      <c r="M5288" s="10">
        <v>12.722</v>
      </c>
      <c r="N5288" s="15" t="s">
        <v>28567</v>
      </c>
      <c r="O5288" s="15" t="s">
        <v>28567</v>
      </c>
      <c r="P5288" s="10">
        <v>1</v>
      </c>
      <c r="Q5288" s="15" t="s">
        <v>28567</v>
      </c>
      <c r="R5288" s="15" t="s">
        <v>28567</v>
      </c>
    </row>
    <row r="5289" spans="1:18" ht="17" customHeight="1" x14ac:dyDescent="0.15">
      <c r="A5289" s="11" t="s">
        <v>28611</v>
      </c>
      <c r="B5289" s="1" t="s">
        <v>28612</v>
      </c>
      <c r="C5289" s="11" t="s">
        <v>28613</v>
      </c>
      <c r="D5289" s="11" t="s">
        <v>28613</v>
      </c>
      <c r="E5289" s="11" t="s">
        <v>28614</v>
      </c>
      <c r="F5289" s="11" t="s">
        <v>28615</v>
      </c>
      <c r="G5289" s="11" t="s">
        <v>28565</v>
      </c>
      <c r="H5289" s="11" t="s">
        <v>28566</v>
      </c>
      <c r="I5289" s="11" t="str">
        <f>HYPERLINK("http://www.tintoinfilo.it/","www.tintoinfilo.it")</f>
        <v>www.tintoinfilo.it</v>
      </c>
      <c r="J5289" s="12">
        <v>250.524</v>
      </c>
      <c r="K5289" s="14" t="s">
        <v>28567</v>
      </c>
      <c r="L5289" s="16" t="s">
        <v>28567</v>
      </c>
      <c r="M5289" s="12">
        <v>-0.88300000000000001</v>
      </c>
      <c r="N5289" s="14" t="s">
        <v>28567</v>
      </c>
      <c r="O5289" s="14" t="s">
        <v>28567</v>
      </c>
      <c r="P5289" s="12">
        <v>2</v>
      </c>
      <c r="Q5289" s="14" t="s">
        <v>28567</v>
      </c>
      <c r="R5289" s="14" t="s">
        <v>28567</v>
      </c>
    </row>
    <row r="5290" spans="1:18" ht="17" customHeight="1" x14ac:dyDescent="0.15">
      <c r="A5290" s="8" t="s">
        <v>28616</v>
      </c>
      <c r="B5290" s="9" t="s">
        <v>28617</v>
      </c>
      <c r="C5290" s="8" t="s">
        <v>28618</v>
      </c>
      <c r="D5290" s="8" t="s">
        <v>28618</v>
      </c>
      <c r="E5290" s="8" t="s">
        <v>28619</v>
      </c>
      <c r="F5290" s="8" t="s">
        <v>28620</v>
      </c>
      <c r="G5290" s="8" t="s">
        <v>28621</v>
      </c>
      <c r="H5290" s="8" t="s">
        <v>28622</v>
      </c>
      <c r="I5290" s="8" t="str">
        <f>HYPERLINK("http://www.jadezone.it/","www.jadezone.it")</f>
        <v>www.jadezone.it</v>
      </c>
      <c r="J5290" s="10">
        <v>249.887</v>
      </c>
      <c r="K5290" s="15" t="s">
        <v>28567</v>
      </c>
      <c r="L5290" s="15" t="s">
        <v>28567</v>
      </c>
      <c r="M5290" s="10">
        <v>-50.1</v>
      </c>
      <c r="N5290" s="15" t="s">
        <v>28567</v>
      </c>
      <c r="O5290" s="15" t="s">
        <v>28567</v>
      </c>
      <c r="P5290" s="10">
        <v>10</v>
      </c>
      <c r="Q5290" s="15" t="s">
        <v>28567</v>
      </c>
      <c r="R5290" s="15" t="s">
        <v>28567</v>
      </c>
    </row>
    <row r="5291" spans="1:18" ht="17" customHeight="1" x14ac:dyDescent="0.15">
      <c r="A5291" s="11" t="s">
        <v>28623</v>
      </c>
      <c r="B5291" s="1" t="s">
        <v>28624</v>
      </c>
      <c r="C5291" s="11" t="s">
        <v>28625</v>
      </c>
      <c r="D5291" s="11" t="s">
        <v>28625</v>
      </c>
      <c r="E5291" s="11" t="s">
        <v>28626</v>
      </c>
      <c r="F5291" s="11" t="s">
        <v>28564</v>
      </c>
      <c r="G5291" s="11" t="s">
        <v>28627</v>
      </c>
      <c r="H5291" s="11" t="s">
        <v>28574</v>
      </c>
      <c r="I5291" s="11" t="str">
        <f>HYPERLINK("http://www.styleconsulance.it/","www.styleconsulance.it")</f>
        <v>www.styleconsulance.it</v>
      </c>
      <c r="J5291" s="12">
        <v>246.12700000000001</v>
      </c>
      <c r="K5291" s="14" t="s">
        <v>28567</v>
      </c>
      <c r="L5291" s="16" t="s">
        <v>28567</v>
      </c>
      <c r="M5291" s="12">
        <v>-23.097999999999999</v>
      </c>
      <c r="N5291" s="14" t="s">
        <v>28567</v>
      </c>
      <c r="O5291" s="14" t="s">
        <v>28567</v>
      </c>
      <c r="P5291" s="12">
        <v>2</v>
      </c>
      <c r="Q5291" s="14" t="s">
        <v>28567</v>
      </c>
      <c r="R5291" s="14" t="s">
        <v>28567</v>
      </c>
    </row>
    <row r="5292" spans="1:18" ht="17" customHeight="1" x14ac:dyDescent="0.15">
      <c r="A5292" s="8" t="s">
        <v>28628</v>
      </c>
      <c r="B5292" s="9" t="s">
        <v>28629</v>
      </c>
      <c r="C5292" s="8" t="s">
        <v>28630</v>
      </c>
      <c r="D5292" s="8" t="s">
        <v>28630</v>
      </c>
      <c r="E5292" s="8" t="s">
        <v>28631</v>
      </c>
      <c r="F5292" s="8" t="s">
        <v>28632</v>
      </c>
      <c r="G5292" s="8" t="s">
        <v>28633</v>
      </c>
      <c r="H5292" s="8" t="s">
        <v>28634</v>
      </c>
      <c r="I5292" s="8" t="str">
        <f>HYPERLINK("http://en.antonicellishop.it/","en.antonicellishop.it")</f>
        <v>en.antonicellishop.it</v>
      </c>
      <c r="J5292" s="10">
        <v>242.64400000000001</v>
      </c>
      <c r="K5292" s="15" t="s">
        <v>28567</v>
      </c>
      <c r="L5292" s="15" t="s">
        <v>28567</v>
      </c>
      <c r="M5292" s="10">
        <v>88.100999999999999</v>
      </c>
      <c r="N5292" s="15" t="s">
        <v>28567</v>
      </c>
      <c r="O5292" s="15" t="s">
        <v>28567</v>
      </c>
      <c r="P5292" s="10">
        <v>8</v>
      </c>
      <c r="Q5292" s="15" t="s">
        <v>28567</v>
      </c>
      <c r="R5292" s="15" t="s">
        <v>28567</v>
      </c>
    </row>
    <row r="5293" spans="1:18" ht="17" customHeight="1" x14ac:dyDescent="0.15">
      <c r="A5293" s="11" t="s">
        <v>28635</v>
      </c>
      <c r="B5293" s="1" t="s">
        <v>28636</v>
      </c>
      <c r="C5293" s="11" t="s">
        <v>28637</v>
      </c>
      <c r="D5293" s="11" t="s">
        <v>28637</v>
      </c>
      <c r="E5293" s="11" t="s">
        <v>28638</v>
      </c>
      <c r="F5293" s="11" t="s">
        <v>28572</v>
      </c>
      <c r="G5293" s="11" t="s">
        <v>28639</v>
      </c>
      <c r="H5293" s="11" t="s">
        <v>28640</v>
      </c>
      <c r="I5293" s="11" t="str">
        <f>HYPERLINK("http://mattwarman.co.uk/","mattwarman.co.uk")</f>
        <v>mattwarman.co.uk</v>
      </c>
      <c r="J5293" s="12">
        <v>242.48599999999999</v>
      </c>
      <c r="K5293" s="14" t="s">
        <v>28567</v>
      </c>
      <c r="L5293" s="16" t="s">
        <v>28567</v>
      </c>
      <c r="M5293" s="12">
        <v>0.28000000000000003</v>
      </c>
      <c r="N5293" s="14" t="s">
        <v>28567</v>
      </c>
      <c r="O5293" s="14" t="s">
        <v>28567</v>
      </c>
      <c r="P5293" s="12">
        <v>0</v>
      </c>
      <c r="Q5293" s="14" t="s">
        <v>28567</v>
      </c>
      <c r="R5293" s="14" t="s">
        <v>28567</v>
      </c>
    </row>
    <row r="5294" spans="1:18" ht="29.5" customHeight="1" x14ac:dyDescent="0.15">
      <c r="A5294" s="8" t="s">
        <v>28641</v>
      </c>
      <c r="B5294" s="9" t="s">
        <v>28642</v>
      </c>
      <c r="C5294" s="8" t="s">
        <v>28643</v>
      </c>
      <c r="D5294" s="8" t="s">
        <v>28643</v>
      </c>
      <c r="E5294" s="8" t="s">
        <v>28644</v>
      </c>
      <c r="F5294" s="8" t="s">
        <v>28645</v>
      </c>
      <c r="G5294" s="8" t="s">
        <v>28646</v>
      </c>
      <c r="H5294" s="8" t="s">
        <v>28581</v>
      </c>
      <c r="I5294" s="8" t="str">
        <f>HYPERLINK("http://www.semilla.it/","www.semilla.it")</f>
        <v>www.semilla.it</v>
      </c>
      <c r="J5294" s="10">
        <v>240.827</v>
      </c>
      <c r="K5294" s="15" t="s">
        <v>28567</v>
      </c>
      <c r="L5294" s="15" t="s">
        <v>28567</v>
      </c>
      <c r="M5294" s="10">
        <v>85.727000000000004</v>
      </c>
      <c r="N5294" s="15" t="s">
        <v>28567</v>
      </c>
      <c r="O5294" s="15" t="s">
        <v>28567</v>
      </c>
      <c r="P5294" s="10">
        <v>1</v>
      </c>
      <c r="Q5294" s="15" t="s">
        <v>28567</v>
      </c>
      <c r="R5294" s="15" t="s">
        <v>28567</v>
      </c>
    </row>
    <row r="5295" spans="1:18" ht="17" customHeight="1" x14ac:dyDescent="0.15">
      <c r="A5295" s="11" t="s">
        <v>28647</v>
      </c>
      <c r="B5295" s="1" t="s">
        <v>28648</v>
      </c>
      <c r="C5295" s="11" t="s">
        <v>28649</v>
      </c>
      <c r="D5295" s="11" t="s">
        <v>28649</v>
      </c>
      <c r="E5295" s="11" t="s">
        <v>28650</v>
      </c>
      <c r="F5295" s="11" t="s">
        <v>28579</v>
      </c>
      <c r="G5295" s="11" t="s">
        <v>28651</v>
      </c>
      <c r="H5295" s="11" t="s">
        <v>28652</v>
      </c>
      <c r="I5295" s="11" t="str">
        <f>HYPERLINK("http://www.thiene.org/","www.thiene.org")</f>
        <v>www.thiene.org</v>
      </c>
      <c r="J5295" s="12">
        <v>240.34899999999999</v>
      </c>
      <c r="K5295" s="14" t="s">
        <v>28567</v>
      </c>
      <c r="L5295" s="16" t="s">
        <v>28567</v>
      </c>
      <c r="M5295" s="12">
        <v>0.46200000000000002</v>
      </c>
      <c r="N5295" s="14" t="s">
        <v>28567</v>
      </c>
      <c r="O5295" s="14" t="s">
        <v>28567</v>
      </c>
      <c r="P5295" s="14" t="s">
        <v>28567</v>
      </c>
      <c r="Q5295" s="14" t="s">
        <v>28567</v>
      </c>
      <c r="R5295" s="14" t="s">
        <v>28567</v>
      </c>
    </row>
    <row r="5296" spans="1:18" ht="17" customHeight="1" x14ac:dyDescent="0.15">
      <c r="A5296" s="8" t="s">
        <v>28653</v>
      </c>
      <c r="B5296" s="9" t="s">
        <v>28654</v>
      </c>
      <c r="C5296" s="8" t="s">
        <v>28655</v>
      </c>
      <c r="D5296" s="8" t="s">
        <v>28655</v>
      </c>
      <c r="E5296" s="8" t="s">
        <v>28656</v>
      </c>
      <c r="F5296" s="8" t="s">
        <v>28657</v>
      </c>
      <c r="G5296" s="8" t="s">
        <v>28658</v>
      </c>
      <c r="H5296" s="8" t="s">
        <v>28566</v>
      </c>
      <c r="I5296" s="8" t="str">
        <f>HYPERLINK("http://sartorialetteriello.it/","sartorialetteriello.it")</f>
        <v>sartorialetteriello.it</v>
      </c>
      <c r="J5296" s="10">
        <v>235.95</v>
      </c>
      <c r="K5296" s="15" t="s">
        <v>28567</v>
      </c>
      <c r="L5296" s="15" t="s">
        <v>28567</v>
      </c>
      <c r="M5296" s="10">
        <v>45.106000000000002</v>
      </c>
      <c r="N5296" s="15" t="s">
        <v>28567</v>
      </c>
      <c r="O5296" s="15" t="s">
        <v>28567</v>
      </c>
      <c r="P5296" s="10">
        <v>4</v>
      </c>
      <c r="Q5296" s="15" t="s">
        <v>28567</v>
      </c>
      <c r="R5296" s="15" t="s">
        <v>28567</v>
      </c>
    </row>
    <row r="5297" spans="1:18" ht="17" customHeight="1" x14ac:dyDescent="0.15">
      <c r="A5297" s="11" t="s">
        <v>28659</v>
      </c>
      <c r="B5297" s="1" t="s">
        <v>28660</v>
      </c>
      <c r="C5297" s="11" t="s">
        <v>28661</v>
      </c>
      <c r="D5297" s="11" t="s">
        <v>28661</v>
      </c>
      <c r="E5297" s="11" t="s">
        <v>28662</v>
      </c>
      <c r="F5297" s="11" t="s">
        <v>28657</v>
      </c>
      <c r="G5297" s="11" t="s">
        <v>28663</v>
      </c>
      <c r="H5297" s="11" t="s">
        <v>28664</v>
      </c>
      <c r="I5297" s="11" t="str">
        <f>HYPERLINK("http://cirotto.lineaweb.buffetti.it/","cirotto.lineaweb.buffetti.it")</f>
        <v>cirotto.lineaweb.buffetti.it</v>
      </c>
      <c r="J5297" s="12">
        <v>235.52799999999999</v>
      </c>
      <c r="K5297" s="14" t="s">
        <v>28567</v>
      </c>
      <c r="L5297" s="16" t="s">
        <v>28567</v>
      </c>
      <c r="M5297" s="12">
        <v>-148.19499999999999</v>
      </c>
      <c r="N5297" s="14" t="s">
        <v>28567</v>
      </c>
      <c r="O5297" s="14" t="s">
        <v>28567</v>
      </c>
      <c r="P5297" s="12">
        <v>6</v>
      </c>
      <c r="Q5297" s="14" t="s">
        <v>28567</v>
      </c>
      <c r="R5297" s="14" t="s">
        <v>28567</v>
      </c>
    </row>
    <row r="5298" spans="1:18" ht="43" customHeight="1" x14ac:dyDescent="0.15">
      <c r="A5298" s="8" t="s">
        <v>28665</v>
      </c>
      <c r="B5298" s="9" t="s">
        <v>28666</v>
      </c>
      <c r="C5298" s="8" t="s">
        <v>28667</v>
      </c>
      <c r="D5298" s="8" t="s">
        <v>28667</v>
      </c>
      <c r="E5298" s="8" t="s">
        <v>28668</v>
      </c>
      <c r="F5298" s="8" t="s">
        <v>28564</v>
      </c>
      <c r="G5298" s="8" t="s">
        <v>28669</v>
      </c>
      <c r="H5298" s="8" t="s">
        <v>28634</v>
      </c>
      <c r="I5298" s="8" t="str">
        <f>HYPERLINK("http://johmarshoes.com/","johmarshoes.com")</f>
        <v>johmarshoes.com</v>
      </c>
      <c r="J5298" s="10">
        <v>235.46</v>
      </c>
      <c r="K5298" s="15" t="s">
        <v>28567</v>
      </c>
      <c r="L5298" s="15" t="s">
        <v>28567</v>
      </c>
      <c r="M5298" s="10">
        <v>20.416</v>
      </c>
      <c r="N5298" s="15" t="s">
        <v>28567</v>
      </c>
      <c r="O5298" s="15" t="s">
        <v>28567</v>
      </c>
      <c r="P5298" s="10">
        <v>13</v>
      </c>
      <c r="Q5298" s="15" t="s">
        <v>28567</v>
      </c>
      <c r="R5298" s="15" t="s">
        <v>28567</v>
      </c>
    </row>
    <row r="5299" spans="1:18" ht="17" customHeight="1" x14ac:dyDescent="0.15">
      <c r="A5299" s="11" t="s">
        <v>28670</v>
      </c>
      <c r="B5299" s="1" t="s">
        <v>28671</v>
      </c>
      <c r="C5299" s="11" t="s">
        <v>28672</v>
      </c>
      <c r="D5299" s="11" t="s">
        <v>28672</v>
      </c>
      <c r="E5299" s="11" t="s">
        <v>28673</v>
      </c>
      <c r="F5299" s="11" t="s">
        <v>28674</v>
      </c>
      <c r="G5299" s="11" t="s">
        <v>28573</v>
      </c>
      <c r="H5299" s="11" t="s">
        <v>28574</v>
      </c>
      <c r="I5299" s="11" t="str">
        <f>HYPERLINK("http://www.confezionitrea.it/","www.confezionitrea.it")</f>
        <v>www.confezionitrea.it</v>
      </c>
      <c r="J5299" s="12">
        <v>234.947</v>
      </c>
      <c r="K5299" s="14" t="s">
        <v>28567</v>
      </c>
      <c r="L5299" s="16" t="s">
        <v>28567</v>
      </c>
      <c r="M5299" s="12">
        <v>-41.783999999999999</v>
      </c>
      <c r="N5299" s="14" t="s">
        <v>28567</v>
      </c>
      <c r="O5299" s="14" t="s">
        <v>28567</v>
      </c>
      <c r="P5299" s="12">
        <v>2</v>
      </c>
      <c r="Q5299" s="14" t="s">
        <v>28567</v>
      </c>
      <c r="R5299" s="14" t="s">
        <v>28567</v>
      </c>
    </row>
    <row r="5300" spans="1:18" ht="43" customHeight="1" x14ac:dyDescent="0.15">
      <c r="A5300" s="8" t="s">
        <v>28675</v>
      </c>
      <c r="B5300" s="9" t="s">
        <v>28676</v>
      </c>
      <c r="C5300" s="8" t="s">
        <v>28677</v>
      </c>
      <c r="D5300" s="8" t="s">
        <v>28677</v>
      </c>
      <c r="E5300" s="8" t="s">
        <v>28678</v>
      </c>
      <c r="F5300" s="8" t="s">
        <v>28679</v>
      </c>
      <c r="G5300" s="8" t="s">
        <v>28600</v>
      </c>
      <c r="H5300" s="8" t="s">
        <v>28601</v>
      </c>
      <c r="I5300" s="8" t="str">
        <f>HYPERLINK("http://www.bycrea.it/","www.bycrea.it")</f>
        <v>www.bycrea.it</v>
      </c>
      <c r="J5300" s="10">
        <v>234.73699999999999</v>
      </c>
      <c r="K5300" s="15" t="s">
        <v>28567</v>
      </c>
      <c r="L5300" s="15" t="s">
        <v>28567</v>
      </c>
      <c r="M5300" s="10">
        <v>7.7530000000000001</v>
      </c>
      <c r="N5300" s="15" t="s">
        <v>28567</v>
      </c>
      <c r="O5300" s="15" t="s">
        <v>28567</v>
      </c>
      <c r="P5300" s="10">
        <v>5</v>
      </c>
      <c r="Q5300" s="15" t="s">
        <v>28567</v>
      </c>
      <c r="R5300" s="15" t="s">
        <v>28567</v>
      </c>
    </row>
    <row r="5301" spans="1:18" ht="17" customHeight="1" x14ac:dyDescent="0.15">
      <c r="A5301" s="11" t="s">
        <v>28680</v>
      </c>
      <c r="B5301" s="1" t="s">
        <v>28681</v>
      </c>
      <c r="C5301" s="11" t="s">
        <v>28682</v>
      </c>
      <c r="D5301" s="11" t="s">
        <v>28682</v>
      </c>
      <c r="E5301" s="11" t="s">
        <v>28683</v>
      </c>
      <c r="F5301" s="11" t="s">
        <v>28586</v>
      </c>
      <c r="G5301" s="11" t="s">
        <v>28684</v>
      </c>
      <c r="H5301" s="11" t="s">
        <v>28685</v>
      </c>
      <c r="I5301" s="11" t="str">
        <f>HYPERLINK("http://www.lovemecollection.com/","www.lovemecollection.com")</f>
        <v>www.lovemecollection.com</v>
      </c>
      <c r="J5301" s="12">
        <v>234.36600000000001</v>
      </c>
      <c r="K5301" s="14" t="s">
        <v>28567</v>
      </c>
      <c r="L5301" s="16" t="s">
        <v>28567</v>
      </c>
      <c r="M5301" s="12">
        <v>88.891000000000005</v>
      </c>
      <c r="N5301" s="14" t="s">
        <v>28567</v>
      </c>
      <c r="O5301" s="14" t="s">
        <v>28567</v>
      </c>
      <c r="P5301" s="12">
        <v>1</v>
      </c>
      <c r="Q5301" s="14" t="s">
        <v>28567</v>
      </c>
      <c r="R5301" s="14" t="s">
        <v>28567</v>
      </c>
    </row>
    <row r="5302" spans="1:18" ht="29.5" customHeight="1" x14ac:dyDescent="0.15">
      <c r="A5302" s="8" t="s">
        <v>28686</v>
      </c>
      <c r="B5302" s="9" t="s">
        <v>28687</v>
      </c>
      <c r="C5302" s="8" t="s">
        <v>28688</v>
      </c>
      <c r="D5302" s="8" t="s">
        <v>28688</v>
      </c>
      <c r="E5302" s="8" t="s">
        <v>28689</v>
      </c>
      <c r="F5302" s="8" t="s">
        <v>28620</v>
      </c>
      <c r="G5302" s="8" t="s">
        <v>28610</v>
      </c>
      <c r="H5302" s="8" t="s">
        <v>28581</v>
      </c>
      <c r="I5302" s="8" t="str">
        <f>HYPERLINK("http://www.andyrichardson.it/","www.andyrichardson.it")</f>
        <v>www.andyrichardson.it</v>
      </c>
      <c r="J5302" s="10">
        <v>233.928</v>
      </c>
      <c r="K5302" s="15" t="s">
        <v>28567</v>
      </c>
      <c r="L5302" s="15" t="s">
        <v>28567</v>
      </c>
      <c r="M5302" s="10">
        <v>8.9700000000000006</v>
      </c>
      <c r="N5302" s="15" t="s">
        <v>28567</v>
      </c>
      <c r="O5302" s="15" t="s">
        <v>28567</v>
      </c>
      <c r="P5302" s="10">
        <v>0</v>
      </c>
      <c r="Q5302" s="15" t="s">
        <v>28567</v>
      </c>
      <c r="R5302" s="15" t="s">
        <v>28567</v>
      </c>
    </row>
    <row r="5303" spans="1:18" ht="17" customHeight="1" x14ac:dyDescent="0.15">
      <c r="A5303" s="11" t="s">
        <v>28690</v>
      </c>
      <c r="B5303" s="1" t="s">
        <v>28691</v>
      </c>
      <c r="C5303" s="11" t="s">
        <v>28692</v>
      </c>
      <c r="D5303" s="11" t="s">
        <v>28692</v>
      </c>
      <c r="E5303" s="11" t="s">
        <v>28693</v>
      </c>
      <c r="F5303" s="11" t="s">
        <v>28586</v>
      </c>
      <c r="G5303" s="11" t="s">
        <v>28684</v>
      </c>
      <c r="H5303" s="11" t="s">
        <v>28685</v>
      </c>
      <c r="I5303" s="11" t="str">
        <f>HYPERLINK("http://www.marinellacasali.it/","www.marinellacasali.it")</f>
        <v>www.marinellacasali.it</v>
      </c>
      <c r="J5303" s="12">
        <v>230.96799999999999</v>
      </c>
      <c r="K5303" s="14" t="s">
        <v>28567</v>
      </c>
      <c r="L5303" s="16" t="s">
        <v>28567</v>
      </c>
      <c r="M5303" s="12">
        <v>-10.893000000000001</v>
      </c>
      <c r="N5303" s="14" t="s">
        <v>28567</v>
      </c>
      <c r="O5303" s="14" t="s">
        <v>28567</v>
      </c>
      <c r="P5303" s="12">
        <v>2</v>
      </c>
      <c r="Q5303" s="14" t="s">
        <v>28567</v>
      </c>
      <c r="R5303" s="14" t="s">
        <v>28567</v>
      </c>
    </row>
    <row r="5304" spans="1:18" ht="29.5" customHeight="1" x14ac:dyDescent="0.15">
      <c r="A5304" s="8" t="s">
        <v>28694</v>
      </c>
      <c r="B5304" s="9" t="s">
        <v>28695</v>
      </c>
      <c r="C5304" s="8" t="s">
        <v>28696</v>
      </c>
      <c r="D5304" s="8" t="s">
        <v>28696</v>
      </c>
      <c r="E5304" s="8" t="s">
        <v>28697</v>
      </c>
      <c r="F5304" s="8" t="s">
        <v>28698</v>
      </c>
      <c r="G5304" s="8" t="s">
        <v>28699</v>
      </c>
      <c r="H5304" s="8" t="s">
        <v>28566</v>
      </c>
      <c r="I5304" s="8" t="str">
        <f>HYPERLINK("http://www.studiopozzuto.it/","www.studiopozzuto.it")</f>
        <v>www.studiopozzuto.it</v>
      </c>
      <c r="J5304" s="10">
        <v>230.31299999999999</v>
      </c>
      <c r="K5304" s="15" t="s">
        <v>28567</v>
      </c>
      <c r="L5304" s="15" t="s">
        <v>28567</v>
      </c>
      <c r="M5304" s="10">
        <v>-15.218999999999999</v>
      </c>
      <c r="N5304" s="15" t="s">
        <v>28567</v>
      </c>
      <c r="O5304" s="15" t="s">
        <v>28567</v>
      </c>
      <c r="P5304" s="10">
        <v>5</v>
      </c>
      <c r="Q5304" s="15" t="s">
        <v>28567</v>
      </c>
      <c r="R5304" s="15" t="s">
        <v>28567</v>
      </c>
    </row>
    <row r="5305" spans="1:18" ht="17" customHeight="1" x14ac:dyDescent="0.15">
      <c r="A5305" s="11" t="s">
        <v>28700</v>
      </c>
      <c r="B5305" s="1" t="s">
        <v>28701</v>
      </c>
      <c r="C5305" s="11" t="s">
        <v>28702</v>
      </c>
      <c r="D5305" s="11" t="s">
        <v>28702</v>
      </c>
      <c r="E5305" s="11" t="s">
        <v>28703</v>
      </c>
      <c r="F5305" s="11" t="s">
        <v>28704</v>
      </c>
      <c r="G5305" s="11" t="s">
        <v>28705</v>
      </c>
      <c r="H5305" s="11" t="s">
        <v>28581</v>
      </c>
      <c r="I5305" s="11" t="str">
        <f>HYPERLINK("http://www.conceriabrasil.it/","www.conceriabrasil.it")</f>
        <v>www.conceriabrasil.it</v>
      </c>
      <c r="J5305" s="12">
        <v>228.91800000000001</v>
      </c>
      <c r="K5305" s="14" t="s">
        <v>28567</v>
      </c>
      <c r="L5305" s="16" t="s">
        <v>28567</v>
      </c>
      <c r="M5305" s="12">
        <v>16.45</v>
      </c>
      <c r="N5305" s="14" t="s">
        <v>28567</v>
      </c>
      <c r="O5305" s="14" t="s">
        <v>28567</v>
      </c>
      <c r="P5305" s="12">
        <v>0</v>
      </c>
      <c r="Q5305" s="14" t="s">
        <v>28567</v>
      </c>
      <c r="R5305" s="14" t="s">
        <v>28567</v>
      </c>
    </row>
    <row r="5306" spans="1:18" ht="17" customHeight="1" x14ac:dyDescent="0.15">
      <c r="A5306" s="8" t="s">
        <v>28706</v>
      </c>
      <c r="B5306" s="9" t="s">
        <v>28707</v>
      </c>
      <c r="C5306" s="8" t="s">
        <v>28708</v>
      </c>
      <c r="D5306" s="8" t="s">
        <v>28708</v>
      </c>
      <c r="E5306" s="8" t="s">
        <v>28709</v>
      </c>
      <c r="F5306" s="8" t="s">
        <v>28657</v>
      </c>
      <c r="G5306" s="8" t="s">
        <v>28710</v>
      </c>
      <c r="H5306" s="8" t="s">
        <v>28711</v>
      </c>
      <c r="I5306" s="8" t="str">
        <f>HYPERLINK("http://vestipro.it/","vestipro.it")</f>
        <v>vestipro.it</v>
      </c>
      <c r="J5306" s="10">
        <v>228.33699999999999</v>
      </c>
      <c r="K5306" s="10">
        <v>228.33699999999999</v>
      </c>
      <c r="L5306" s="15" t="s">
        <v>28567</v>
      </c>
      <c r="M5306" s="10">
        <v>19.324999999999999</v>
      </c>
      <c r="N5306" s="10">
        <v>19.324999999999999</v>
      </c>
      <c r="O5306" s="15" t="s">
        <v>28567</v>
      </c>
      <c r="P5306" s="10">
        <v>2</v>
      </c>
      <c r="Q5306" s="10">
        <v>2</v>
      </c>
      <c r="R5306" s="15" t="s">
        <v>28567</v>
      </c>
    </row>
    <row r="5307" spans="1:18" ht="17" customHeight="1" x14ac:dyDescent="0.15">
      <c r="A5307" s="11" t="s">
        <v>28712</v>
      </c>
      <c r="B5307" s="1" t="s">
        <v>28713</v>
      </c>
      <c r="C5307" s="11" t="s">
        <v>28714</v>
      </c>
      <c r="D5307" s="11" t="s">
        <v>28714</v>
      </c>
      <c r="E5307" s="11" t="s">
        <v>28715</v>
      </c>
      <c r="F5307" s="11" t="s">
        <v>28679</v>
      </c>
      <c r="G5307" s="11" t="s">
        <v>28610</v>
      </c>
      <c r="H5307" s="11" t="s">
        <v>28581</v>
      </c>
      <c r="I5307" s="11" t="str">
        <f>HYPERLINK("http://www.popbag.it/","www.popbag.it")</f>
        <v>www.popbag.it</v>
      </c>
      <c r="J5307" s="12">
        <v>226.91200000000001</v>
      </c>
      <c r="K5307" s="14" t="s">
        <v>28567</v>
      </c>
      <c r="L5307" s="16" t="s">
        <v>28567</v>
      </c>
      <c r="M5307" s="12">
        <v>0.191</v>
      </c>
      <c r="N5307" s="14" t="s">
        <v>28567</v>
      </c>
      <c r="O5307" s="14" t="s">
        <v>28567</v>
      </c>
      <c r="P5307" s="12">
        <v>2</v>
      </c>
      <c r="Q5307" s="14" t="s">
        <v>28567</v>
      </c>
      <c r="R5307" s="14" t="s">
        <v>28567</v>
      </c>
    </row>
    <row r="5308" spans="1:18" ht="17" customHeight="1" x14ac:dyDescent="0.15">
      <c r="A5308" s="8" t="s">
        <v>28716</v>
      </c>
      <c r="B5308" s="9" t="s">
        <v>28717</v>
      </c>
      <c r="C5308" s="8" t="s">
        <v>28718</v>
      </c>
      <c r="D5308" s="8" t="s">
        <v>28718</v>
      </c>
      <c r="E5308" s="8" t="s">
        <v>28719</v>
      </c>
      <c r="F5308" s="8" t="s">
        <v>28704</v>
      </c>
      <c r="G5308" s="8" t="s">
        <v>28720</v>
      </c>
      <c r="H5308" s="8" t="s">
        <v>28566</v>
      </c>
      <c r="I5308" s="8" t="str">
        <f>HYPERLINK("http://www.manifattureconciarie.it/","www.manifattureconciarie.it")</f>
        <v>www.manifattureconciarie.it</v>
      </c>
      <c r="J5308" s="10">
        <v>226.655</v>
      </c>
      <c r="K5308" s="15" t="s">
        <v>28567</v>
      </c>
      <c r="L5308" s="15" t="s">
        <v>28567</v>
      </c>
      <c r="M5308" s="10">
        <v>-25.352</v>
      </c>
      <c r="N5308" s="15" t="s">
        <v>28567</v>
      </c>
      <c r="O5308" s="15" t="s">
        <v>28567</v>
      </c>
      <c r="P5308" s="15" t="s">
        <v>28567</v>
      </c>
      <c r="Q5308" s="15" t="s">
        <v>28567</v>
      </c>
      <c r="R5308" s="15" t="s">
        <v>28567</v>
      </c>
    </row>
    <row r="5309" spans="1:18" ht="43" customHeight="1" x14ac:dyDescent="0.15">
      <c r="A5309" s="11" t="s">
        <v>28721</v>
      </c>
      <c r="B5309" s="1" t="s">
        <v>28722</v>
      </c>
      <c r="C5309" s="11" t="s">
        <v>28723</v>
      </c>
      <c r="D5309" s="11" t="s">
        <v>28723</v>
      </c>
      <c r="E5309" s="11" t="s">
        <v>28724</v>
      </c>
      <c r="F5309" s="11" t="s">
        <v>28586</v>
      </c>
      <c r="G5309" s="11" t="s">
        <v>28720</v>
      </c>
      <c r="H5309" s="11" t="s">
        <v>28566</v>
      </c>
      <c r="I5309" s="11" t="str">
        <f>HYPERLINK("http://moda-italia-srl-societa-unipersonale-02668110642.quantofattura.com/","moda-italia-srl-societa-unipersonale-02668110642.quantofattura.com")</f>
        <v>moda-italia-srl-societa-unipersonale-02668110642.quantofattura.com</v>
      </c>
      <c r="J5309" s="12">
        <v>225.06299999999999</v>
      </c>
      <c r="K5309" s="14" t="s">
        <v>28567</v>
      </c>
      <c r="L5309" s="16" t="s">
        <v>28567</v>
      </c>
      <c r="M5309" s="12">
        <v>-47.308</v>
      </c>
      <c r="N5309" s="14" t="s">
        <v>28567</v>
      </c>
      <c r="O5309" s="14" t="s">
        <v>28567</v>
      </c>
      <c r="P5309" s="12">
        <v>12</v>
      </c>
      <c r="Q5309" s="14" t="s">
        <v>28567</v>
      </c>
      <c r="R5309" s="14" t="s">
        <v>28567</v>
      </c>
    </row>
    <row r="5310" spans="1:18" ht="43" customHeight="1" x14ac:dyDescent="0.15">
      <c r="A5310" s="8" t="s">
        <v>28725</v>
      </c>
      <c r="B5310" s="9" t="s">
        <v>28726</v>
      </c>
      <c r="C5310" s="8" t="s">
        <v>28727</v>
      </c>
      <c r="D5310" s="8" t="s">
        <v>28727</v>
      </c>
      <c r="E5310" s="8" t="s">
        <v>28728</v>
      </c>
      <c r="F5310" s="8" t="s">
        <v>28657</v>
      </c>
      <c r="G5310" s="8" t="s">
        <v>28633</v>
      </c>
      <c r="H5310" s="8" t="s">
        <v>28634</v>
      </c>
      <c r="I5310" s="8" t="str">
        <f>HYPERLINK("http://www.artelier195.com/","www.artelier195.com")</f>
        <v>www.artelier195.com</v>
      </c>
      <c r="J5310" s="10">
        <v>224.107</v>
      </c>
      <c r="K5310" s="15" t="s">
        <v>28567</v>
      </c>
      <c r="L5310" s="15" t="s">
        <v>28567</v>
      </c>
      <c r="M5310" s="10">
        <v>4.8029999999999999</v>
      </c>
      <c r="N5310" s="15" t="s">
        <v>28567</v>
      </c>
      <c r="O5310" s="15" t="s">
        <v>28567</v>
      </c>
      <c r="P5310" s="10">
        <v>3</v>
      </c>
      <c r="Q5310" s="15" t="s">
        <v>28567</v>
      </c>
      <c r="R5310" s="15" t="s">
        <v>28567</v>
      </c>
    </row>
    <row r="5311" spans="1:18" ht="17" customHeight="1" x14ac:dyDescent="0.15">
      <c r="A5311" s="11" t="s">
        <v>28729</v>
      </c>
      <c r="B5311" s="1" t="s">
        <v>28730</v>
      </c>
      <c r="C5311" s="11" t="s">
        <v>28731</v>
      </c>
      <c r="D5311" s="11" t="s">
        <v>28731</v>
      </c>
      <c r="E5311" s="11" t="s">
        <v>28732</v>
      </c>
      <c r="F5311" s="11" t="s">
        <v>28615</v>
      </c>
      <c r="G5311" s="11" t="s">
        <v>28733</v>
      </c>
      <c r="H5311" s="11" t="s">
        <v>28634</v>
      </c>
      <c r="I5311" s="11" t="str">
        <f>HYPERLINK("http://www.elcharrointimo.it/","www.elcharrointimo.it")</f>
        <v>www.elcharrointimo.it</v>
      </c>
      <c r="J5311" s="12">
        <v>223.15100000000001</v>
      </c>
      <c r="K5311" s="14" t="s">
        <v>28567</v>
      </c>
      <c r="L5311" s="16" t="s">
        <v>28567</v>
      </c>
      <c r="M5311" s="12">
        <v>108.298</v>
      </c>
      <c r="N5311" s="14" t="s">
        <v>28567</v>
      </c>
      <c r="O5311" s="14" t="s">
        <v>28567</v>
      </c>
      <c r="P5311" s="12">
        <v>1</v>
      </c>
      <c r="Q5311" s="14" t="s">
        <v>28567</v>
      </c>
      <c r="R5311" s="14" t="s">
        <v>28567</v>
      </c>
    </row>
    <row r="5312" spans="1:18" ht="17" customHeight="1" x14ac:dyDescent="0.15">
      <c r="A5312" s="8" t="s">
        <v>28734</v>
      </c>
      <c r="B5312" s="9" t="s">
        <v>28735</v>
      </c>
      <c r="C5312" s="8" t="s">
        <v>28736</v>
      </c>
      <c r="D5312" s="8" t="s">
        <v>28736</v>
      </c>
      <c r="E5312" s="8" t="s">
        <v>28737</v>
      </c>
      <c r="F5312" s="8" t="s">
        <v>28615</v>
      </c>
      <c r="G5312" s="8" t="s">
        <v>28738</v>
      </c>
      <c r="H5312" s="8" t="s">
        <v>28601</v>
      </c>
      <c r="I5312" s="8" t="str">
        <f>HYPERLINK("http://www.jonne.it/","www.jonne.it")</f>
        <v>www.jonne.it</v>
      </c>
      <c r="J5312" s="10">
        <v>222.04400000000001</v>
      </c>
      <c r="K5312" s="10">
        <v>222.04400000000001</v>
      </c>
      <c r="L5312" s="15" t="s">
        <v>28567</v>
      </c>
      <c r="M5312" s="10">
        <v>1.2589999999999999</v>
      </c>
      <c r="N5312" s="10">
        <v>1.2589999999999999</v>
      </c>
      <c r="O5312" s="15" t="s">
        <v>28567</v>
      </c>
      <c r="P5312" s="10">
        <v>7</v>
      </c>
      <c r="Q5312" s="10">
        <v>7</v>
      </c>
      <c r="R5312" s="15" t="s">
        <v>28567</v>
      </c>
    </row>
    <row r="5313" spans="1:18" ht="17" customHeight="1" x14ac:dyDescent="0.15">
      <c r="A5313" s="11" t="s">
        <v>28739</v>
      </c>
      <c r="B5313" s="1" t="s">
        <v>28740</v>
      </c>
      <c r="C5313" s="11" t="s">
        <v>28741</v>
      </c>
      <c r="D5313" s="11" t="s">
        <v>28741</v>
      </c>
      <c r="E5313" s="11" t="s">
        <v>28742</v>
      </c>
      <c r="F5313" s="11" t="s">
        <v>28743</v>
      </c>
      <c r="G5313" s="11" t="s">
        <v>28744</v>
      </c>
      <c r="H5313" s="11" t="s">
        <v>28745</v>
      </c>
      <c r="I5313" s="11" t="str">
        <f>HYPERLINK("http://bolerodanza.com/","bolerodanza.com")</f>
        <v>bolerodanza.com</v>
      </c>
      <c r="J5313" s="12">
        <v>221.727</v>
      </c>
      <c r="K5313" s="14" t="s">
        <v>28746</v>
      </c>
      <c r="L5313" s="16" t="s">
        <v>28746</v>
      </c>
      <c r="M5313" s="12">
        <v>2.3010000000000002</v>
      </c>
      <c r="N5313" s="14" t="s">
        <v>28746</v>
      </c>
      <c r="O5313" s="14" t="s">
        <v>28746</v>
      </c>
      <c r="P5313" s="12">
        <v>5</v>
      </c>
      <c r="Q5313" s="14" t="s">
        <v>28746</v>
      </c>
      <c r="R5313" s="14" t="s">
        <v>28746</v>
      </c>
    </row>
    <row r="5314" spans="1:18" ht="17" customHeight="1" x14ac:dyDescent="0.15">
      <c r="A5314" s="8" t="s">
        <v>28747</v>
      </c>
      <c r="B5314" s="9" t="s">
        <v>28748</v>
      </c>
      <c r="C5314" s="8" t="s">
        <v>28749</v>
      </c>
      <c r="D5314" s="8" t="s">
        <v>28749</v>
      </c>
      <c r="E5314" s="8" t="s">
        <v>28750</v>
      </c>
      <c r="F5314" s="8" t="s">
        <v>28751</v>
      </c>
      <c r="G5314" s="8" t="s">
        <v>28752</v>
      </c>
      <c r="H5314" s="8" t="s">
        <v>28753</v>
      </c>
      <c r="I5314" s="8" t="str">
        <f>HYPERLINK("http://www.sandalipositano.salerno.it/","www.sandalipositano.salerno.it")</f>
        <v>www.sandalipositano.salerno.it</v>
      </c>
      <c r="J5314" s="10">
        <v>221.703</v>
      </c>
      <c r="K5314" s="15" t="s">
        <v>28746</v>
      </c>
      <c r="L5314" s="15" t="s">
        <v>28746</v>
      </c>
      <c r="M5314" s="10">
        <v>-0.151</v>
      </c>
      <c r="N5314" s="15" t="s">
        <v>28746</v>
      </c>
      <c r="O5314" s="15" t="s">
        <v>28746</v>
      </c>
      <c r="P5314" s="10">
        <v>1</v>
      </c>
      <c r="Q5314" s="15" t="s">
        <v>28746</v>
      </c>
      <c r="R5314" s="15" t="s">
        <v>28746</v>
      </c>
    </row>
    <row r="5315" spans="1:18" ht="17" customHeight="1" x14ac:dyDescent="0.15">
      <c r="A5315" s="11" t="s">
        <v>28754</v>
      </c>
      <c r="B5315" s="1" t="s">
        <v>28755</v>
      </c>
      <c r="C5315" s="11" t="s">
        <v>28756</v>
      </c>
      <c r="D5315" s="11" t="s">
        <v>28756</v>
      </c>
      <c r="E5315" s="11" t="s">
        <v>28757</v>
      </c>
      <c r="F5315" s="11" t="s">
        <v>28758</v>
      </c>
      <c r="G5315" s="11" t="s">
        <v>28752</v>
      </c>
      <c r="H5315" s="11" t="s">
        <v>28753</v>
      </c>
      <c r="I5315" s="11" t="str">
        <f>HYPERLINK("http://royceshirt.it/","royceshirt.it")</f>
        <v>royceshirt.it</v>
      </c>
      <c r="J5315" s="12">
        <v>214.89699999999999</v>
      </c>
      <c r="K5315" s="14" t="s">
        <v>28746</v>
      </c>
      <c r="L5315" s="16" t="s">
        <v>28746</v>
      </c>
      <c r="M5315" s="12">
        <v>4.5940000000000003</v>
      </c>
      <c r="N5315" s="14" t="s">
        <v>28746</v>
      </c>
      <c r="O5315" s="14" t="s">
        <v>28746</v>
      </c>
      <c r="P5315" s="12">
        <v>2</v>
      </c>
      <c r="Q5315" s="14" t="s">
        <v>28746</v>
      </c>
      <c r="R5315" s="14" t="s">
        <v>28746</v>
      </c>
    </row>
    <row r="5316" spans="1:18" ht="17" customHeight="1" x14ac:dyDescent="0.15">
      <c r="A5316" s="8" t="s">
        <v>28759</v>
      </c>
      <c r="B5316" s="9" t="s">
        <v>28760</v>
      </c>
      <c r="C5316" s="8" t="s">
        <v>28761</v>
      </c>
      <c r="D5316" s="8" t="s">
        <v>28761</v>
      </c>
      <c r="E5316" s="8" t="s">
        <v>28762</v>
      </c>
      <c r="F5316" s="8" t="s">
        <v>28763</v>
      </c>
      <c r="G5316" s="8" t="s">
        <v>28764</v>
      </c>
      <c r="H5316" s="8" t="s">
        <v>28765</v>
      </c>
      <c r="I5316" s="8" t="str">
        <f>HYPERLINK("http://www.giemmesport.net/","www.giemmesport.net")</f>
        <v>www.giemmesport.net</v>
      </c>
      <c r="J5316" s="10">
        <v>213.494</v>
      </c>
      <c r="K5316" s="15" t="s">
        <v>28746</v>
      </c>
      <c r="L5316" s="15" t="s">
        <v>28746</v>
      </c>
      <c r="M5316" s="10">
        <v>2.6190000000000002</v>
      </c>
      <c r="N5316" s="15" t="s">
        <v>28746</v>
      </c>
      <c r="O5316" s="15" t="s">
        <v>28746</v>
      </c>
      <c r="P5316" s="10">
        <v>7</v>
      </c>
      <c r="Q5316" s="15" t="s">
        <v>28746</v>
      </c>
      <c r="R5316" s="15" t="s">
        <v>28746</v>
      </c>
    </row>
    <row r="5317" spans="1:18" ht="29.5" customHeight="1" x14ac:dyDescent="0.15">
      <c r="A5317" s="11" t="s">
        <v>28766</v>
      </c>
      <c r="B5317" s="1" t="s">
        <v>28767</v>
      </c>
      <c r="C5317" s="11" t="s">
        <v>28768</v>
      </c>
      <c r="D5317" s="11" t="s">
        <v>28768</v>
      </c>
      <c r="E5317" s="11" t="s">
        <v>28769</v>
      </c>
      <c r="F5317" s="11" t="s">
        <v>28770</v>
      </c>
      <c r="G5317" s="11" t="s">
        <v>28771</v>
      </c>
      <c r="H5317" s="11" t="s">
        <v>28772</v>
      </c>
      <c r="I5317" s="11" t="str">
        <f>HYPERLINK("http://www.fashionmore.net/","www.fashionmore.net")</f>
        <v>www.fashionmore.net</v>
      </c>
      <c r="J5317" s="12">
        <v>211.85599999999999</v>
      </c>
      <c r="K5317" s="14" t="s">
        <v>28746</v>
      </c>
      <c r="L5317" s="16" t="s">
        <v>28746</v>
      </c>
      <c r="M5317" s="12">
        <v>24.484999999999999</v>
      </c>
      <c r="N5317" s="14" t="s">
        <v>28746</v>
      </c>
      <c r="O5317" s="14" t="s">
        <v>28746</v>
      </c>
      <c r="P5317" s="12">
        <v>0</v>
      </c>
      <c r="Q5317" s="14" t="s">
        <v>28746</v>
      </c>
      <c r="R5317" s="14" t="s">
        <v>28746</v>
      </c>
    </row>
    <row r="5318" spans="1:18" ht="17" customHeight="1" x14ac:dyDescent="0.15">
      <c r="A5318" s="8" t="s">
        <v>28773</v>
      </c>
      <c r="B5318" s="9" t="s">
        <v>28774</v>
      </c>
      <c r="C5318" s="8" t="s">
        <v>28775</v>
      </c>
      <c r="D5318" s="8" t="s">
        <v>28775</v>
      </c>
      <c r="E5318" s="8" t="s">
        <v>28776</v>
      </c>
      <c r="F5318" s="8" t="s">
        <v>28743</v>
      </c>
      <c r="G5318" s="8" t="s">
        <v>28777</v>
      </c>
      <c r="H5318" s="8" t="s">
        <v>28778</v>
      </c>
      <c r="I5318" s="8" t="str">
        <f>HYPERLINK("http://www.rudeconcept.com/","www.rudeconcept.com")</f>
        <v>www.rudeconcept.com</v>
      </c>
      <c r="J5318" s="10">
        <v>209.255</v>
      </c>
      <c r="K5318" s="15" t="s">
        <v>28746</v>
      </c>
      <c r="L5318" s="15" t="s">
        <v>28746</v>
      </c>
      <c r="M5318" s="10">
        <v>20.683</v>
      </c>
      <c r="N5318" s="15" t="s">
        <v>28746</v>
      </c>
      <c r="O5318" s="15" t="s">
        <v>28746</v>
      </c>
      <c r="P5318" s="10">
        <v>0</v>
      </c>
      <c r="Q5318" s="15" t="s">
        <v>28746</v>
      </c>
      <c r="R5318" s="15" t="s">
        <v>28746</v>
      </c>
    </row>
    <row r="5319" spans="1:18" ht="17" customHeight="1" x14ac:dyDescent="0.15">
      <c r="A5319" s="11" t="s">
        <v>28779</v>
      </c>
      <c r="B5319" s="1" t="s">
        <v>28780</v>
      </c>
      <c r="C5319" s="11" t="s">
        <v>28781</v>
      </c>
      <c r="D5319" s="11" t="s">
        <v>28781</v>
      </c>
      <c r="E5319" s="11" t="s">
        <v>28782</v>
      </c>
      <c r="F5319" s="11" t="s">
        <v>28758</v>
      </c>
      <c r="G5319" s="11" t="s">
        <v>28783</v>
      </c>
      <c r="H5319" s="11" t="s">
        <v>28745</v>
      </c>
      <c r="I5319" s="11" t="str">
        <f>HYPERLINK("http://www.mariel.it/","www.mariel.it")</f>
        <v>www.mariel.it</v>
      </c>
      <c r="J5319" s="12">
        <v>207.95599999999999</v>
      </c>
      <c r="K5319" s="14" t="s">
        <v>28746</v>
      </c>
      <c r="L5319" s="16" t="s">
        <v>28746</v>
      </c>
      <c r="M5319" s="12">
        <v>5.6120000000000001</v>
      </c>
      <c r="N5319" s="14" t="s">
        <v>28746</v>
      </c>
      <c r="O5319" s="14" t="s">
        <v>28746</v>
      </c>
      <c r="P5319" s="14" t="s">
        <v>28746</v>
      </c>
      <c r="Q5319" s="14" t="s">
        <v>28746</v>
      </c>
      <c r="R5319" s="14" t="s">
        <v>28746</v>
      </c>
    </row>
    <row r="5320" spans="1:18" ht="17" customHeight="1" x14ac:dyDescent="0.15">
      <c r="A5320" s="8" t="s">
        <v>28784</v>
      </c>
      <c r="B5320" s="9" t="s">
        <v>28785</v>
      </c>
      <c r="C5320" s="8" t="s">
        <v>28786</v>
      </c>
      <c r="D5320" s="8" t="s">
        <v>28786</v>
      </c>
      <c r="E5320" s="8" t="s">
        <v>28787</v>
      </c>
      <c r="F5320" s="8" t="s">
        <v>28758</v>
      </c>
      <c r="G5320" s="8" t="s">
        <v>28783</v>
      </c>
      <c r="H5320" s="8" t="s">
        <v>28745</v>
      </c>
      <c r="I5320" s="8" t="str">
        <f>HYPERLINK("http://puntivenditadeco.multicedi.it/it/italia/frosinone/frosinone","puntivenditadeco.multicedi.it/it/italia/frosinone/frosinone")</f>
        <v>puntivenditadeco.multicedi.it/it/italia/frosinone/frosinone</v>
      </c>
      <c r="J5320" s="10">
        <v>207.61600000000001</v>
      </c>
      <c r="K5320" s="15" t="s">
        <v>28746</v>
      </c>
      <c r="L5320" s="15" t="s">
        <v>28746</v>
      </c>
      <c r="M5320" s="10">
        <v>87.483000000000004</v>
      </c>
      <c r="N5320" s="15" t="s">
        <v>28746</v>
      </c>
      <c r="O5320" s="15" t="s">
        <v>28746</v>
      </c>
      <c r="P5320" s="10">
        <v>9</v>
      </c>
      <c r="Q5320" s="15" t="s">
        <v>28746</v>
      </c>
      <c r="R5320" s="15" t="s">
        <v>28746</v>
      </c>
    </row>
    <row r="5321" spans="1:18" ht="17" customHeight="1" x14ac:dyDescent="0.15">
      <c r="A5321" s="11" t="s">
        <v>28788</v>
      </c>
      <c r="B5321" s="1" t="s">
        <v>28789</v>
      </c>
      <c r="C5321" s="11" t="s">
        <v>28790</v>
      </c>
      <c r="D5321" s="11" t="s">
        <v>28790</v>
      </c>
      <c r="E5321" s="11" t="s">
        <v>28791</v>
      </c>
      <c r="F5321" s="11" t="s">
        <v>28792</v>
      </c>
      <c r="G5321" s="11" t="s">
        <v>28793</v>
      </c>
      <c r="H5321" s="11" t="s">
        <v>28794</v>
      </c>
      <c r="I5321" s="11" t="str">
        <f>HYPERLINK("http://eu.peserico.com/","eu.peserico.com")</f>
        <v>eu.peserico.com</v>
      </c>
      <c r="J5321" s="12">
        <v>205.09399999999999</v>
      </c>
      <c r="K5321" s="12">
        <v>205.09399999999999</v>
      </c>
      <c r="L5321" s="16" t="s">
        <v>28746</v>
      </c>
      <c r="M5321" s="12">
        <v>-75.197999999999993</v>
      </c>
      <c r="N5321" s="12">
        <v>-75.197999999999993</v>
      </c>
      <c r="O5321" s="14" t="s">
        <v>28746</v>
      </c>
      <c r="P5321" s="14" t="s">
        <v>28746</v>
      </c>
      <c r="Q5321" s="14" t="s">
        <v>28746</v>
      </c>
      <c r="R5321" s="14" t="s">
        <v>28746</v>
      </c>
    </row>
    <row r="5322" spans="1:18" ht="17" customHeight="1" x14ac:dyDescent="0.15">
      <c r="A5322" s="8" t="s">
        <v>28795</v>
      </c>
      <c r="B5322" s="9" t="s">
        <v>28796</v>
      </c>
      <c r="C5322" s="8" t="s">
        <v>28797</v>
      </c>
      <c r="D5322" s="8" t="s">
        <v>28797</v>
      </c>
      <c r="E5322" s="8" t="s">
        <v>28798</v>
      </c>
      <c r="F5322" s="8" t="s">
        <v>28743</v>
      </c>
      <c r="G5322" s="8" t="s">
        <v>28799</v>
      </c>
      <c r="H5322" s="8" t="s">
        <v>28753</v>
      </c>
      <c r="I5322" s="8" t="str">
        <f>HYPERLINK("http://www.desantis.it/","www.desantis.it")</f>
        <v>www.desantis.it</v>
      </c>
      <c r="J5322" s="10">
        <v>193.952</v>
      </c>
      <c r="K5322" s="15" t="s">
        <v>28746</v>
      </c>
      <c r="L5322" s="15" t="s">
        <v>28746</v>
      </c>
      <c r="M5322" s="10">
        <v>20.887</v>
      </c>
      <c r="N5322" s="15" t="s">
        <v>28746</v>
      </c>
      <c r="O5322" s="15" t="s">
        <v>28746</v>
      </c>
      <c r="P5322" s="10">
        <v>6</v>
      </c>
      <c r="Q5322" s="15" t="s">
        <v>28746</v>
      </c>
      <c r="R5322" s="15" t="s">
        <v>28746</v>
      </c>
    </row>
    <row r="5323" spans="1:18" ht="29.5" customHeight="1" x14ac:dyDescent="0.15">
      <c r="A5323" s="11" t="s">
        <v>28800</v>
      </c>
      <c r="B5323" s="1" t="s">
        <v>28801</v>
      </c>
      <c r="C5323" s="11" t="s">
        <v>28802</v>
      </c>
      <c r="D5323" s="11" t="s">
        <v>28802</v>
      </c>
      <c r="E5323" s="11" t="s">
        <v>28803</v>
      </c>
      <c r="F5323" s="11" t="s">
        <v>28804</v>
      </c>
      <c r="G5323" s="11" t="s">
        <v>28752</v>
      </c>
      <c r="H5323" s="11" t="s">
        <v>28753</v>
      </c>
      <c r="I5323" s="11" t="str">
        <f>HYPERLINK("http://cinturificiolbn.it/","cinturificiolbn.it")</f>
        <v>cinturificiolbn.it</v>
      </c>
      <c r="J5323" s="12">
        <v>193.614</v>
      </c>
      <c r="K5323" s="14" t="s">
        <v>28746</v>
      </c>
      <c r="L5323" s="16" t="s">
        <v>28746</v>
      </c>
      <c r="M5323" s="12">
        <v>10.973000000000001</v>
      </c>
      <c r="N5323" s="14" t="s">
        <v>28746</v>
      </c>
      <c r="O5323" s="14" t="s">
        <v>28746</v>
      </c>
      <c r="P5323" s="12">
        <v>0</v>
      </c>
      <c r="Q5323" s="14" t="s">
        <v>28746</v>
      </c>
      <c r="R5323" s="14" t="s">
        <v>28746</v>
      </c>
    </row>
    <row r="5324" spans="1:18" ht="29.5" customHeight="1" x14ac:dyDescent="0.15">
      <c r="A5324" s="8" t="s">
        <v>28805</v>
      </c>
      <c r="B5324" s="9" t="s">
        <v>28806</v>
      </c>
      <c r="C5324" s="8" t="s">
        <v>28807</v>
      </c>
      <c r="D5324" s="8" t="s">
        <v>28807</v>
      </c>
      <c r="E5324" s="8" t="s">
        <v>28808</v>
      </c>
      <c r="F5324" s="8" t="s">
        <v>28751</v>
      </c>
      <c r="G5324" s="8" t="s">
        <v>28752</v>
      </c>
      <c r="H5324" s="8" t="s">
        <v>28753</v>
      </c>
      <c r="I5324" s="8" t="str">
        <f>HYPERLINK("http://www.calzaturificioesteban.it/","http://www.calzaturificioesteban.it")</f>
        <v>http://www.calzaturificioesteban.it</v>
      </c>
      <c r="J5324" s="10">
        <v>193.18700000000001</v>
      </c>
      <c r="K5324" s="15" t="s">
        <v>28746</v>
      </c>
      <c r="L5324" s="15" t="s">
        <v>28746</v>
      </c>
      <c r="M5324" s="10">
        <v>-538.95699999999999</v>
      </c>
      <c r="N5324" s="15" t="s">
        <v>28746</v>
      </c>
      <c r="O5324" s="15" t="s">
        <v>28746</v>
      </c>
      <c r="P5324" s="10">
        <v>2</v>
      </c>
      <c r="Q5324" s="15" t="s">
        <v>28746</v>
      </c>
      <c r="R5324" s="15" t="s">
        <v>28746</v>
      </c>
    </row>
    <row r="5325" spans="1:18" ht="29.5" customHeight="1" x14ac:dyDescent="0.15">
      <c r="A5325" s="11" t="s">
        <v>28809</v>
      </c>
      <c r="B5325" s="1" t="s">
        <v>28810</v>
      </c>
      <c r="C5325" s="11" t="s">
        <v>28811</v>
      </c>
      <c r="D5325" s="11" t="s">
        <v>28811</v>
      </c>
      <c r="E5325" s="11" t="s">
        <v>28812</v>
      </c>
      <c r="F5325" s="11" t="s">
        <v>28751</v>
      </c>
      <c r="G5325" s="11" t="s">
        <v>28813</v>
      </c>
      <c r="H5325" s="11" t="s">
        <v>28814</v>
      </c>
      <c r="I5325" s="11" t="str">
        <f>HYPERLINK("http://www.latitudefemme.it/","http://www.latitudefemme.it")</f>
        <v>http://www.latitudefemme.it</v>
      </c>
      <c r="J5325" s="12">
        <v>193.131</v>
      </c>
      <c r="K5325" s="14" t="s">
        <v>28746</v>
      </c>
      <c r="L5325" s="16" t="s">
        <v>28746</v>
      </c>
      <c r="M5325" s="12">
        <v>-412.22500000000002</v>
      </c>
      <c r="N5325" s="14" t="s">
        <v>28746</v>
      </c>
      <c r="O5325" s="14" t="s">
        <v>28746</v>
      </c>
      <c r="P5325" s="12">
        <v>25</v>
      </c>
      <c r="Q5325" s="14" t="s">
        <v>28746</v>
      </c>
      <c r="R5325" s="14" t="s">
        <v>28746</v>
      </c>
    </row>
    <row r="5326" spans="1:18" ht="17" customHeight="1" x14ac:dyDescent="0.15">
      <c r="A5326" s="8" t="s">
        <v>28815</v>
      </c>
      <c r="B5326" s="9" t="s">
        <v>28816</v>
      </c>
      <c r="C5326" s="8" t="s">
        <v>28817</v>
      </c>
      <c r="D5326" s="8" t="s">
        <v>28817</v>
      </c>
      <c r="E5326" s="8" t="s">
        <v>28818</v>
      </c>
      <c r="F5326" s="8" t="s">
        <v>28792</v>
      </c>
      <c r="G5326" s="8" t="s">
        <v>28819</v>
      </c>
      <c r="H5326" s="8" t="s">
        <v>28814</v>
      </c>
      <c r="I5326" s="8" t="str">
        <f>HYPERLINK("http://take-a-wayclothing.it/","take-a-wayclothing.it")</f>
        <v>take-a-wayclothing.it</v>
      </c>
      <c r="J5326" s="10">
        <v>193.05099999999999</v>
      </c>
      <c r="K5326" s="15" t="s">
        <v>28746</v>
      </c>
      <c r="L5326" s="15" t="s">
        <v>28746</v>
      </c>
      <c r="M5326" s="10">
        <v>-15.039</v>
      </c>
      <c r="N5326" s="15" t="s">
        <v>28746</v>
      </c>
      <c r="O5326" s="15" t="s">
        <v>28746</v>
      </c>
      <c r="P5326" s="15" t="s">
        <v>28746</v>
      </c>
      <c r="Q5326" s="15" t="s">
        <v>28746</v>
      </c>
      <c r="R5326" s="15" t="s">
        <v>28746</v>
      </c>
    </row>
    <row r="5327" spans="1:18" ht="17" customHeight="1" x14ac:dyDescent="0.15">
      <c r="A5327" s="11" t="s">
        <v>28820</v>
      </c>
      <c r="B5327" s="1" t="s">
        <v>28821</v>
      </c>
      <c r="C5327" s="11" t="s">
        <v>28822</v>
      </c>
      <c r="D5327" s="11" t="s">
        <v>28822</v>
      </c>
      <c r="E5327" s="11" t="s">
        <v>28823</v>
      </c>
      <c r="F5327" s="11" t="s">
        <v>28824</v>
      </c>
      <c r="G5327" s="11" t="s">
        <v>28825</v>
      </c>
      <c r="H5327" s="11" t="s">
        <v>28753</v>
      </c>
      <c r="I5327" s="11" t="str">
        <f>HYPERLINK("http://www.deceplast.it/","www.deceplast.it")</f>
        <v>www.deceplast.it</v>
      </c>
      <c r="J5327" s="12">
        <v>191.02699999999999</v>
      </c>
      <c r="K5327" s="14" t="s">
        <v>28746</v>
      </c>
      <c r="L5327" s="16" t="s">
        <v>28746</v>
      </c>
      <c r="M5327" s="12">
        <v>-50.537999999999997</v>
      </c>
      <c r="N5327" s="14" t="s">
        <v>28746</v>
      </c>
      <c r="O5327" s="14" t="s">
        <v>28746</v>
      </c>
      <c r="P5327" s="12">
        <v>5</v>
      </c>
      <c r="Q5327" s="14" t="s">
        <v>28746</v>
      </c>
      <c r="R5327" s="14" t="s">
        <v>28746</v>
      </c>
    </row>
    <row r="5328" spans="1:18" ht="17" customHeight="1" x14ac:dyDescent="0.15">
      <c r="A5328" s="8" t="s">
        <v>28826</v>
      </c>
      <c r="B5328" s="9" t="s">
        <v>28827</v>
      </c>
      <c r="C5328" s="8" t="s">
        <v>28828</v>
      </c>
      <c r="D5328" s="8" t="s">
        <v>28828</v>
      </c>
      <c r="E5328" s="8" t="s">
        <v>28829</v>
      </c>
      <c r="F5328" s="8" t="s">
        <v>28792</v>
      </c>
      <c r="G5328" s="8" t="s">
        <v>28830</v>
      </c>
      <c r="H5328" s="8" t="s">
        <v>28765</v>
      </c>
      <c r="I5328" s="8" t="str">
        <f>HYPERLINK("http://www.brett22.it/","www.brett22.it")</f>
        <v>www.brett22.it</v>
      </c>
      <c r="J5328" s="10">
        <v>190.50200000000001</v>
      </c>
      <c r="K5328" s="10">
        <v>190.50200000000001</v>
      </c>
      <c r="L5328" s="15" t="s">
        <v>28746</v>
      </c>
      <c r="M5328" s="10">
        <v>0.3</v>
      </c>
      <c r="N5328" s="10">
        <v>0.3</v>
      </c>
      <c r="O5328" s="15" t="s">
        <v>28746</v>
      </c>
      <c r="P5328" s="10">
        <v>3</v>
      </c>
      <c r="Q5328" s="10">
        <v>3</v>
      </c>
      <c r="R5328" s="15" t="s">
        <v>28746</v>
      </c>
    </row>
    <row r="5329" spans="1:18" ht="17" customHeight="1" x14ac:dyDescent="0.15">
      <c r="A5329" s="11" t="s">
        <v>28831</v>
      </c>
      <c r="B5329" s="1" t="s">
        <v>28832</v>
      </c>
      <c r="C5329" s="11" t="s">
        <v>28833</v>
      </c>
      <c r="D5329" s="11" t="s">
        <v>28833</v>
      </c>
      <c r="E5329" s="11" t="s">
        <v>28834</v>
      </c>
      <c r="F5329" s="11" t="s">
        <v>28835</v>
      </c>
      <c r="G5329" s="11" t="s">
        <v>28819</v>
      </c>
      <c r="H5329" s="11" t="s">
        <v>28814</v>
      </c>
      <c r="I5329" s="11" t="str">
        <f>HYPERLINK("http://www.jumpers-srl.it/","www.jumpers-srl.it")</f>
        <v>www.jumpers-srl.it</v>
      </c>
      <c r="J5329" s="12">
        <v>189.624</v>
      </c>
      <c r="K5329" s="14" t="s">
        <v>28746</v>
      </c>
      <c r="L5329" s="16" t="s">
        <v>28746</v>
      </c>
      <c r="M5329" s="12">
        <v>-128.50399999999999</v>
      </c>
      <c r="N5329" s="14" t="s">
        <v>28746</v>
      </c>
      <c r="O5329" s="14" t="s">
        <v>28746</v>
      </c>
      <c r="P5329" s="12">
        <v>4</v>
      </c>
      <c r="Q5329" s="14" t="s">
        <v>28746</v>
      </c>
      <c r="R5329" s="14" t="s">
        <v>28746</v>
      </c>
    </row>
    <row r="5330" spans="1:18" ht="17" customHeight="1" x14ac:dyDescent="0.15">
      <c r="A5330" s="8" t="s">
        <v>28836</v>
      </c>
      <c r="B5330" s="9" t="s">
        <v>28837</v>
      </c>
      <c r="C5330" s="8" t="s">
        <v>28838</v>
      </c>
      <c r="D5330" s="8" t="s">
        <v>28838</v>
      </c>
      <c r="E5330" s="8" t="s">
        <v>28839</v>
      </c>
      <c r="F5330" s="8" t="s">
        <v>28763</v>
      </c>
      <c r="G5330" s="8" t="s">
        <v>28783</v>
      </c>
      <c r="H5330" s="8" t="s">
        <v>28745</v>
      </c>
      <c r="I5330" s="8" t="str">
        <f>HYPERLINK("http://www.madiscostumi.it/","www.madiscostumi.it")</f>
        <v>www.madiscostumi.it</v>
      </c>
      <c r="J5330" s="10">
        <v>187.14</v>
      </c>
      <c r="K5330" s="15" t="s">
        <v>28746</v>
      </c>
      <c r="L5330" s="15" t="s">
        <v>28746</v>
      </c>
      <c r="M5330" s="10">
        <v>2.4740000000000002</v>
      </c>
      <c r="N5330" s="15" t="s">
        <v>28746</v>
      </c>
      <c r="O5330" s="15" t="s">
        <v>28746</v>
      </c>
      <c r="P5330" s="10">
        <v>4</v>
      </c>
      <c r="Q5330" s="15" t="s">
        <v>28746</v>
      </c>
      <c r="R5330" s="15" t="s">
        <v>28746</v>
      </c>
    </row>
    <row r="5331" spans="1:18" ht="17" customHeight="1" x14ac:dyDescent="0.15">
      <c r="A5331" s="11" t="s">
        <v>28840</v>
      </c>
      <c r="B5331" s="1" t="s">
        <v>28841</v>
      </c>
      <c r="C5331" s="11" t="s">
        <v>28842</v>
      </c>
      <c r="D5331" s="11" t="s">
        <v>28842</v>
      </c>
      <c r="E5331" s="11" t="s">
        <v>28843</v>
      </c>
      <c r="F5331" s="11" t="s">
        <v>28758</v>
      </c>
      <c r="G5331" s="11" t="s">
        <v>28844</v>
      </c>
      <c r="H5331" s="11" t="s">
        <v>28845</v>
      </c>
      <c r="I5331" s="11" t="str">
        <f>HYPERLINK("http://www.sartoriamilano.com/","www.sartoriamilano.com")</f>
        <v>www.sartoriamilano.com</v>
      </c>
      <c r="J5331" s="12">
        <v>186.196</v>
      </c>
      <c r="K5331" s="12">
        <v>186.196</v>
      </c>
      <c r="L5331" s="16" t="s">
        <v>28746</v>
      </c>
      <c r="M5331" s="12">
        <v>4.3319999999999999</v>
      </c>
      <c r="N5331" s="12">
        <v>4.3319999999999999</v>
      </c>
      <c r="O5331" s="14" t="s">
        <v>28746</v>
      </c>
      <c r="P5331" s="12">
        <v>1</v>
      </c>
      <c r="Q5331" s="12">
        <v>1</v>
      </c>
      <c r="R5331" s="14" t="s">
        <v>28746</v>
      </c>
    </row>
    <row r="5332" spans="1:18" ht="29.5" customHeight="1" x14ac:dyDescent="0.15">
      <c r="A5332" s="8" t="s">
        <v>28846</v>
      </c>
      <c r="B5332" s="9" t="s">
        <v>28847</v>
      </c>
      <c r="C5332" s="8" t="s">
        <v>28848</v>
      </c>
      <c r="D5332" s="8" t="s">
        <v>28848</v>
      </c>
      <c r="E5332" s="8" t="s">
        <v>28849</v>
      </c>
      <c r="F5332" s="8" t="s">
        <v>28770</v>
      </c>
      <c r="G5332" s="8" t="s">
        <v>28783</v>
      </c>
      <c r="H5332" s="8" t="s">
        <v>28745</v>
      </c>
      <c r="I5332" s="8" t="str">
        <f>HYPERLINK("http://jollygroupsrl.it/","jollygroupsrl.it")</f>
        <v>jollygroupsrl.it</v>
      </c>
      <c r="J5332" s="10">
        <v>186.03299999999999</v>
      </c>
      <c r="K5332" s="15" t="s">
        <v>28746</v>
      </c>
      <c r="L5332" s="15" t="s">
        <v>28746</v>
      </c>
      <c r="M5332" s="10">
        <v>1.5549999999999999</v>
      </c>
      <c r="N5332" s="15" t="s">
        <v>28746</v>
      </c>
      <c r="O5332" s="15" t="s">
        <v>28746</v>
      </c>
      <c r="P5332" s="10">
        <v>8</v>
      </c>
      <c r="Q5332" s="15" t="s">
        <v>28746</v>
      </c>
      <c r="R5332" s="15" t="s">
        <v>28746</v>
      </c>
    </row>
    <row r="5333" spans="1:18" ht="17" customHeight="1" x14ac:dyDescent="0.15">
      <c r="A5333" s="11" t="s">
        <v>28850</v>
      </c>
      <c r="B5333" s="1" t="s">
        <v>28851</v>
      </c>
      <c r="C5333" s="11" t="s">
        <v>28852</v>
      </c>
      <c r="D5333" s="11" t="s">
        <v>28852</v>
      </c>
      <c r="E5333" s="11" t="s">
        <v>28853</v>
      </c>
      <c r="F5333" s="11" t="s">
        <v>28758</v>
      </c>
      <c r="G5333" s="11" t="s">
        <v>28752</v>
      </c>
      <c r="H5333" s="11" t="s">
        <v>28753</v>
      </c>
      <c r="I5333" s="11" t="str">
        <f>HYPERLINK("http://sartoriaformosa.com/","sartoriaformosa.com")</f>
        <v>sartoriaformosa.com</v>
      </c>
      <c r="J5333" s="12">
        <v>184.87</v>
      </c>
      <c r="K5333" s="14" t="s">
        <v>28746</v>
      </c>
      <c r="L5333" s="16" t="s">
        <v>28746</v>
      </c>
      <c r="M5333" s="12">
        <v>-11.53</v>
      </c>
      <c r="N5333" s="14" t="s">
        <v>28746</v>
      </c>
      <c r="O5333" s="14" t="s">
        <v>28746</v>
      </c>
      <c r="P5333" s="12">
        <v>1</v>
      </c>
      <c r="Q5333" s="14" t="s">
        <v>28746</v>
      </c>
      <c r="R5333" s="14" t="s">
        <v>28746</v>
      </c>
    </row>
    <row r="5334" spans="1:18" ht="17" customHeight="1" x14ac:dyDescent="0.15">
      <c r="A5334" s="8" t="s">
        <v>28854</v>
      </c>
      <c r="B5334" s="9" t="s">
        <v>28855</v>
      </c>
      <c r="C5334" s="8" t="s">
        <v>28856</v>
      </c>
      <c r="D5334" s="8" t="s">
        <v>28856</v>
      </c>
      <c r="E5334" s="8" t="s">
        <v>28857</v>
      </c>
      <c r="F5334" s="8" t="s">
        <v>28751</v>
      </c>
      <c r="G5334" s="8" t="s">
        <v>28752</v>
      </c>
      <c r="H5334" s="8" t="s">
        <v>28753</v>
      </c>
      <c r="I5334" s="8" t="str">
        <f>HYPERLINK("http://www.zabattigli.com/","www.zabattigli.com")</f>
        <v>www.zabattigli.com</v>
      </c>
      <c r="J5334" s="10">
        <v>183.71799999999999</v>
      </c>
      <c r="K5334" s="15" t="s">
        <v>28746</v>
      </c>
      <c r="L5334" s="15" t="s">
        <v>28746</v>
      </c>
      <c r="M5334" s="10">
        <v>-2.738</v>
      </c>
      <c r="N5334" s="15" t="s">
        <v>28746</v>
      </c>
      <c r="O5334" s="15" t="s">
        <v>28746</v>
      </c>
      <c r="P5334" s="10">
        <v>4</v>
      </c>
      <c r="Q5334" s="15" t="s">
        <v>28746</v>
      </c>
      <c r="R5334" s="15" t="s">
        <v>28746</v>
      </c>
    </row>
    <row r="5335" spans="1:18" ht="17" customHeight="1" x14ac:dyDescent="0.15">
      <c r="A5335" s="11" t="s">
        <v>28858</v>
      </c>
      <c r="B5335" s="1" t="s">
        <v>28859</v>
      </c>
      <c r="C5335" s="11" t="s">
        <v>28860</v>
      </c>
      <c r="D5335" s="11" t="s">
        <v>28860</v>
      </c>
      <c r="E5335" s="11" t="s">
        <v>28861</v>
      </c>
      <c r="F5335" s="11" t="s">
        <v>28792</v>
      </c>
      <c r="G5335" s="11" t="s">
        <v>28862</v>
      </c>
      <c r="H5335" s="11" t="s">
        <v>28814</v>
      </c>
      <c r="I5335" s="11" t="str">
        <f>HYPERLINK("http://www.captainsantors.it/","www.captainsantors.it")</f>
        <v>www.captainsantors.it</v>
      </c>
      <c r="J5335" s="12">
        <v>182.28299999999999</v>
      </c>
      <c r="K5335" s="14" t="s">
        <v>28746</v>
      </c>
      <c r="L5335" s="16" t="s">
        <v>28746</v>
      </c>
      <c r="M5335" s="12">
        <v>2.4249999999999998</v>
      </c>
      <c r="N5335" s="14" t="s">
        <v>28746</v>
      </c>
      <c r="O5335" s="14" t="s">
        <v>28746</v>
      </c>
      <c r="P5335" s="12">
        <v>0</v>
      </c>
      <c r="Q5335" s="14" t="s">
        <v>28746</v>
      </c>
      <c r="R5335" s="14" t="s">
        <v>28746</v>
      </c>
    </row>
    <row r="5336" spans="1:18" ht="29.5" customHeight="1" x14ac:dyDescent="0.15">
      <c r="A5336" s="8" t="s">
        <v>28863</v>
      </c>
      <c r="B5336" s="9" t="s">
        <v>28864</v>
      </c>
      <c r="C5336" s="8" t="s">
        <v>28865</v>
      </c>
      <c r="D5336" s="8" t="s">
        <v>28865</v>
      </c>
      <c r="E5336" s="8" t="s">
        <v>28866</v>
      </c>
      <c r="F5336" s="8" t="s">
        <v>28751</v>
      </c>
      <c r="G5336" s="8" t="s">
        <v>28867</v>
      </c>
      <c r="H5336" s="8" t="s">
        <v>28868</v>
      </c>
      <c r="I5336" s="8" t="str">
        <f>HYPERLINK("http://www.zeusandals.it/","www.zeusandals.it")</f>
        <v>www.zeusandals.it</v>
      </c>
      <c r="J5336" s="10">
        <v>178.58</v>
      </c>
      <c r="K5336" s="10">
        <v>178.58</v>
      </c>
      <c r="L5336" s="15" t="s">
        <v>28746</v>
      </c>
      <c r="M5336" s="10">
        <v>6.423</v>
      </c>
      <c r="N5336" s="10">
        <v>6.423</v>
      </c>
      <c r="O5336" s="15" t="s">
        <v>28746</v>
      </c>
      <c r="P5336" s="10">
        <v>5</v>
      </c>
      <c r="Q5336" s="10">
        <v>5</v>
      </c>
      <c r="R5336" s="15" t="s">
        <v>28746</v>
      </c>
    </row>
    <row r="5337" spans="1:18" ht="17" customHeight="1" x14ac:dyDescent="0.15">
      <c r="A5337" s="11" t="s">
        <v>28869</v>
      </c>
      <c r="B5337" s="1" t="s">
        <v>28870</v>
      </c>
      <c r="C5337" s="11" t="s">
        <v>28871</v>
      </c>
      <c r="D5337" s="11" t="s">
        <v>28871</v>
      </c>
      <c r="E5337" s="11" t="s">
        <v>28872</v>
      </c>
      <c r="F5337" s="11" t="s">
        <v>28873</v>
      </c>
      <c r="G5337" s="11" t="s">
        <v>28874</v>
      </c>
      <c r="H5337" s="11" t="s">
        <v>28875</v>
      </c>
      <c r="I5337" s="11" t="str">
        <f>HYPERLINK("http://www.novanta7.com/","www.novanta7.com")</f>
        <v>www.novanta7.com</v>
      </c>
      <c r="J5337" s="12">
        <v>174.01900000000001</v>
      </c>
      <c r="K5337" s="12">
        <v>174.01900000000001</v>
      </c>
      <c r="L5337" s="16" t="s">
        <v>28746</v>
      </c>
      <c r="M5337" s="12">
        <v>13.493</v>
      </c>
      <c r="N5337" s="12">
        <v>13.493</v>
      </c>
      <c r="O5337" s="14" t="s">
        <v>28746</v>
      </c>
      <c r="P5337" s="12">
        <v>1</v>
      </c>
      <c r="Q5337" s="12">
        <v>1</v>
      </c>
      <c r="R5337" s="14" t="s">
        <v>28746</v>
      </c>
    </row>
    <row r="5338" spans="1:18" ht="43" customHeight="1" x14ac:dyDescent="0.15">
      <c r="A5338" s="8" t="s">
        <v>28876</v>
      </c>
      <c r="B5338" s="9" t="s">
        <v>28877</v>
      </c>
      <c r="C5338" s="8" t="s">
        <v>28878</v>
      </c>
      <c r="D5338" s="8" t="s">
        <v>28878</v>
      </c>
      <c r="E5338" s="8" t="s">
        <v>28879</v>
      </c>
      <c r="F5338" s="8" t="s">
        <v>28792</v>
      </c>
      <c r="G5338" s="8" t="s">
        <v>28880</v>
      </c>
      <c r="H5338" s="8" t="s">
        <v>28772</v>
      </c>
      <c r="I5338" s="8" t="str">
        <f>HYPERLINK("http://www.cottonhill.it/","www.cottonhill.it")</f>
        <v>www.cottonhill.it</v>
      </c>
      <c r="J5338" s="10">
        <v>171.821</v>
      </c>
      <c r="K5338" s="15" t="s">
        <v>28746</v>
      </c>
      <c r="L5338" s="15" t="s">
        <v>28746</v>
      </c>
      <c r="M5338" s="10">
        <v>19.18</v>
      </c>
      <c r="N5338" s="15" t="s">
        <v>28746</v>
      </c>
      <c r="O5338" s="15" t="s">
        <v>28746</v>
      </c>
      <c r="P5338" s="10">
        <v>5</v>
      </c>
      <c r="Q5338" s="15" t="s">
        <v>28746</v>
      </c>
      <c r="R5338" s="15" t="s">
        <v>28746</v>
      </c>
    </row>
    <row r="5339" spans="1:18" ht="17" customHeight="1" x14ac:dyDescent="0.15">
      <c r="A5339" s="11" t="s">
        <v>28881</v>
      </c>
      <c r="B5339" s="1" t="s">
        <v>28882</v>
      </c>
      <c r="C5339" s="11" t="s">
        <v>28883</v>
      </c>
      <c r="D5339" s="11" t="s">
        <v>28883</v>
      </c>
      <c r="E5339" s="11" t="s">
        <v>28884</v>
      </c>
      <c r="F5339" s="11" t="s">
        <v>28885</v>
      </c>
      <c r="G5339" s="11" t="s">
        <v>28844</v>
      </c>
      <c r="H5339" s="11" t="s">
        <v>28845</v>
      </c>
      <c r="I5339" s="11" t="str">
        <f>HYPERLINK("http://www.ildeboscio.com/","www.ildeboscio.com")</f>
        <v>www.ildeboscio.com</v>
      </c>
      <c r="J5339" s="12">
        <v>170.74799999999999</v>
      </c>
      <c r="K5339" s="14" t="s">
        <v>28746</v>
      </c>
      <c r="L5339" s="16" t="s">
        <v>28746</v>
      </c>
      <c r="M5339" s="12">
        <v>-25.606000000000002</v>
      </c>
      <c r="N5339" s="14" t="s">
        <v>28746</v>
      </c>
      <c r="O5339" s="14" t="s">
        <v>28746</v>
      </c>
      <c r="P5339" s="12">
        <v>1</v>
      </c>
      <c r="Q5339" s="14" t="s">
        <v>28746</v>
      </c>
      <c r="R5339" s="14" t="s">
        <v>28746</v>
      </c>
    </row>
    <row r="5340" spans="1:18" ht="17" customHeight="1" x14ac:dyDescent="0.15">
      <c r="A5340" s="8" t="s">
        <v>28886</v>
      </c>
      <c r="B5340" s="9" t="s">
        <v>28887</v>
      </c>
      <c r="C5340" s="8" t="s">
        <v>28888</v>
      </c>
      <c r="D5340" s="8" t="s">
        <v>28888</v>
      </c>
      <c r="E5340" s="8" t="s">
        <v>28889</v>
      </c>
      <c r="F5340" s="8" t="s">
        <v>28770</v>
      </c>
      <c r="G5340" s="8" t="s">
        <v>28880</v>
      </c>
      <c r="H5340" s="8" t="s">
        <v>28772</v>
      </c>
      <c r="I5340" s="8" t="str">
        <f>HYPERLINK("http://www.hector-riccione.it/","www.hector-riccione.it")</f>
        <v>www.hector-riccione.it</v>
      </c>
      <c r="J5340" s="10">
        <v>166.453</v>
      </c>
      <c r="K5340" s="15" t="s">
        <v>28746</v>
      </c>
      <c r="L5340" s="15" t="s">
        <v>28746</v>
      </c>
      <c r="M5340" s="10">
        <v>-13.2</v>
      </c>
      <c r="N5340" s="15" t="s">
        <v>28746</v>
      </c>
      <c r="O5340" s="15" t="s">
        <v>28746</v>
      </c>
      <c r="P5340" s="10">
        <v>7</v>
      </c>
      <c r="Q5340" s="15" t="s">
        <v>28746</v>
      </c>
      <c r="R5340" s="15" t="s">
        <v>28746</v>
      </c>
    </row>
    <row r="5341" spans="1:18" ht="17" customHeight="1" x14ac:dyDescent="0.15">
      <c r="A5341" s="11" t="s">
        <v>28890</v>
      </c>
      <c r="B5341" s="1" t="s">
        <v>28891</v>
      </c>
      <c r="C5341" s="11" t="s">
        <v>28892</v>
      </c>
      <c r="D5341" s="11" t="s">
        <v>28892</v>
      </c>
      <c r="E5341" s="11" t="s">
        <v>28893</v>
      </c>
      <c r="F5341" s="11" t="s">
        <v>28894</v>
      </c>
      <c r="G5341" s="11" t="s">
        <v>28895</v>
      </c>
      <c r="H5341" s="11" t="s">
        <v>28896</v>
      </c>
      <c r="I5341" s="11" t="str">
        <f>HYPERLINK("http://www.stefanomano.it/","www.stefanomano.it")</f>
        <v>www.stefanomano.it</v>
      </c>
      <c r="J5341" s="12">
        <v>165.8</v>
      </c>
      <c r="K5341" s="14" t="s">
        <v>28746</v>
      </c>
      <c r="L5341" s="16" t="s">
        <v>28746</v>
      </c>
      <c r="M5341" s="12">
        <v>-90.069000000000003</v>
      </c>
      <c r="N5341" s="14" t="s">
        <v>28746</v>
      </c>
      <c r="O5341" s="14" t="s">
        <v>28746</v>
      </c>
      <c r="P5341" s="12">
        <v>4</v>
      </c>
      <c r="Q5341" s="14" t="s">
        <v>28746</v>
      </c>
      <c r="R5341" s="14" t="s">
        <v>28746</v>
      </c>
    </row>
    <row r="5342" spans="1:18" ht="43" customHeight="1" x14ac:dyDescent="0.15">
      <c r="A5342" s="8" t="s">
        <v>28897</v>
      </c>
      <c r="B5342" s="9" t="s">
        <v>28898</v>
      </c>
      <c r="C5342" s="8" t="s">
        <v>28899</v>
      </c>
      <c r="D5342" s="8" t="s">
        <v>28899</v>
      </c>
      <c r="E5342" s="8" t="s">
        <v>28900</v>
      </c>
      <c r="F5342" s="8" t="s">
        <v>28758</v>
      </c>
      <c r="G5342" s="8" t="s">
        <v>28744</v>
      </c>
      <c r="H5342" s="8" t="s">
        <v>28745</v>
      </c>
      <c r="I5342" s="8" t="str">
        <f>HYPERLINK("http://www.miryampieralisi.it/","www.miryampieralisi.it")</f>
        <v>www.miryampieralisi.it</v>
      </c>
      <c r="J5342" s="10">
        <v>162.417</v>
      </c>
      <c r="K5342" s="15" t="s">
        <v>28746</v>
      </c>
      <c r="L5342" s="15" t="s">
        <v>28746</v>
      </c>
      <c r="M5342" s="10">
        <v>24.154</v>
      </c>
      <c r="N5342" s="15" t="s">
        <v>28746</v>
      </c>
      <c r="O5342" s="15" t="s">
        <v>28746</v>
      </c>
      <c r="P5342" s="10">
        <v>1</v>
      </c>
      <c r="Q5342" s="15" t="s">
        <v>28746</v>
      </c>
      <c r="R5342" s="15" t="s">
        <v>28746</v>
      </c>
    </row>
    <row r="5343" spans="1:18" ht="81.75" customHeight="1" x14ac:dyDescent="0.15">
      <c r="A5343" s="11" t="s">
        <v>28901</v>
      </c>
      <c r="B5343" s="1" t="s">
        <v>28902</v>
      </c>
      <c r="C5343" s="11" t="s">
        <v>28903</v>
      </c>
      <c r="D5343" s="11" t="s">
        <v>28903</v>
      </c>
      <c r="E5343" s="11" t="s">
        <v>28904</v>
      </c>
      <c r="F5343" s="11" t="s">
        <v>28824</v>
      </c>
      <c r="G5343" s="11" t="s">
        <v>28764</v>
      </c>
      <c r="H5343" s="11" t="s">
        <v>28765</v>
      </c>
      <c r="I5343" s="11" t="str">
        <f>HYPERLINK("http://www.v1b3.it/","www.v1b3.it")</f>
        <v>www.v1b3.it</v>
      </c>
      <c r="J5343" s="12">
        <v>162.17699999999999</v>
      </c>
      <c r="K5343" s="12">
        <v>162.17699999999999</v>
      </c>
      <c r="L5343" s="16" t="s">
        <v>28746</v>
      </c>
      <c r="M5343" s="12">
        <v>12.544</v>
      </c>
      <c r="N5343" s="12">
        <v>12.544</v>
      </c>
      <c r="O5343" s="14" t="s">
        <v>28746</v>
      </c>
      <c r="P5343" s="12">
        <v>1</v>
      </c>
      <c r="Q5343" s="12">
        <v>1</v>
      </c>
      <c r="R5343" s="14" t="s">
        <v>28746</v>
      </c>
    </row>
    <row r="5344" spans="1:18" ht="43" customHeight="1" x14ac:dyDescent="0.15">
      <c r="A5344" s="8" t="s">
        <v>28905</v>
      </c>
      <c r="B5344" s="9" t="s">
        <v>28906</v>
      </c>
      <c r="C5344" s="8" t="s">
        <v>28907</v>
      </c>
      <c r="D5344" s="8" t="s">
        <v>28907</v>
      </c>
      <c r="E5344" s="8" t="s">
        <v>28908</v>
      </c>
      <c r="F5344" s="8" t="s">
        <v>28792</v>
      </c>
      <c r="G5344" s="8" t="s">
        <v>28909</v>
      </c>
      <c r="H5344" s="8" t="s">
        <v>28778</v>
      </c>
      <c r="I5344" s="8" t="str">
        <f>HYPERLINK("http://www.moda-service.it/","www.moda-service.it")</f>
        <v>www.moda-service.it</v>
      </c>
      <c r="J5344" s="10">
        <v>162.065</v>
      </c>
      <c r="K5344" s="10">
        <v>162.065</v>
      </c>
      <c r="L5344" s="15" t="s">
        <v>28746</v>
      </c>
      <c r="M5344" s="10">
        <v>5.7759999999999998</v>
      </c>
      <c r="N5344" s="10">
        <v>5.7759999999999998</v>
      </c>
      <c r="O5344" s="15" t="s">
        <v>28746</v>
      </c>
      <c r="P5344" s="15" t="s">
        <v>28746</v>
      </c>
      <c r="Q5344" s="15" t="s">
        <v>28746</v>
      </c>
      <c r="R5344" s="15" t="s">
        <v>28746</v>
      </c>
    </row>
    <row r="5345" spans="1:18" ht="17" customHeight="1" x14ac:dyDescent="0.15">
      <c r="A5345" s="11" t="s">
        <v>28910</v>
      </c>
      <c r="B5345" s="1" t="s">
        <v>28911</v>
      </c>
      <c r="C5345" s="11" t="s">
        <v>28912</v>
      </c>
      <c r="D5345" s="11" t="s">
        <v>28912</v>
      </c>
      <c r="E5345" s="11" t="s">
        <v>28913</v>
      </c>
      <c r="F5345" s="11" t="s">
        <v>28914</v>
      </c>
      <c r="G5345" s="11" t="s">
        <v>28915</v>
      </c>
      <c r="H5345" s="11" t="s">
        <v>28916</v>
      </c>
      <c r="I5345" s="11" t="str">
        <f>HYPERLINK("http://www.anteasposa.com/","www.anteasposa.com")</f>
        <v>www.anteasposa.com</v>
      </c>
      <c r="J5345" s="12">
        <v>158.852</v>
      </c>
      <c r="K5345" s="14" t="s">
        <v>28917</v>
      </c>
      <c r="L5345" s="16" t="s">
        <v>28917</v>
      </c>
      <c r="M5345" s="12">
        <v>-39.393999999999998</v>
      </c>
      <c r="N5345" s="14" t="s">
        <v>28917</v>
      </c>
      <c r="O5345" s="14" t="s">
        <v>28917</v>
      </c>
      <c r="P5345" s="12">
        <v>2</v>
      </c>
      <c r="Q5345" s="14" t="s">
        <v>28917</v>
      </c>
      <c r="R5345" s="14" t="s">
        <v>28917</v>
      </c>
    </row>
    <row r="5346" spans="1:18" ht="17" customHeight="1" x14ac:dyDescent="0.15">
      <c r="A5346" s="8" t="s">
        <v>28918</v>
      </c>
      <c r="B5346" s="9" t="s">
        <v>28919</v>
      </c>
      <c r="C5346" s="8" t="s">
        <v>28920</v>
      </c>
      <c r="D5346" s="8" t="s">
        <v>28920</v>
      </c>
      <c r="E5346" s="8" t="s">
        <v>28921</v>
      </c>
      <c r="F5346" s="8" t="s">
        <v>28922</v>
      </c>
      <c r="G5346" s="8" t="s">
        <v>28923</v>
      </c>
      <c r="H5346" s="8" t="s">
        <v>28924</v>
      </c>
      <c r="I5346" s="8" t="str">
        <f>HYPERLINK("http://www.centrowell.it/","www.centrowell.it")</f>
        <v>www.centrowell.it</v>
      </c>
      <c r="J5346" s="10">
        <v>155.69999999999999</v>
      </c>
      <c r="K5346" s="15" t="s">
        <v>28917</v>
      </c>
      <c r="L5346" s="15" t="s">
        <v>28917</v>
      </c>
      <c r="M5346" s="10">
        <v>0.748</v>
      </c>
      <c r="N5346" s="15" t="s">
        <v>28917</v>
      </c>
      <c r="O5346" s="15" t="s">
        <v>28917</v>
      </c>
      <c r="P5346" s="10">
        <v>11</v>
      </c>
      <c r="Q5346" s="15" t="s">
        <v>28917</v>
      </c>
      <c r="R5346" s="15" t="s">
        <v>28917</v>
      </c>
    </row>
    <row r="5347" spans="1:18" ht="29.5" customHeight="1" x14ac:dyDescent="0.15">
      <c r="A5347" s="11" t="s">
        <v>28925</v>
      </c>
      <c r="B5347" s="1" t="s">
        <v>28926</v>
      </c>
      <c r="C5347" s="11" t="s">
        <v>28927</v>
      </c>
      <c r="D5347" s="11" t="s">
        <v>28927</v>
      </c>
      <c r="E5347" s="11" t="s">
        <v>28928</v>
      </c>
      <c r="F5347" s="11" t="s">
        <v>28929</v>
      </c>
      <c r="G5347" s="11" t="s">
        <v>28930</v>
      </c>
      <c r="H5347" s="11" t="s">
        <v>28931</v>
      </c>
      <c r="I5347" s="11" t="str">
        <f>HYPERLINK("http://it.federicoprice.com/","it.federicoprice.com")</f>
        <v>it.federicoprice.com</v>
      </c>
      <c r="J5347" s="12">
        <v>155.369</v>
      </c>
      <c r="K5347" s="14" t="s">
        <v>28917</v>
      </c>
      <c r="L5347" s="16" t="s">
        <v>28917</v>
      </c>
      <c r="M5347" s="12">
        <v>6.0039999999999996</v>
      </c>
      <c r="N5347" s="14" t="s">
        <v>28917</v>
      </c>
      <c r="O5347" s="14" t="s">
        <v>28917</v>
      </c>
      <c r="P5347" s="12">
        <v>0</v>
      </c>
      <c r="Q5347" s="14" t="s">
        <v>28917</v>
      </c>
      <c r="R5347" s="14" t="s">
        <v>28917</v>
      </c>
    </row>
    <row r="5348" spans="1:18" ht="17" customHeight="1" x14ac:dyDescent="0.15">
      <c r="A5348" s="8" t="s">
        <v>28932</v>
      </c>
      <c r="B5348" s="9" t="s">
        <v>28933</v>
      </c>
      <c r="C5348" s="8" t="s">
        <v>28934</v>
      </c>
      <c r="D5348" s="8" t="s">
        <v>28934</v>
      </c>
      <c r="E5348" s="8" t="s">
        <v>28935</v>
      </c>
      <c r="F5348" s="8" t="s">
        <v>28936</v>
      </c>
      <c r="G5348" s="8" t="s">
        <v>28937</v>
      </c>
      <c r="H5348" s="8" t="s">
        <v>28938</v>
      </c>
      <c r="I5348" s="8" t="str">
        <f>HYPERLINK("http://www.calzatureroma.it/","www.calzatureroma.it")</f>
        <v>www.calzatureroma.it</v>
      </c>
      <c r="J5348" s="10">
        <v>154.971</v>
      </c>
      <c r="K5348" s="15" t="s">
        <v>28917</v>
      </c>
      <c r="L5348" s="15" t="s">
        <v>28917</v>
      </c>
      <c r="M5348" s="10">
        <v>-156.203</v>
      </c>
      <c r="N5348" s="15" t="s">
        <v>28917</v>
      </c>
      <c r="O5348" s="15" t="s">
        <v>28917</v>
      </c>
      <c r="P5348" s="10">
        <v>1</v>
      </c>
      <c r="Q5348" s="15" t="s">
        <v>28917</v>
      </c>
      <c r="R5348" s="15" t="s">
        <v>28917</v>
      </c>
    </row>
    <row r="5349" spans="1:18" ht="17" customHeight="1" x14ac:dyDescent="0.15">
      <c r="A5349" s="11" t="s">
        <v>28939</v>
      </c>
      <c r="B5349" s="1" t="s">
        <v>28940</v>
      </c>
      <c r="C5349" s="11" t="s">
        <v>28941</v>
      </c>
      <c r="D5349" s="11" t="s">
        <v>28941</v>
      </c>
      <c r="E5349" s="11" t="s">
        <v>28942</v>
      </c>
      <c r="F5349" s="11" t="s">
        <v>28943</v>
      </c>
      <c r="G5349" s="11" t="s">
        <v>28944</v>
      </c>
      <c r="H5349" s="11" t="s">
        <v>28945</v>
      </c>
      <c r="I5349" s="11" t="str">
        <f>HYPERLINK("http://www.essetiesse.info/","www.essetiesse.info")</f>
        <v>www.essetiesse.info</v>
      </c>
      <c r="J5349" s="12">
        <v>154.089</v>
      </c>
      <c r="K5349" s="14" t="s">
        <v>28917</v>
      </c>
      <c r="L5349" s="16" t="s">
        <v>28917</v>
      </c>
      <c r="M5349" s="12">
        <v>20.812999999999999</v>
      </c>
      <c r="N5349" s="14" t="s">
        <v>28917</v>
      </c>
      <c r="O5349" s="14" t="s">
        <v>28917</v>
      </c>
      <c r="P5349" s="12">
        <v>3</v>
      </c>
      <c r="Q5349" s="14" t="s">
        <v>28917</v>
      </c>
      <c r="R5349" s="14" t="s">
        <v>28917</v>
      </c>
    </row>
    <row r="5350" spans="1:18" ht="29.5" customHeight="1" x14ac:dyDescent="0.15">
      <c r="A5350" s="8" t="s">
        <v>28946</v>
      </c>
      <c r="B5350" s="9" t="s">
        <v>28947</v>
      </c>
      <c r="C5350" s="8" t="s">
        <v>28948</v>
      </c>
      <c r="D5350" s="8" t="s">
        <v>28948</v>
      </c>
      <c r="E5350" s="8" t="s">
        <v>28949</v>
      </c>
      <c r="F5350" s="8" t="s">
        <v>28950</v>
      </c>
      <c r="G5350" s="8" t="s">
        <v>28951</v>
      </c>
      <c r="H5350" s="8" t="s">
        <v>28916</v>
      </c>
      <c r="I5350" s="8" t="str">
        <f>HYPERLINK("http://www.criscishoes.com/","www.criscishoes.com")</f>
        <v>www.criscishoes.com</v>
      </c>
      <c r="J5350" s="10">
        <v>151.13200000000001</v>
      </c>
      <c r="K5350" s="15" t="s">
        <v>28917</v>
      </c>
      <c r="L5350" s="15" t="s">
        <v>28917</v>
      </c>
      <c r="M5350" s="10">
        <v>-10.228999999999999</v>
      </c>
      <c r="N5350" s="15" t="s">
        <v>28917</v>
      </c>
      <c r="O5350" s="15" t="s">
        <v>28917</v>
      </c>
      <c r="P5350" s="10">
        <v>6</v>
      </c>
      <c r="Q5350" s="15" t="s">
        <v>28917</v>
      </c>
      <c r="R5350" s="15" t="s">
        <v>28917</v>
      </c>
    </row>
    <row r="5351" spans="1:18" ht="17" customHeight="1" x14ac:dyDescent="0.15">
      <c r="A5351" s="11" t="s">
        <v>28952</v>
      </c>
      <c r="B5351" s="1" t="s">
        <v>28953</v>
      </c>
      <c r="C5351" s="11" t="s">
        <v>28954</v>
      </c>
      <c r="D5351" s="11" t="s">
        <v>28954</v>
      </c>
      <c r="E5351" s="11" t="s">
        <v>28955</v>
      </c>
      <c r="F5351" s="11" t="s">
        <v>28936</v>
      </c>
      <c r="G5351" s="11" t="s">
        <v>28956</v>
      </c>
      <c r="H5351" s="11" t="s">
        <v>28957</v>
      </c>
      <c r="I5351" s="11" t="str">
        <f>HYPERLINK("http://unroyal.it/","unroyal.it")</f>
        <v>unroyal.it</v>
      </c>
      <c r="J5351" s="12">
        <v>149.51</v>
      </c>
      <c r="K5351" s="12">
        <v>149.51</v>
      </c>
      <c r="L5351" s="16" t="s">
        <v>28917</v>
      </c>
      <c r="M5351" s="12">
        <v>0.34399999999999997</v>
      </c>
      <c r="N5351" s="12">
        <v>0.34399999999999997</v>
      </c>
      <c r="O5351" s="14" t="s">
        <v>28917</v>
      </c>
      <c r="P5351" s="12">
        <v>0</v>
      </c>
      <c r="Q5351" s="12">
        <v>0</v>
      </c>
      <c r="R5351" s="14" t="s">
        <v>28917</v>
      </c>
    </row>
    <row r="5352" spans="1:18" ht="17" customHeight="1" x14ac:dyDescent="0.15">
      <c r="A5352" s="8" t="s">
        <v>28958</v>
      </c>
      <c r="B5352" s="9" t="s">
        <v>28959</v>
      </c>
      <c r="C5352" s="8" t="s">
        <v>28960</v>
      </c>
      <c r="D5352" s="8" t="s">
        <v>28960</v>
      </c>
      <c r="E5352" s="8" t="s">
        <v>28961</v>
      </c>
      <c r="F5352" s="8" t="s">
        <v>28962</v>
      </c>
      <c r="G5352" s="8" t="s">
        <v>28963</v>
      </c>
      <c r="H5352" s="8" t="s">
        <v>28931</v>
      </c>
      <c r="I5352" s="8" t="str">
        <f>HYPERLINK("http://www.abitekitalia.com/","www.abitekitalia.com")</f>
        <v>www.abitekitalia.com</v>
      </c>
      <c r="J5352" s="10">
        <v>146.85300000000001</v>
      </c>
      <c r="K5352" s="15" t="s">
        <v>28917</v>
      </c>
      <c r="L5352" s="15" t="s">
        <v>28917</v>
      </c>
      <c r="M5352" s="10">
        <v>0.13400000000000001</v>
      </c>
      <c r="N5352" s="15" t="s">
        <v>28917</v>
      </c>
      <c r="O5352" s="15" t="s">
        <v>28917</v>
      </c>
      <c r="P5352" s="10">
        <v>4</v>
      </c>
      <c r="Q5352" s="15" t="s">
        <v>28917</v>
      </c>
      <c r="R5352" s="15" t="s">
        <v>28917</v>
      </c>
    </row>
    <row r="5353" spans="1:18" ht="17" customHeight="1" x14ac:dyDescent="0.15">
      <c r="A5353" s="11" t="s">
        <v>28964</v>
      </c>
      <c r="B5353" s="1" t="s">
        <v>28965</v>
      </c>
      <c r="C5353" s="11" t="s">
        <v>28966</v>
      </c>
      <c r="D5353" s="11" t="s">
        <v>28967</v>
      </c>
      <c r="E5353" s="11" t="s">
        <v>28968</v>
      </c>
      <c r="F5353" s="11" t="s">
        <v>28950</v>
      </c>
      <c r="G5353" s="11" t="s">
        <v>28915</v>
      </c>
      <c r="H5353" s="11" t="s">
        <v>28916</v>
      </c>
      <c r="I5353" s="11" t="str">
        <f>HYPERLINK("http://yoditalia.it/","yoditalia.it")</f>
        <v>yoditalia.it</v>
      </c>
      <c r="J5353" s="12">
        <v>146.96899999999999</v>
      </c>
      <c r="K5353" s="12">
        <v>146.96899999999999</v>
      </c>
      <c r="L5353" s="16" t="s">
        <v>28917</v>
      </c>
      <c r="M5353" s="12">
        <v>5.7569999999999997</v>
      </c>
      <c r="N5353" s="12">
        <v>5.7569999999999997</v>
      </c>
      <c r="O5353" s="14" t="s">
        <v>28917</v>
      </c>
      <c r="P5353" s="12">
        <v>3</v>
      </c>
      <c r="Q5353" s="12">
        <v>3</v>
      </c>
      <c r="R5353" s="14" t="s">
        <v>28917</v>
      </c>
    </row>
    <row r="5354" spans="1:18" ht="17" customHeight="1" x14ac:dyDescent="0.15">
      <c r="A5354" s="8" t="s">
        <v>28969</v>
      </c>
      <c r="B5354" s="9" t="s">
        <v>28970</v>
      </c>
      <c r="C5354" s="8" t="s">
        <v>28971</v>
      </c>
      <c r="D5354" s="8" t="s">
        <v>28971</v>
      </c>
      <c r="E5354" s="8" t="s">
        <v>28972</v>
      </c>
      <c r="F5354" s="8" t="s">
        <v>28973</v>
      </c>
      <c r="G5354" s="8" t="s">
        <v>28974</v>
      </c>
      <c r="H5354" s="8" t="s">
        <v>28975</v>
      </c>
      <c r="I5354" s="8" t="str">
        <f>HYPERLINK("http://www.seven-gauge.com/","www.seven-gauge.com")</f>
        <v>www.seven-gauge.com</v>
      </c>
      <c r="J5354" s="10">
        <v>145.489</v>
      </c>
      <c r="K5354" s="10">
        <v>145.489</v>
      </c>
      <c r="L5354" s="15" t="s">
        <v>28917</v>
      </c>
      <c r="M5354" s="10">
        <v>-219.208</v>
      </c>
      <c r="N5354" s="10">
        <v>-219.208</v>
      </c>
      <c r="O5354" s="15" t="s">
        <v>28917</v>
      </c>
      <c r="P5354" s="10">
        <v>0</v>
      </c>
      <c r="Q5354" s="10">
        <v>0</v>
      </c>
      <c r="R5354" s="15" t="s">
        <v>28917</v>
      </c>
    </row>
    <row r="5355" spans="1:18" ht="17" customHeight="1" x14ac:dyDescent="0.15">
      <c r="A5355" s="11" t="s">
        <v>28976</v>
      </c>
      <c r="B5355" s="1" t="s">
        <v>28977</v>
      </c>
      <c r="C5355" s="11" t="s">
        <v>28978</v>
      </c>
      <c r="D5355" s="11" t="s">
        <v>28978</v>
      </c>
      <c r="E5355" s="11" t="s">
        <v>28979</v>
      </c>
      <c r="F5355" s="11" t="s">
        <v>28936</v>
      </c>
      <c r="G5355" s="11" t="s">
        <v>28937</v>
      </c>
      <c r="H5355" s="11" t="s">
        <v>28938</v>
      </c>
      <c r="I5355" s="11" t="str">
        <f>HYPERLINK("http://www.ixosshoes.com/","www.ixosshoes.com")</f>
        <v>www.ixosshoes.com</v>
      </c>
      <c r="J5355" s="12">
        <v>144.90600000000001</v>
      </c>
      <c r="K5355" s="14" t="s">
        <v>28917</v>
      </c>
      <c r="L5355" s="16" t="s">
        <v>28917</v>
      </c>
      <c r="M5355" s="12">
        <v>-342.14100000000002</v>
      </c>
      <c r="N5355" s="14" t="s">
        <v>28917</v>
      </c>
      <c r="O5355" s="14" t="s">
        <v>28917</v>
      </c>
      <c r="P5355" s="12">
        <v>0</v>
      </c>
      <c r="Q5355" s="14" t="s">
        <v>28917</v>
      </c>
      <c r="R5355" s="14" t="s">
        <v>28917</v>
      </c>
    </row>
    <row r="5356" spans="1:18" ht="17" customHeight="1" x14ac:dyDescent="0.15">
      <c r="A5356" s="8" t="s">
        <v>28980</v>
      </c>
      <c r="B5356" s="9" t="s">
        <v>28981</v>
      </c>
      <c r="C5356" s="8" t="s">
        <v>28982</v>
      </c>
      <c r="D5356" s="8" t="s">
        <v>28982</v>
      </c>
      <c r="E5356" s="8" t="s">
        <v>28983</v>
      </c>
      <c r="F5356" s="8" t="s">
        <v>28929</v>
      </c>
      <c r="G5356" s="8" t="s">
        <v>28937</v>
      </c>
      <c r="H5356" s="8" t="s">
        <v>28938</v>
      </c>
      <c r="I5356" s="8" t="str">
        <f>HYPERLINK("http://www.gorbinipelle.it/","www.gorbinipelle.it")</f>
        <v>www.gorbinipelle.it</v>
      </c>
      <c r="J5356" s="10">
        <v>144.13900000000001</v>
      </c>
      <c r="K5356" s="15" t="s">
        <v>28917</v>
      </c>
      <c r="L5356" s="15" t="s">
        <v>28917</v>
      </c>
      <c r="M5356" s="10">
        <v>4.3860000000000001</v>
      </c>
      <c r="N5356" s="15" t="s">
        <v>28917</v>
      </c>
      <c r="O5356" s="15" t="s">
        <v>28917</v>
      </c>
      <c r="P5356" s="10">
        <v>2</v>
      </c>
      <c r="Q5356" s="15" t="s">
        <v>28917</v>
      </c>
      <c r="R5356" s="15" t="s">
        <v>28917</v>
      </c>
    </row>
    <row r="5357" spans="1:18" ht="17" customHeight="1" x14ac:dyDescent="0.15">
      <c r="A5357" s="11" t="s">
        <v>28984</v>
      </c>
      <c r="B5357" s="1" t="s">
        <v>28985</v>
      </c>
      <c r="C5357" s="11" t="s">
        <v>28986</v>
      </c>
      <c r="D5357" s="11" t="s">
        <v>28986</v>
      </c>
      <c r="E5357" s="11" t="s">
        <v>28987</v>
      </c>
      <c r="F5357" s="11" t="s">
        <v>28988</v>
      </c>
      <c r="G5357" s="11" t="s">
        <v>28989</v>
      </c>
      <c r="H5357" s="11" t="s">
        <v>28916</v>
      </c>
      <c r="I5357" s="11" t="str">
        <f>HYPERLINK("http://www.izzopelli.com/","www.izzopelli.com")</f>
        <v>www.izzopelli.com</v>
      </c>
      <c r="J5357" s="12">
        <v>144.01499999999999</v>
      </c>
      <c r="K5357" s="14" t="s">
        <v>28917</v>
      </c>
      <c r="L5357" s="16" t="s">
        <v>28917</v>
      </c>
      <c r="M5357" s="12">
        <v>-1286.903</v>
      </c>
      <c r="N5357" s="14" t="s">
        <v>28917</v>
      </c>
      <c r="O5357" s="14" t="s">
        <v>28917</v>
      </c>
      <c r="P5357" s="12">
        <v>27</v>
      </c>
      <c r="Q5357" s="14" t="s">
        <v>28917</v>
      </c>
      <c r="R5357" s="14" t="s">
        <v>28917</v>
      </c>
    </row>
    <row r="5358" spans="1:18" ht="17" customHeight="1" x14ac:dyDescent="0.15">
      <c r="A5358" s="8" t="s">
        <v>28990</v>
      </c>
      <c r="B5358" s="9" t="s">
        <v>28991</v>
      </c>
      <c r="C5358" s="8" t="s">
        <v>28992</v>
      </c>
      <c r="D5358" s="8" t="s">
        <v>28992</v>
      </c>
      <c r="E5358" s="8" t="s">
        <v>28993</v>
      </c>
      <c r="F5358" s="8" t="s">
        <v>28994</v>
      </c>
      <c r="G5358" s="8" t="s">
        <v>28995</v>
      </c>
      <c r="H5358" s="8" t="s">
        <v>28996</v>
      </c>
      <c r="I5358" s="8" t="str">
        <f>HYPERLINK("http://www.calzedelbarba.biz/","www.calzedelbarba.biz")</f>
        <v>www.calzedelbarba.biz</v>
      </c>
      <c r="J5358" s="10">
        <v>142.654</v>
      </c>
      <c r="K5358" s="10">
        <v>86.572000000000003</v>
      </c>
      <c r="L5358" s="15" t="s">
        <v>28917</v>
      </c>
      <c r="M5358" s="10">
        <v>11.103</v>
      </c>
      <c r="N5358" s="10">
        <v>4.3019999999999996</v>
      </c>
      <c r="O5358" s="15" t="s">
        <v>28917</v>
      </c>
      <c r="P5358" s="10">
        <v>2</v>
      </c>
      <c r="Q5358" s="10">
        <v>3</v>
      </c>
      <c r="R5358" s="15" t="s">
        <v>28917</v>
      </c>
    </row>
    <row r="5359" spans="1:18" ht="17" customHeight="1" x14ac:dyDescent="0.15">
      <c r="A5359" s="11" t="s">
        <v>28997</v>
      </c>
      <c r="B5359" s="1" t="s">
        <v>28998</v>
      </c>
      <c r="C5359" s="11" t="s">
        <v>28999</v>
      </c>
      <c r="D5359" s="11" t="s">
        <v>28999</v>
      </c>
      <c r="E5359" s="11" t="s">
        <v>29000</v>
      </c>
      <c r="F5359" s="11" t="s">
        <v>28914</v>
      </c>
      <c r="G5359" s="11" t="s">
        <v>28951</v>
      </c>
      <c r="H5359" s="11" t="s">
        <v>28916</v>
      </c>
      <c r="I5359" s="11" t="str">
        <f>HYPERLINK("http://www.sartoriaformosa.it/","www.sartoriaformosa.it")</f>
        <v>www.sartoriaformosa.it</v>
      </c>
      <c r="J5359" s="12">
        <v>140.88200000000001</v>
      </c>
      <c r="K5359" s="14" t="s">
        <v>28917</v>
      </c>
      <c r="L5359" s="16" t="s">
        <v>28917</v>
      </c>
      <c r="M5359" s="12">
        <v>35.664999999999999</v>
      </c>
      <c r="N5359" s="14" t="s">
        <v>28917</v>
      </c>
      <c r="O5359" s="14" t="s">
        <v>28917</v>
      </c>
      <c r="P5359" s="12">
        <v>0</v>
      </c>
      <c r="Q5359" s="14" t="s">
        <v>28917</v>
      </c>
      <c r="R5359" s="14" t="s">
        <v>28917</v>
      </c>
    </row>
    <row r="5360" spans="1:18" ht="17" customHeight="1" x14ac:dyDescent="0.15">
      <c r="A5360" s="8" t="s">
        <v>29001</v>
      </c>
      <c r="B5360" s="9" t="s">
        <v>29002</v>
      </c>
      <c r="C5360" s="8" t="s">
        <v>29003</v>
      </c>
      <c r="D5360" s="8" t="s">
        <v>29003</v>
      </c>
      <c r="E5360" s="8" t="s">
        <v>29004</v>
      </c>
      <c r="F5360" s="8" t="s">
        <v>28973</v>
      </c>
      <c r="G5360" s="8" t="s">
        <v>29005</v>
      </c>
      <c r="H5360" s="8" t="s">
        <v>28996</v>
      </c>
      <c r="I5360" s="8" t="str">
        <f>HYPERLINK("http://www.cinture.lombardia.it/","www.cinture.lombardia.it")</f>
        <v>www.cinture.lombardia.it</v>
      </c>
      <c r="J5360" s="10">
        <v>140.72900000000001</v>
      </c>
      <c r="K5360" s="15" t="s">
        <v>28917</v>
      </c>
      <c r="L5360" s="15" t="s">
        <v>28917</v>
      </c>
      <c r="M5360" s="10">
        <v>0.02</v>
      </c>
      <c r="N5360" s="15" t="s">
        <v>28917</v>
      </c>
      <c r="O5360" s="15" t="s">
        <v>28917</v>
      </c>
      <c r="P5360" s="10">
        <v>2</v>
      </c>
      <c r="Q5360" s="15" t="s">
        <v>28917</v>
      </c>
      <c r="R5360" s="15" t="s">
        <v>28917</v>
      </c>
    </row>
    <row r="5361" spans="1:18" ht="29.5" customHeight="1" x14ac:dyDescent="0.15">
      <c r="A5361" s="11" t="s">
        <v>29006</v>
      </c>
      <c r="B5361" s="1" t="s">
        <v>29007</v>
      </c>
      <c r="C5361" s="11" t="s">
        <v>29008</v>
      </c>
      <c r="D5361" s="11" t="s">
        <v>29008</v>
      </c>
      <c r="E5361" s="11" t="s">
        <v>29009</v>
      </c>
      <c r="F5361" s="11" t="s">
        <v>29010</v>
      </c>
      <c r="G5361" s="11" t="s">
        <v>29011</v>
      </c>
      <c r="H5361" s="11" t="s">
        <v>29012</v>
      </c>
      <c r="I5361" s="11" t="str">
        <f>HYPERLINK("http://www.confezionidonnacontoterzi.com/","www.confezionidonnacontoterzi.com")</f>
        <v>www.confezionidonnacontoterzi.com</v>
      </c>
      <c r="J5361" s="12">
        <v>140.09399999999999</v>
      </c>
      <c r="K5361" s="14" t="s">
        <v>28917</v>
      </c>
      <c r="L5361" s="16" t="s">
        <v>28917</v>
      </c>
      <c r="M5361" s="12">
        <v>21.425999999999998</v>
      </c>
      <c r="N5361" s="14" t="s">
        <v>28917</v>
      </c>
      <c r="O5361" s="14" t="s">
        <v>28917</v>
      </c>
      <c r="P5361" s="12">
        <v>5</v>
      </c>
      <c r="Q5361" s="14" t="s">
        <v>28917</v>
      </c>
      <c r="R5361" s="14" t="s">
        <v>28917</v>
      </c>
    </row>
    <row r="5362" spans="1:18" ht="17" customHeight="1" x14ac:dyDescent="0.15">
      <c r="A5362" s="8" t="s">
        <v>29013</v>
      </c>
      <c r="B5362" s="9" t="s">
        <v>29014</v>
      </c>
      <c r="C5362" s="8" t="s">
        <v>29015</v>
      </c>
      <c r="D5362" s="8" t="s">
        <v>29015</v>
      </c>
      <c r="E5362" s="8" t="s">
        <v>29016</v>
      </c>
      <c r="F5362" s="8" t="s">
        <v>29017</v>
      </c>
      <c r="G5362" s="8" t="s">
        <v>29018</v>
      </c>
      <c r="H5362" s="8" t="s">
        <v>28996</v>
      </c>
      <c r="I5362" s="8" t="str">
        <f>HYPERLINK("http://www.bebaline.it/","www.bebaline.it")</f>
        <v>www.bebaline.it</v>
      </c>
      <c r="J5362" s="10">
        <v>139.999</v>
      </c>
      <c r="K5362" s="15" t="s">
        <v>28917</v>
      </c>
      <c r="L5362" s="15" t="s">
        <v>28917</v>
      </c>
      <c r="M5362" s="10">
        <v>-30.289000000000001</v>
      </c>
      <c r="N5362" s="15" t="s">
        <v>28917</v>
      </c>
      <c r="O5362" s="15" t="s">
        <v>28917</v>
      </c>
      <c r="P5362" s="10">
        <v>2</v>
      </c>
      <c r="Q5362" s="15" t="s">
        <v>28917</v>
      </c>
      <c r="R5362" s="15" t="s">
        <v>28917</v>
      </c>
    </row>
    <row r="5363" spans="1:18" ht="17" customHeight="1" x14ac:dyDescent="0.15">
      <c r="A5363" s="11" t="s">
        <v>29019</v>
      </c>
      <c r="B5363" s="1" t="s">
        <v>29020</v>
      </c>
      <c r="C5363" s="11" t="s">
        <v>29021</v>
      </c>
      <c r="D5363" s="11" t="s">
        <v>29021</v>
      </c>
      <c r="E5363" s="11" t="s">
        <v>29022</v>
      </c>
      <c r="F5363" s="11" t="s">
        <v>29023</v>
      </c>
      <c r="G5363" s="11" t="s">
        <v>29024</v>
      </c>
      <c r="H5363" s="11" t="s">
        <v>29012</v>
      </c>
      <c r="I5363" s="11" t="str">
        <f>HYPERLINK("http://www.camiciain.com/","www.camiciain.com")</f>
        <v>www.camiciain.com</v>
      </c>
      <c r="J5363" s="12">
        <v>139.40700000000001</v>
      </c>
      <c r="K5363" s="14" t="s">
        <v>28917</v>
      </c>
      <c r="L5363" s="16" t="s">
        <v>28917</v>
      </c>
      <c r="M5363" s="12">
        <v>23.173999999999999</v>
      </c>
      <c r="N5363" s="14" t="s">
        <v>28917</v>
      </c>
      <c r="O5363" s="14" t="s">
        <v>28917</v>
      </c>
      <c r="P5363" s="12">
        <v>2</v>
      </c>
      <c r="Q5363" s="14" t="s">
        <v>28917</v>
      </c>
      <c r="R5363" s="14" t="s">
        <v>28917</v>
      </c>
    </row>
    <row r="5364" spans="1:18" ht="17" customHeight="1" x14ac:dyDescent="0.15">
      <c r="A5364" s="8" t="s">
        <v>29025</v>
      </c>
      <c r="B5364" s="9" t="s">
        <v>29026</v>
      </c>
      <c r="C5364" s="8" t="s">
        <v>29027</v>
      </c>
      <c r="D5364" s="8" t="s">
        <v>29027</v>
      </c>
      <c r="E5364" s="8" t="s">
        <v>29028</v>
      </c>
      <c r="F5364" s="8" t="s">
        <v>28962</v>
      </c>
      <c r="G5364" s="8" t="s">
        <v>29029</v>
      </c>
      <c r="H5364" s="8" t="s">
        <v>29030</v>
      </c>
      <c r="I5364" s="8" t="str">
        <f>HYPERLINK("http://liguria.coni.it/","liguria.coni.it")</f>
        <v>liguria.coni.it</v>
      </c>
      <c r="J5364" s="10">
        <v>139.48599999999999</v>
      </c>
      <c r="K5364" s="10">
        <v>139.48599999999999</v>
      </c>
      <c r="L5364" s="15" t="s">
        <v>28917</v>
      </c>
      <c r="M5364" s="10">
        <v>7.1989999999999998</v>
      </c>
      <c r="N5364" s="10">
        <v>7.1989999999999998</v>
      </c>
      <c r="O5364" s="15" t="s">
        <v>28917</v>
      </c>
      <c r="P5364" s="15" t="s">
        <v>28917</v>
      </c>
      <c r="Q5364" s="15" t="s">
        <v>28917</v>
      </c>
      <c r="R5364" s="15" t="s">
        <v>28917</v>
      </c>
    </row>
    <row r="5365" spans="1:18" ht="43" customHeight="1" x14ac:dyDescent="0.15">
      <c r="A5365" s="11" t="s">
        <v>29031</v>
      </c>
      <c r="B5365" s="1" t="s">
        <v>29032</v>
      </c>
      <c r="C5365" s="11" t="s">
        <v>29033</v>
      </c>
      <c r="D5365" s="11" t="s">
        <v>29033</v>
      </c>
      <c r="E5365" s="11" t="s">
        <v>29034</v>
      </c>
      <c r="F5365" s="11" t="s">
        <v>29010</v>
      </c>
      <c r="G5365" s="11" t="s">
        <v>29035</v>
      </c>
      <c r="H5365" s="11" t="s">
        <v>29036</v>
      </c>
      <c r="I5365" s="11" t="str">
        <f>HYPERLINK("http://www.kpulse.it/","www.kpulse.it")</f>
        <v>www.kpulse.it</v>
      </c>
      <c r="J5365" s="12">
        <v>137.56700000000001</v>
      </c>
      <c r="K5365" s="14" t="s">
        <v>28917</v>
      </c>
      <c r="L5365" s="16" t="s">
        <v>28917</v>
      </c>
      <c r="M5365" s="12">
        <v>-7.4569999999999999</v>
      </c>
      <c r="N5365" s="14" t="s">
        <v>28917</v>
      </c>
      <c r="O5365" s="14" t="s">
        <v>28917</v>
      </c>
      <c r="P5365" s="12">
        <v>1</v>
      </c>
      <c r="Q5365" s="14" t="s">
        <v>28917</v>
      </c>
      <c r="R5365" s="14" t="s">
        <v>28917</v>
      </c>
    </row>
    <row r="5366" spans="1:18" ht="17" customHeight="1" x14ac:dyDescent="0.15">
      <c r="A5366" s="8" t="s">
        <v>29037</v>
      </c>
      <c r="B5366" s="9" t="s">
        <v>29038</v>
      </c>
      <c r="C5366" s="8" t="s">
        <v>29039</v>
      </c>
      <c r="D5366" s="8" t="s">
        <v>29039</v>
      </c>
      <c r="E5366" s="8" t="s">
        <v>29040</v>
      </c>
      <c r="F5366" s="8" t="s">
        <v>29041</v>
      </c>
      <c r="G5366" s="8" t="s">
        <v>29042</v>
      </c>
      <c r="H5366" s="8" t="s">
        <v>29012</v>
      </c>
      <c r="I5366" s="8" t="str">
        <f>HYPERLINK("http://www.maglificioartex.it/","www.maglificioartex.it")</f>
        <v>www.maglificioartex.it</v>
      </c>
      <c r="J5366" s="10">
        <v>135.42699999999999</v>
      </c>
      <c r="K5366" s="15" t="s">
        <v>28917</v>
      </c>
      <c r="L5366" s="15" t="s">
        <v>28917</v>
      </c>
      <c r="M5366" s="10">
        <v>29.704999999999998</v>
      </c>
      <c r="N5366" s="15" t="s">
        <v>28917</v>
      </c>
      <c r="O5366" s="15" t="s">
        <v>28917</v>
      </c>
      <c r="P5366" s="10">
        <v>9</v>
      </c>
      <c r="Q5366" s="15" t="s">
        <v>28917</v>
      </c>
      <c r="R5366" s="15" t="s">
        <v>28917</v>
      </c>
    </row>
    <row r="5367" spans="1:18" ht="17" customHeight="1" x14ac:dyDescent="0.15">
      <c r="A5367" s="11" t="s">
        <v>29043</v>
      </c>
      <c r="B5367" s="1" t="s">
        <v>29044</v>
      </c>
      <c r="C5367" s="11" t="s">
        <v>29045</v>
      </c>
      <c r="D5367" s="11" t="s">
        <v>29045</v>
      </c>
      <c r="E5367" s="11" t="s">
        <v>29046</v>
      </c>
      <c r="F5367" s="11" t="s">
        <v>29047</v>
      </c>
      <c r="G5367" s="11" t="s">
        <v>28937</v>
      </c>
      <c r="H5367" s="11" t="s">
        <v>28938</v>
      </c>
      <c r="I5367" s="11" t="str">
        <f>HYPERLINK("http://eshop.mifra.eu/","eshop.mifra.eu")</f>
        <v>eshop.mifra.eu</v>
      </c>
      <c r="J5367" s="12">
        <v>134.95099999999999</v>
      </c>
      <c r="K5367" s="14" t="s">
        <v>28917</v>
      </c>
      <c r="L5367" s="16" t="s">
        <v>28917</v>
      </c>
      <c r="M5367" s="12">
        <v>-8.4120000000000008</v>
      </c>
      <c r="N5367" s="14" t="s">
        <v>28917</v>
      </c>
      <c r="O5367" s="14" t="s">
        <v>28917</v>
      </c>
      <c r="P5367" s="12">
        <v>6</v>
      </c>
      <c r="Q5367" s="14" t="s">
        <v>28917</v>
      </c>
      <c r="R5367" s="14" t="s">
        <v>28917</v>
      </c>
    </row>
    <row r="5368" spans="1:18" ht="17" customHeight="1" x14ac:dyDescent="0.15">
      <c r="A5368" s="8" t="s">
        <v>29048</v>
      </c>
      <c r="B5368" s="9" t="s">
        <v>29049</v>
      </c>
      <c r="C5368" s="8" t="s">
        <v>29050</v>
      </c>
      <c r="D5368" s="8" t="s">
        <v>29050</v>
      </c>
      <c r="E5368" s="8" t="s">
        <v>29051</v>
      </c>
      <c r="F5368" s="8" t="s">
        <v>29052</v>
      </c>
      <c r="G5368" s="8" t="s">
        <v>29053</v>
      </c>
      <c r="H5368" s="8" t="s">
        <v>28938</v>
      </c>
      <c r="I5368" s="8" t="str">
        <f>HYPERLINK("http://www.rl22.com/","www.rl22.com")</f>
        <v>www.rl22.com</v>
      </c>
      <c r="J5368" s="10">
        <v>134.77500000000001</v>
      </c>
      <c r="K5368" s="15" t="s">
        <v>28917</v>
      </c>
      <c r="L5368" s="15" t="s">
        <v>28917</v>
      </c>
      <c r="M5368" s="10">
        <v>-372.06299999999999</v>
      </c>
      <c r="N5368" s="15" t="s">
        <v>28917</v>
      </c>
      <c r="O5368" s="15" t="s">
        <v>28917</v>
      </c>
      <c r="P5368" s="10">
        <v>4</v>
      </c>
      <c r="Q5368" s="15" t="s">
        <v>28917</v>
      </c>
      <c r="R5368" s="15" t="s">
        <v>28917</v>
      </c>
    </row>
    <row r="5369" spans="1:18" ht="29.5" customHeight="1" x14ac:dyDescent="0.15">
      <c r="A5369" s="11" t="s">
        <v>29054</v>
      </c>
      <c r="B5369" s="1" t="s">
        <v>29055</v>
      </c>
      <c r="C5369" s="11" t="s">
        <v>29056</v>
      </c>
      <c r="D5369" s="11" t="s">
        <v>29056</v>
      </c>
      <c r="E5369" s="11" t="s">
        <v>29057</v>
      </c>
      <c r="F5369" s="11" t="s">
        <v>28973</v>
      </c>
      <c r="G5369" s="11" t="s">
        <v>29024</v>
      </c>
      <c r="H5369" s="11" t="s">
        <v>29012</v>
      </c>
      <c r="I5369" s="11" t="str">
        <f>HYPERLINK("http://www.framacasrl.it/","www.framacasrl.it")</f>
        <v>www.framacasrl.it</v>
      </c>
      <c r="J5369" s="12">
        <v>133.95099999999999</v>
      </c>
      <c r="K5369" s="14" t="s">
        <v>28917</v>
      </c>
      <c r="L5369" s="16" t="s">
        <v>28917</v>
      </c>
      <c r="M5369" s="12">
        <v>2.1880000000000002</v>
      </c>
      <c r="N5369" s="14" t="s">
        <v>28917</v>
      </c>
      <c r="O5369" s="14" t="s">
        <v>28917</v>
      </c>
      <c r="P5369" s="12">
        <v>1</v>
      </c>
      <c r="Q5369" s="14" t="s">
        <v>28917</v>
      </c>
      <c r="R5369" s="14" t="s">
        <v>28917</v>
      </c>
    </row>
    <row r="5370" spans="1:18" ht="43" customHeight="1" x14ac:dyDescent="0.15">
      <c r="A5370" s="8" t="s">
        <v>29058</v>
      </c>
      <c r="B5370" s="9" t="s">
        <v>29059</v>
      </c>
      <c r="C5370" s="8" t="s">
        <v>29060</v>
      </c>
      <c r="D5370" s="8" t="s">
        <v>29060</v>
      </c>
      <c r="E5370" s="8" t="s">
        <v>29061</v>
      </c>
      <c r="F5370" s="8" t="s">
        <v>29062</v>
      </c>
      <c r="G5370" s="8" t="s">
        <v>29063</v>
      </c>
      <c r="H5370" s="8" t="s">
        <v>29064</v>
      </c>
      <c r="I5370" s="8" t="str">
        <f>HYPERLINK("http://www.harambeestyle.it/","www.harambeestyle.it")</f>
        <v>www.harambeestyle.it</v>
      </c>
      <c r="J5370" s="10">
        <v>133.959</v>
      </c>
      <c r="K5370" s="15" t="s">
        <v>28917</v>
      </c>
      <c r="L5370" s="15" t="s">
        <v>28917</v>
      </c>
      <c r="M5370" s="10">
        <v>0.75600000000000001</v>
      </c>
      <c r="N5370" s="15" t="s">
        <v>28917</v>
      </c>
      <c r="O5370" s="15" t="s">
        <v>28917</v>
      </c>
      <c r="P5370" s="10">
        <v>4</v>
      </c>
      <c r="Q5370" s="15" t="s">
        <v>28917</v>
      </c>
      <c r="R5370" s="15" t="s">
        <v>28917</v>
      </c>
    </row>
    <row r="5371" spans="1:18" ht="29.5" customHeight="1" x14ac:dyDescent="0.15">
      <c r="A5371" s="11" t="s">
        <v>29065</v>
      </c>
      <c r="B5371" s="1" t="s">
        <v>29066</v>
      </c>
      <c r="C5371" s="11" t="s">
        <v>29067</v>
      </c>
      <c r="D5371" s="11" t="s">
        <v>29068</v>
      </c>
      <c r="E5371" s="11" t="s">
        <v>29069</v>
      </c>
      <c r="F5371" s="11" t="s">
        <v>29070</v>
      </c>
      <c r="G5371" s="11" t="s">
        <v>29024</v>
      </c>
      <c r="H5371" s="11" t="s">
        <v>29012</v>
      </c>
      <c r="I5371" s="11" t="str">
        <f>HYPERLINK("http://www.decarlis.it/","www.decarlis.it")</f>
        <v>www.decarlis.it</v>
      </c>
      <c r="J5371" s="12">
        <v>130</v>
      </c>
      <c r="K5371" s="14" t="s">
        <v>28917</v>
      </c>
      <c r="L5371" s="16" t="s">
        <v>28917</v>
      </c>
      <c r="M5371" s="12">
        <v>-382.69099999999997</v>
      </c>
      <c r="N5371" s="14" t="s">
        <v>28917</v>
      </c>
      <c r="O5371" s="14" t="s">
        <v>28917</v>
      </c>
      <c r="P5371" s="12">
        <v>3</v>
      </c>
      <c r="Q5371" s="14" t="s">
        <v>28917</v>
      </c>
      <c r="R5371" s="14" t="s">
        <v>28917</v>
      </c>
    </row>
    <row r="5372" spans="1:18" ht="29.5" customHeight="1" x14ac:dyDescent="0.15">
      <c r="A5372" s="8" t="s">
        <v>29071</v>
      </c>
      <c r="B5372" s="9" t="s">
        <v>29072</v>
      </c>
      <c r="C5372" s="8" t="s">
        <v>29073</v>
      </c>
      <c r="D5372" s="8" t="s">
        <v>29073</v>
      </c>
      <c r="E5372" s="8" t="s">
        <v>29074</v>
      </c>
      <c r="F5372" s="8" t="s">
        <v>28914</v>
      </c>
      <c r="G5372" s="8" t="s">
        <v>29024</v>
      </c>
      <c r="H5372" s="8" t="s">
        <v>29012</v>
      </c>
      <c r="I5372" s="8" t="str">
        <f>HYPERLINK("http://www.zyponlus.org/","www.zyponlus.org")</f>
        <v>www.zyponlus.org</v>
      </c>
      <c r="J5372" s="10">
        <v>129.595</v>
      </c>
      <c r="K5372" s="15" t="s">
        <v>28917</v>
      </c>
      <c r="L5372" s="15" t="s">
        <v>28917</v>
      </c>
      <c r="M5372" s="10">
        <v>3.5659999999999998</v>
      </c>
      <c r="N5372" s="15" t="s">
        <v>28917</v>
      </c>
      <c r="O5372" s="15" t="s">
        <v>28917</v>
      </c>
      <c r="P5372" s="10">
        <v>15</v>
      </c>
      <c r="Q5372" s="15" t="s">
        <v>28917</v>
      </c>
      <c r="R5372" s="15" t="s">
        <v>28917</v>
      </c>
    </row>
    <row r="5373" spans="1:18" ht="43" customHeight="1" x14ac:dyDescent="0.15">
      <c r="A5373" s="11" t="s">
        <v>29075</v>
      </c>
      <c r="B5373" s="1" t="s">
        <v>29076</v>
      </c>
      <c r="C5373" s="11" t="s">
        <v>29077</v>
      </c>
      <c r="D5373" s="11" t="s">
        <v>29077</v>
      </c>
      <c r="E5373" s="11" t="s">
        <v>29078</v>
      </c>
      <c r="F5373" s="11" t="s">
        <v>28943</v>
      </c>
      <c r="G5373" s="11" t="s">
        <v>29079</v>
      </c>
      <c r="H5373" s="11" t="s">
        <v>28975</v>
      </c>
      <c r="I5373" s="11" t="str">
        <f>HYPERLINK("http://www.industrial-clothing.it/","www.industrial-clothing.it")</f>
        <v>www.industrial-clothing.it</v>
      </c>
      <c r="J5373" s="12">
        <v>127.706</v>
      </c>
      <c r="K5373" s="14" t="s">
        <v>28917</v>
      </c>
      <c r="L5373" s="16" t="s">
        <v>28917</v>
      </c>
      <c r="M5373" s="12">
        <v>4.016</v>
      </c>
      <c r="N5373" s="14" t="s">
        <v>28917</v>
      </c>
      <c r="O5373" s="14" t="s">
        <v>28917</v>
      </c>
      <c r="P5373" s="12">
        <v>4</v>
      </c>
      <c r="Q5373" s="14" t="s">
        <v>28917</v>
      </c>
      <c r="R5373" s="14" t="s">
        <v>28917</v>
      </c>
    </row>
    <row r="5374" spans="1:18" ht="17" customHeight="1" x14ac:dyDescent="0.15">
      <c r="A5374" s="8" t="s">
        <v>29080</v>
      </c>
      <c r="B5374" s="9" t="s">
        <v>29081</v>
      </c>
      <c r="C5374" s="8" t="s">
        <v>29082</v>
      </c>
      <c r="D5374" s="8" t="s">
        <v>29082</v>
      </c>
      <c r="E5374" s="8" t="s">
        <v>29083</v>
      </c>
      <c r="F5374" s="8" t="s">
        <v>29017</v>
      </c>
      <c r="G5374" s="8" t="s">
        <v>28956</v>
      </c>
      <c r="H5374" s="8" t="s">
        <v>28957</v>
      </c>
      <c r="I5374" s="8" t="str">
        <f>HYPERLINK("http://www.annettesrl.it/","www.annettesrl.it")</f>
        <v>www.annettesrl.it</v>
      </c>
      <c r="J5374" s="10">
        <v>126.551</v>
      </c>
      <c r="K5374" s="15" t="s">
        <v>28917</v>
      </c>
      <c r="L5374" s="15" t="s">
        <v>28917</v>
      </c>
      <c r="M5374" s="10">
        <v>-15.044</v>
      </c>
      <c r="N5374" s="15" t="s">
        <v>28917</v>
      </c>
      <c r="O5374" s="15" t="s">
        <v>28917</v>
      </c>
      <c r="P5374" s="10">
        <v>4</v>
      </c>
      <c r="Q5374" s="15" t="s">
        <v>28917</v>
      </c>
      <c r="R5374" s="15" t="s">
        <v>28917</v>
      </c>
    </row>
    <row r="5375" spans="1:18" ht="17" customHeight="1" x14ac:dyDescent="0.15">
      <c r="A5375" s="11" t="s">
        <v>29084</v>
      </c>
      <c r="B5375" s="1" t="s">
        <v>29085</v>
      </c>
      <c r="C5375" s="11" t="s">
        <v>29086</v>
      </c>
      <c r="D5375" s="11" t="s">
        <v>29086</v>
      </c>
      <c r="E5375" s="11" t="s">
        <v>29087</v>
      </c>
      <c r="F5375" s="11" t="s">
        <v>29062</v>
      </c>
      <c r="G5375" s="11" t="s">
        <v>28951</v>
      </c>
      <c r="H5375" s="11" t="s">
        <v>28916</v>
      </c>
      <c r="I5375" s="11" t="str">
        <f>HYPERLINK("http://www.fiasrl.it/","www.fiasrl.it")</f>
        <v>www.fiasrl.it</v>
      </c>
      <c r="J5375" s="12">
        <v>126</v>
      </c>
      <c r="K5375" s="14" t="s">
        <v>28917</v>
      </c>
      <c r="L5375" s="16" t="s">
        <v>28917</v>
      </c>
      <c r="M5375" s="12">
        <v>22.864999999999998</v>
      </c>
      <c r="N5375" s="14" t="s">
        <v>28917</v>
      </c>
      <c r="O5375" s="14" t="s">
        <v>28917</v>
      </c>
      <c r="P5375" s="12">
        <v>1</v>
      </c>
      <c r="Q5375" s="14" t="s">
        <v>28917</v>
      </c>
      <c r="R5375" s="14" t="s">
        <v>28917</v>
      </c>
    </row>
    <row r="5376" spans="1:18" ht="17" customHeight="1" x14ac:dyDescent="0.15">
      <c r="A5376" s="8" t="s">
        <v>29088</v>
      </c>
      <c r="B5376" s="9" t="s">
        <v>29089</v>
      </c>
      <c r="C5376" s="8" t="s">
        <v>29090</v>
      </c>
      <c r="D5376" s="8" t="s">
        <v>29090</v>
      </c>
      <c r="E5376" s="8" t="s">
        <v>29091</v>
      </c>
      <c r="F5376" s="8" t="s">
        <v>28962</v>
      </c>
      <c r="G5376" s="8" t="s">
        <v>28951</v>
      </c>
      <c r="H5376" s="8" t="s">
        <v>28916</v>
      </c>
      <c r="I5376" s="8" t="str">
        <f>HYPERLINK("http://www.tatankajeans.it/","www.tatankajeans.it")</f>
        <v>www.tatankajeans.it</v>
      </c>
      <c r="J5376" s="10">
        <v>125.413</v>
      </c>
      <c r="K5376" s="15" t="s">
        <v>28917</v>
      </c>
      <c r="L5376" s="15" t="s">
        <v>28917</v>
      </c>
      <c r="M5376" s="10">
        <v>0.28799999999999998</v>
      </c>
      <c r="N5376" s="15" t="s">
        <v>28917</v>
      </c>
      <c r="O5376" s="15" t="s">
        <v>28917</v>
      </c>
      <c r="P5376" s="10">
        <v>1</v>
      </c>
      <c r="Q5376" s="15" t="s">
        <v>28917</v>
      </c>
      <c r="R5376" s="15" t="s">
        <v>28917</v>
      </c>
    </row>
    <row r="5377" spans="1:18" ht="17" customHeight="1" x14ac:dyDescent="0.15">
      <c r="A5377" s="11" t="s">
        <v>29092</v>
      </c>
      <c r="B5377" s="1" t="s">
        <v>29093</v>
      </c>
      <c r="C5377" s="11" t="s">
        <v>29094</v>
      </c>
      <c r="D5377" s="11" t="s">
        <v>29094</v>
      </c>
      <c r="E5377" s="11" t="s">
        <v>29095</v>
      </c>
      <c r="F5377" s="11" t="s">
        <v>29096</v>
      </c>
      <c r="G5377" s="11" t="s">
        <v>29097</v>
      </c>
      <c r="H5377" s="11" t="s">
        <v>29098</v>
      </c>
      <c r="I5377" s="11" t="str">
        <f>HYPERLINK("http://www.racinecarree.it/","www.racinecarree.it")</f>
        <v>www.racinecarree.it</v>
      </c>
      <c r="J5377" s="12">
        <v>123.744</v>
      </c>
      <c r="K5377" s="14" t="s">
        <v>29099</v>
      </c>
      <c r="L5377" s="16" t="s">
        <v>29099</v>
      </c>
      <c r="M5377" s="12">
        <v>-851.72799999999995</v>
      </c>
      <c r="N5377" s="14" t="s">
        <v>29099</v>
      </c>
      <c r="O5377" s="14" t="s">
        <v>29099</v>
      </c>
      <c r="P5377" s="12">
        <v>5</v>
      </c>
      <c r="Q5377" s="14" t="s">
        <v>29099</v>
      </c>
      <c r="R5377" s="14" t="s">
        <v>29099</v>
      </c>
    </row>
    <row r="5378" spans="1:18" ht="29.5" customHeight="1" x14ac:dyDescent="0.15">
      <c r="A5378" s="8" t="s">
        <v>29100</v>
      </c>
      <c r="B5378" s="9" t="s">
        <v>29101</v>
      </c>
      <c r="C5378" s="8" t="s">
        <v>29102</v>
      </c>
      <c r="D5378" s="8" t="s">
        <v>29102</v>
      </c>
      <c r="E5378" s="8" t="s">
        <v>29103</v>
      </c>
      <c r="F5378" s="8" t="s">
        <v>29104</v>
      </c>
      <c r="G5378" s="8" t="s">
        <v>29105</v>
      </c>
      <c r="H5378" s="8" t="s">
        <v>29106</v>
      </c>
      <c r="I5378" s="8" t="str">
        <f>HYPERLINK("http://www.volubilispalermo.it/","www.volubilispalermo.it")</f>
        <v>www.volubilispalermo.it</v>
      </c>
      <c r="J5378" s="10">
        <v>121.968</v>
      </c>
      <c r="K5378" s="15" t="s">
        <v>29099</v>
      </c>
      <c r="L5378" s="15" t="s">
        <v>29099</v>
      </c>
      <c r="M5378" s="10">
        <v>7.8179999999999996</v>
      </c>
      <c r="N5378" s="15" t="s">
        <v>29099</v>
      </c>
      <c r="O5378" s="15" t="s">
        <v>29099</v>
      </c>
      <c r="P5378" s="10">
        <v>2</v>
      </c>
      <c r="Q5378" s="15" t="s">
        <v>29099</v>
      </c>
      <c r="R5378" s="15" t="s">
        <v>29099</v>
      </c>
    </row>
    <row r="5379" spans="1:18" ht="29.5" customHeight="1" x14ac:dyDescent="0.15">
      <c r="A5379" s="11" t="s">
        <v>29107</v>
      </c>
      <c r="B5379" s="1" t="s">
        <v>29108</v>
      </c>
      <c r="C5379" s="11" t="s">
        <v>29109</v>
      </c>
      <c r="D5379" s="11" t="s">
        <v>29109</v>
      </c>
      <c r="E5379" s="11" t="s">
        <v>29110</v>
      </c>
      <c r="F5379" s="11" t="s">
        <v>29111</v>
      </c>
      <c r="G5379" s="11" t="s">
        <v>29112</v>
      </c>
      <c r="H5379" s="11" t="s">
        <v>29113</v>
      </c>
      <c r="I5379" s="11" t="str">
        <f>HYPERLINK("http://www.trentapiedi.com/","www.trentapiedi.com")</f>
        <v>www.trentapiedi.com</v>
      </c>
      <c r="J5379" s="12">
        <v>120.598</v>
      </c>
      <c r="K5379" s="14" t="s">
        <v>29099</v>
      </c>
      <c r="L5379" s="16" t="s">
        <v>29099</v>
      </c>
      <c r="M5379" s="12">
        <v>6.1509999999999998</v>
      </c>
      <c r="N5379" s="14" t="s">
        <v>29099</v>
      </c>
      <c r="O5379" s="14" t="s">
        <v>29099</v>
      </c>
      <c r="P5379" s="12">
        <v>0</v>
      </c>
      <c r="Q5379" s="14" t="s">
        <v>29099</v>
      </c>
      <c r="R5379" s="14" t="s">
        <v>29099</v>
      </c>
    </row>
    <row r="5380" spans="1:18" ht="29.5" customHeight="1" x14ac:dyDescent="0.15">
      <c r="A5380" s="8" t="s">
        <v>29114</v>
      </c>
      <c r="B5380" s="9" t="s">
        <v>29115</v>
      </c>
      <c r="C5380" s="8" t="s">
        <v>29116</v>
      </c>
      <c r="D5380" s="8" t="s">
        <v>29116</v>
      </c>
      <c r="E5380" s="8" t="s">
        <v>29117</v>
      </c>
      <c r="F5380" s="8" t="s">
        <v>29118</v>
      </c>
      <c r="G5380" s="8" t="s">
        <v>29119</v>
      </c>
      <c r="H5380" s="8" t="s">
        <v>29120</v>
      </c>
      <c r="I5380" s="8" t="str">
        <f>HYPERLINK("http://www.ittierrehub.com/","www.ittierrehub.com")</f>
        <v>www.ittierrehub.com</v>
      </c>
      <c r="J5380" s="10">
        <v>118.46899999999999</v>
      </c>
      <c r="K5380" s="10">
        <v>118.46899999999999</v>
      </c>
      <c r="L5380" s="15" t="s">
        <v>29099</v>
      </c>
      <c r="M5380" s="10">
        <v>0.90100000000000002</v>
      </c>
      <c r="N5380" s="10">
        <v>0.90100000000000002</v>
      </c>
      <c r="O5380" s="15" t="s">
        <v>29099</v>
      </c>
      <c r="P5380" s="10">
        <v>12</v>
      </c>
      <c r="Q5380" s="10">
        <v>12</v>
      </c>
      <c r="R5380" s="15" t="s">
        <v>29099</v>
      </c>
    </row>
    <row r="5381" spans="1:18" ht="17" customHeight="1" x14ac:dyDescent="0.15">
      <c r="A5381" s="11" t="s">
        <v>29121</v>
      </c>
      <c r="B5381" s="1" t="s">
        <v>29122</v>
      </c>
      <c r="C5381" s="11" t="s">
        <v>29123</v>
      </c>
      <c r="D5381" s="11" t="s">
        <v>29124</v>
      </c>
      <c r="E5381" s="11" t="s">
        <v>29125</v>
      </c>
      <c r="F5381" s="11" t="s">
        <v>29126</v>
      </c>
      <c r="G5381" s="11" t="s">
        <v>29127</v>
      </c>
      <c r="H5381" s="11" t="s">
        <v>29128</v>
      </c>
      <c r="I5381" s="11" t="str">
        <f>HYPERLINK("http://www.ingrossopelletteria.it/","www.ingrossopelletteria.it")</f>
        <v>www.ingrossopelletteria.it</v>
      </c>
      <c r="J5381" s="12">
        <v>117.658</v>
      </c>
      <c r="K5381" s="14" t="s">
        <v>29099</v>
      </c>
      <c r="L5381" s="16" t="s">
        <v>29099</v>
      </c>
      <c r="M5381" s="12">
        <v>18.414000000000001</v>
      </c>
      <c r="N5381" s="14" t="s">
        <v>29099</v>
      </c>
      <c r="O5381" s="14" t="s">
        <v>29099</v>
      </c>
      <c r="P5381" s="12">
        <v>0</v>
      </c>
      <c r="Q5381" s="14" t="s">
        <v>29099</v>
      </c>
      <c r="R5381" s="14" t="s">
        <v>29099</v>
      </c>
    </row>
    <row r="5382" spans="1:18" ht="43" customHeight="1" x14ac:dyDescent="0.15">
      <c r="A5382" s="8" t="s">
        <v>29129</v>
      </c>
      <c r="B5382" s="9" t="s">
        <v>29130</v>
      </c>
      <c r="C5382" s="8" t="s">
        <v>29131</v>
      </c>
      <c r="D5382" s="8" t="s">
        <v>29131</v>
      </c>
      <c r="E5382" s="8" t="s">
        <v>29132</v>
      </c>
      <c r="F5382" s="8" t="s">
        <v>29133</v>
      </c>
      <c r="G5382" s="8" t="s">
        <v>29134</v>
      </c>
      <c r="H5382" s="8" t="s">
        <v>29135</v>
      </c>
      <c r="I5382" s="8" t="str">
        <f>HYPERLINK("http://www.solettificioemmepi.it/","www.solettificioemmepi.it")</f>
        <v>www.solettificioemmepi.it</v>
      </c>
      <c r="J5382" s="10">
        <v>116.27200000000001</v>
      </c>
      <c r="K5382" s="10">
        <v>116.27200000000001</v>
      </c>
      <c r="L5382" s="15" t="s">
        <v>29099</v>
      </c>
      <c r="M5382" s="10">
        <v>7.72</v>
      </c>
      <c r="N5382" s="10">
        <v>7.72</v>
      </c>
      <c r="O5382" s="15" t="s">
        <v>29099</v>
      </c>
      <c r="P5382" s="10">
        <v>4</v>
      </c>
      <c r="Q5382" s="10">
        <v>4</v>
      </c>
      <c r="R5382" s="15" t="s">
        <v>29099</v>
      </c>
    </row>
    <row r="5383" spans="1:18" ht="29.5" customHeight="1" x14ac:dyDescent="0.15">
      <c r="A5383" s="11" t="s">
        <v>29136</v>
      </c>
      <c r="B5383" s="1" t="s">
        <v>29137</v>
      </c>
      <c r="C5383" s="11" t="s">
        <v>29138</v>
      </c>
      <c r="D5383" s="11" t="s">
        <v>29138</v>
      </c>
      <c r="E5383" s="11" t="s">
        <v>29139</v>
      </c>
      <c r="F5383" s="11" t="s">
        <v>29140</v>
      </c>
      <c r="G5383" s="11" t="s">
        <v>29127</v>
      </c>
      <c r="H5383" s="11" t="s">
        <v>29128</v>
      </c>
      <c r="I5383" s="11" t="str">
        <f>HYPERLINK("http://www.anticacamicerialombardi.it/","www.anticacamicerialombardi.it")</f>
        <v>www.anticacamicerialombardi.it</v>
      </c>
      <c r="J5383" s="12">
        <v>115.998</v>
      </c>
      <c r="K5383" s="14" t="s">
        <v>29099</v>
      </c>
      <c r="L5383" s="16" t="s">
        <v>29099</v>
      </c>
      <c r="M5383" s="12">
        <v>3.73</v>
      </c>
      <c r="N5383" s="14" t="s">
        <v>29099</v>
      </c>
      <c r="O5383" s="14" t="s">
        <v>29099</v>
      </c>
      <c r="P5383" s="12">
        <v>2</v>
      </c>
      <c r="Q5383" s="14" t="s">
        <v>29099</v>
      </c>
      <c r="R5383" s="14" t="s">
        <v>29099</v>
      </c>
    </row>
    <row r="5384" spans="1:18" ht="17" customHeight="1" x14ac:dyDescent="0.15">
      <c r="A5384" s="8" t="s">
        <v>29141</v>
      </c>
      <c r="B5384" s="9" t="s">
        <v>29142</v>
      </c>
      <c r="C5384" s="8" t="s">
        <v>29143</v>
      </c>
      <c r="D5384" s="8" t="s">
        <v>29143</v>
      </c>
      <c r="E5384" s="8" t="s">
        <v>29144</v>
      </c>
      <c r="F5384" s="8" t="s">
        <v>29118</v>
      </c>
      <c r="G5384" s="8" t="s">
        <v>29127</v>
      </c>
      <c r="H5384" s="8" t="s">
        <v>29128</v>
      </c>
      <c r="I5384" s="8" t="str">
        <f>HYPERLINK("http://www.takeiteasystore.com/","www.takeiteasystore.com")</f>
        <v>www.takeiteasystore.com</v>
      </c>
      <c r="J5384" s="10">
        <v>115.23099999999999</v>
      </c>
      <c r="K5384" s="15" t="s">
        <v>29099</v>
      </c>
      <c r="L5384" s="15" t="s">
        <v>29099</v>
      </c>
      <c r="M5384" s="10">
        <v>-96.445999999999998</v>
      </c>
      <c r="N5384" s="15" t="s">
        <v>29099</v>
      </c>
      <c r="O5384" s="15" t="s">
        <v>29099</v>
      </c>
      <c r="P5384" s="10">
        <v>1</v>
      </c>
      <c r="Q5384" s="15" t="s">
        <v>29099</v>
      </c>
      <c r="R5384" s="15" t="s">
        <v>29099</v>
      </c>
    </row>
    <row r="5385" spans="1:18" ht="17" customHeight="1" x14ac:dyDescent="0.15">
      <c r="A5385" s="11" t="s">
        <v>29145</v>
      </c>
      <c r="B5385" s="1" t="s">
        <v>29146</v>
      </c>
      <c r="C5385" s="11" t="s">
        <v>29147</v>
      </c>
      <c r="D5385" s="11" t="s">
        <v>29147</v>
      </c>
      <c r="E5385" s="11" t="s">
        <v>29148</v>
      </c>
      <c r="F5385" s="11" t="s">
        <v>29149</v>
      </c>
      <c r="G5385" s="11" t="s">
        <v>29150</v>
      </c>
      <c r="H5385" s="11" t="s">
        <v>29098</v>
      </c>
      <c r="I5385" s="11" t="str">
        <f>HYPERLINK("http://www.8squad.com/","www.8squad.com")</f>
        <v>www.8squad.com</v>
      </c>
      <c r="J5385" s="12">
        <v>114.124</v>
      </c>
      <c r="K5385" s="14" t="s">
        <v>29099</v>
      </c>
      <c r="L5385" s="16" t="s">
        <v>29099</v>
      </c>
      <c r="M5385" s="12">
        <v>-14.268000000000001</v>
      </c>
      <c r="N5385" s="14" t="s">
        <v>29099</v>
      </c>
      <c r="O5385" s="14" t="s">
        <v>29099</v>
      </c>
      <c r="P5385" s="12">
        <v>0</v>
      </c>
      <c r="Q5385" s="14" t="s">
        <v>29099</v>
      </c>
      <c r="R5385" s="14" t="s">
        <v>29099</v>
      </c>
    </row>
    <row r="5386" spans="1:18" ht="17" customHeight="1" x14ac:dyDescent="0.15">
      <c r="A5386" s="8" t="s">
        <v>29151</v>
      </c>
      <c r="B5386" s="9" t="s">
        <v>29152</v>
      </c>
      <c r="C5386" s="8" t="s">
        <v>29153</v>
      </c>
      <c r="D5386" s="8" t="s">
        <v>29153</v>
      </c>
      <c r="E5386" s="8" t="s">
        <v>29154</v>
      </c>
      <c r="F5386" s="8" t="s">
        <v>29096</v>
      </c>
      <c r="G5386" s="8" t="s">
        <v>29155</v>
      </c>
      <c r="H5386" s="8" t="s">
        <v>29156</v>
      </c>
      <c r="I5386" s="8" t="str">
        <f>HYPERLINK("http://www.pennettasrl.com/","www.pennettasrl.com")</f>
        <v>www.pennettasrl.com</v>
      </c>
      <c r="J5386" s="10">
        <v>113.71</v>
      </c>
      <c r="K5386" s="15" t="s">
        <v>29099</v>
      </c>
      <c r="L5386" s="15" t="s">
        <v>29099</v>
      </c>
      <c r="M5386" s="10">
        <v>-94.29</v>
      </c>
      <c r="N5386" s="15" t="s">
        <v>29099</v>
      </c>
      <c r="O5386" s="15" t="s">
        <v>29099</v>
      </c>
      <c r="P5386" s="10">
        <v>8</v>
      </c>
      <c r="Q5386" s="15" t="s">
        <v>29099</v>
      </c>
      <c r="R5386" s="15" t="s">
        <v>29099</v>
      </c>
    </row>
    <row r="5387" spans="1:18" ht="17" customHeight="1" x14ac:dyDescent="0.15">
      <c r="A5387" s="11" t="s">
        <v>29157</v>
      </c>
      <c r="B5387" s="1" t="s">
        <v>29158</v>
      </c>
      <c r="C5387" s="11" t="s">
        <v>29159</v>
      </c>
      <c r="D5387" s="11" t="s">
        <v>29159</v>
      </c>
      <c r="E5387" s="11" t="s">
        <v>29160</v>
      </c>
      <c r="F5387" s="11" t="s">
        <v>29118</v>
      </c>
      <c r="G5387" s="11" t="s">
        <v>29161</v>
      </c>
      <c r="H5387" s="11" t="s">
        <v>29162</v>
      </c>
      <c r="I5387" s="11" t="str">
        <f>HYPERLINK("http://www.jeansacademy.it/","www.jeansacademy.it")</f>
        <v>www.jeansacademy.it</v>
      </c>
      <c r="J5387" s="12">
        <v>110.526</v>
      </c>
      <c r="K5387" s="14" t="s">
        <v>29099</v>
      </c>
      <c r="L5387" s="16" t="s">
        <v>29099</v>
      </c>
      <c r="M5387" s="12">
        <v>7.67</v>
      </c>
      <c r="N5387" s="14" t="s">
        <v>29099</v>
      </c>
      <c r="O5387" s="14" t="s">
        <v>29099</v>
      </c>
      <c r="P5387" s="12">
        <v>2</v>
      </c>
      <c r="Q5387" s="14" t="s">
        <v>29099</v>
      </c>
      <c r="R5387" s="14" t="s">
        <v>29099</v>
      </c>
    </row>
    <row r="5388" spans="1:18" ht="17" customHeight="1" x14ac:dyDescent="0.15">
      <c r="A5388" s="8" t="s">
        <v>29163</v>
      </c>
      <c r="B5388" s="9" t="s">
        <v>29164</v>
      </c>
      <c r="C5388" s="8" t="s">
        <v>29165</v>
      </c>
      <c r="D5388" s="8" t="s">
        <v>29165</v>
      </c>
      <c r="E5388" s="8" t="s">
        <v>29166</v>
      </c>
      <c r="F5388" s="8" t="s">
        <v>29096</v>
      </c>
      <c r="G5388" s="8" t="s">
        <v>29167</v>
      </c>
      <c r="H5388" s="8" t="s">
        <v>29156</v>
      </c>
      <c r="I5388" s="8" t="str">
        <f>HYPERLINK("http://www.fatwear.com/","www.fatwear.com")</f>
        <v>www.fatwear.com</v>
      </c>
      <c r="J5388" s="10">
        <v>110.239</v>
      </c>
      <c r="K5388" s="15" t="s">
        <v>29099</v>
      </c>
      <c r="L5388" s="15" t="s">
        <v>29099</v>
      </c>
      <c r="M5388" s="10">
        <v>0.376</v>
      </c>
      <c r="N5388" s="15" t="s">
        <v>29099</v>
      </c>
      <c r="O5388" s="15" t="s">
        <v>29099</v>
      </c>
      <c r="P5388" s="10">
        <v>1</v>
      </c>
      <c r="Q5388" s="15" t="s">
        <v>29099</v>
      </c>
      <c r="R5388" s="15" t="s">
        <v>29099</v>
      </c>
    </row>
    <row r="5389" spans="1:18" ht="17" customHeight="1" x14ac:dyDescent="0.15">
      <c r="A5389" s="11" t="s">
        <v>29168</v>
      </c>
      <c r="B5389" s="1" t="s">
        <v>29169</v>
      </c>
      <c r="C5389" s="11" t="s">
        <v>29170</v>
      </c>
      <c r="D5389" s="11" t="s">
        <v>29170</v>
      </c>
      <c r="E5389" s="11" t="s">
        <v>29171</v>
      </c>
      <c r="F5389" s="11" t="s">
        <v>29172</v>
      </c>
      <c r="G5389" s="11" t="s">
        <v>29173</v>
      </c>
      <c r="H5389" s="11" t="s">
        <v>29113</v>
      </c>
      <c r="I5389" s="11" t="str">
        <f>HYPERLINK("http://www.aruxshoes.com/","www.aruxshoes.com")</f>
        <v>www.aruxshoes.com</v>
      </c>
      <c r="J5389" s="12">
        <v>108.517</v>
      </c>
      <c r="K5389" s="12">
        <v>108.517</v>
      </c>
      <c r="L5389" s="16" t="s">
        <v>29099</v>
      </c>
      <c r="M5389" s="12">
        <v>5.452</v>
      </c>
      <c r="N5389" s="12">
        <v>5.452</v>
      </c>
      <c r="O5389" s="14" t="s">
        <v>29099</v>
      </c>
      <c r="P5389" s="14" t="s">
        <v>29099</v>
      </c>
      <c r="Q5389" s="14" t="s">
        <v>29099</v>
      </c>
      <c r="R5389" s="14" t="s">
        <v>29099</v>
      </c>
    </row>
    <row r="5390" spans="1:18" ht="29.5" customHeight="1" x14ac:dyDescent="0.15">
      <c r="A5390" s="8" t="s">
        <v>29174</v>
      </c>
      <c r="B5390" s="9" t="s">
        <v>29175</v>
      </c>
      <c r="C5390" s="8" t="s">
        <v>29176</v>
      </c>
      <c r="D5390" s="8" t="s">
        <v>29176</v>
      </c>
      <c r="E5390" s="8" t="s">
        <v>29177</v>
      </c>
      <c r="F5390" s="8" t="s">
        <v>29104</v>
      </c>
      <c r="G5390" s="8" t="s">
        <v>29178</v>
      </c>
      <c r="H5390" s="8" t="s">
        <v>29179</v>
      </c>
      <c r="I5390" s="8" t="str">
        <f>HYPERLINK("http://www.abitisposa.roma.it/","www.abitisposa.roma.it")</f>
        <v>www.abitisposa.roma.it</v>
      </c>
      <c r="J5390" s="10">
        <v>106.81</v>
      </c>
      <c r="K5390" s="15" t="s">
        <v>29099</v>
      </c>
      <c r="L5390" s="15" t="s">
        <v>29099</v>
      </c>
      <c r="M5390" s="10">
        <v>-45.121000000000002</v>
      </c>
      <c r="N5390" s="15" t="s">
        <v>29099</v>
      </c>
      <c r="O5390" s="15" t="s">
        <v>29099</v>
      </c>
      <c r="P5390" s="10">
        <v>3</v>
      </c>
      <c r="Q5390" s="15" t="s">
        <v>29099</v>
      </c>
      <c r="R5390" s="15" t="s">
        <v>29099</v>
      </c>
    </row>
    <row r="5391" spans="1:18" ht="17" customHeight="1" x14ac:dyDescent="0.15">
      <c r="A5391" s="11" t="s">
        <v>29180</v>
      </c>
      <c r="B5391" s="1" t="s">
        <v>29181</v>
      </c>
      <c r="C5391" s="11" t="s">
        <v>29182</v>
      </c>
      <c r="D5391" s="11" t="s">
        <v>29182</v>
      </c>
      <c r="E5391" s="11" t="s">
        <v>29183</v>
      </c>
      <c r="F5391" s="11" t="s">
        <v>29184</v>
      </c>
      <c r="G5391" s="11" t="s">
        <v>29185</v>
      </c>
      <c r="H5391" s="11" t="s">
        <v>29186</v>
      </c>
      <c r="I5391" s="11" t="str">
        <f>HYPERLINK("http://www.athenafaenza.it/","www.athenafaenza.it")</f>
        <v>www.athenafaenza.it</v>
      </c>
      <c r="J5391" s="12">
        <v>106.262</v>
      </c>
      <c r="K5391" s="14" t="s">
        <v>29099</v>
      </c>
      <c r="L5391" s="16" t="s">
        <v>29099</v>
      </c>
      <c r="M5391" s="12">
        <v>-0.505</v>
      </c>
      <c r="N5391" s="14" t="s">
        <v>29099</v>
      </c>
      <c r="O5391" s="14" t="s">
        <v>29099</v>
      </c>
      <c r="P5391" s="14" t="s">
        <v>29099</v>
      </c>
      <c r="Q5391" s="14" t="s">
        <v>29099</v>
      </c>
      <c r="R5391" s="14" t="s">
        <v>29099</v>
      </c>
    </row>
    <row r="5392" spans="1:18" ht="43" customHeight="1" x14ac:dyDescent="0.15">
      <c r="A5392" s="8" t="s">
        <v>29187</v>
      </c>
      <c r="B5392" s="9" t="s">
        <v>29188</v>
      </c>
      <c r="C5392" s="8" t="s">
        <v>29189</v>
      </c>
      <c r="D5392" s="8" t="s">
        <v>29189</v>
      </c>
      <c r="E5392" s="8" t="s">
        <v>29190</v>
      </c>
      <c r="F5392" s="8" t="s">
        <v>29104</v>
      </c>
      <c r="G5392" s="8" t="s">
        <v>29191</v>
      </c>
      <c r="H5392" s="8" t="s">
        <v>29106</v>
      </c>
      <c r="I5392" s="8" t="str">
        <f>HYPERLINK("http://www.cliocerimonia.it/","www.cliocerimonia.it")</f>
        <v>www.cliocerimonia.it</v>
      </c>
      <c r="J5392" s="10">
        <v>104.46599999999999</v>
      </c>
      <c r="K5392" s="10">
        <v>104.46599999999999</v>
      </c>
      <c r="L5392" s="15" t="s">
        <v>29099</v>
      </c>
      <c r="M5392" s="10">
        <v>1.782</v>
      </c>
      <c r="N5392" s="10">
        <v>1.782</v>
      </c>
      <c r="O5392" s="15" t="s">
        <v>29099</v>
      </c>
      <c r="P5392" s="10">
        <v>3</v>
      </c>
      <c r="Q5392" s="10">
        <v>3</v>
      </c>
      <c r="R5392" s="15" t="s">
        <v>29099</v>
      </c>
    </row>
    <row r="5393" spans="1:18" ht="29.5" customHeight="1" x14ac:dyDescent="0.15">
      <c r="A5393" s="11" t="s">
        <v>29192</v>
      </c>
      <c r="B5393" s="1" t="s">
        <v>29193</v>
      </c>
      <c r="C5393" s="11" t="s">
        <v>29194</v>
      </c>
      <c r="D5393" s="11" t="s">
        <v>29194</v>
      </c>
      <c r="E5393" s="11" t="s">
        <v>29195</v>
      </c>
      <c r="F5393" s="11" t="s">
        <v>29096</v>
      </c>
      <c r="G5393" s="11" t="s">
        <v>29178</v>
      </c>
      <c r="H5393" s="11" t="s">
        <v>29179</v>
      </c>
      <c r="I5393" s="11" t="str">
        <f>HYPERLINK("http://www.chiarugi.com/","www.chiarugi.com")</f>
        <v>www.chiarugi.com</v>
      </c>
      <c r="J5393" s="12">
        <v>102.54</v>
      </c>
      <c r="K5393" s="14" t="s">
        <v>29099</v>
      </c>
      <c r="L5393" s="16" t="s">
        <v>29099</v>
      </c>
      <c r="M5393" s="12">
        <v>-0.19800000000000001</v>
      </c>
      <c r="N5393" s="14" t="s">
        <v>29099</v>
      </c>
      <c r="O5393" s="14" t="s">
        <v>29099</v>
      </c>
      <c r="P5393" s="12">
        <v>0</v>
      </c>
      <c r="Q5393" s="14" t="s">
        <v>29099</v>
      </c>
      <c r="R5393" s="14" t="s">
        <v>29099</v>
      </c>
    </row>
    <row r="5394" spans="1:18" ht="43" customHeight="1" x14ac:dyDescent="0.15">
      <c r="A5394" s="8" t="s">
        <v>29196</v>
      </c>
      <c r="B5394" s="9" t="s">
        <v>29197</v>
      </c>
      <c r="C5394" s="8" t="s">
        <v>29198</v>
      </c>
      <c r="D5394" s="8" t="s">
        <v>29198</v>
      </c>
      <c r="E5394" s="8" t="s">
        <v>29199</v>
      </c>
      <c r="F5394" s="8" t="s">
        <v>29096</v>
      </c>
      <c r="G5394" s="8" t="s">
        <v>29200</v>
      </c>
      <c r="H5394" s="8" t="s">
        <v>29156</v>
      </c>
      <c r="I5394" s="8" t="str">
        <f>HYPERLINK("http://www.hashtagsgrottaglie.it/","www.hashtagsgrottaglie.it")</f>
        <v>www.hashtagsgrottaglie.it</v>
      </c>
      <c r="J5394" s="10">
        <v>99.933999999999997</v>
      </c>
      <c r="K5394" s="15" t="s">
        <v>29099</v>
      </c>
      <c r="L5394" s="15" t="s">
        <v>29099</v>
      </c>
      <c r="M5394" s="10">
        <v>6.0410000000000004</v>
      </c>
      <c r="N5394" s="15" t="s">
        <v>29099</v>
      </c>
      <c r="O5394" s="15" t="s">
        <v>29099</v>
      </c>
      <c r="P5394" s="10">
        <v>2</v>
      </c>
      <c r="Q5394" s="15" t="s">
        <v>29099</v>
      </c>
      <c r="R5394" s="15" t="s">
        <v>29099</v>
      </c>
    </row>
    <row r="5395" spans="1:18" ht="17" customHeight="1" x14ac:dyDescent="0.15">
      <c r="A5395" s="11" t="s">
        <v>29201</v>
      </c>
      <c r="B5395" s="1" t="s">
        <v>29202</v>
      </c>
      <c r="C5395" s="11" t="s">
        <v>29203</v>
      </c>
      <c r="D5395" s="11" t="s">
        <v>29203</v>
      </c>
      <c r="E5395" s="11" t="s">
        <v>29204</v>
      </c>
      <c r="F5395" s="11" t="s">
        <v>29172</v>
      </c>
      <c r="G5395" s="11" t="s">
        <v>29205</v>
      </c>
      <c r="H5395" s="11" t="s">
        <v>29206</v>
      </c>
      <c r="I5395" s="11" t="str">
        <f>HYPERLINK("http://www.italfussbett.it/","www.italfussbett.it")</f>
        <v>www.italfussbett.it</v>
      </c>
      <c r="J5395" s="12">
        <v>99.347999999999999</v>
      </c>
      <c r="K5395" s="14" t="s">
        <v>29099</v>
      </c>
      <c r="L5395" s="16" t="s">
        <v>29099</v>
      </c>
      <c r="M5395" s="12">
        <v>77.087999999999994</v>
      </c>
      <c r="N5395" s="14" t="s">
        <v>29099</v>
      </c>
      <c r="O5395" s="14" t="s">
        <v>29099</v>
      </c>
      <c r="P5395" s="12">
        <v>0</v>
      </c>
      <c r="Q5395" s="14" t="s">
        <v>29099</v>
      </c>
      <c r="R5395" s="14" t="s">
        <v>29099</v>
      </c>
    </row>
    <row r="5396" spans="1:18" ht="29.5" customHeight="1" x14ac:dyDescent="0.15">
      <c r="A5396" s="8" t="s">
        <v>29207</v>
      </c>
      <c r="B5396" s="9" t="s">
        <v>29208</v>
      </c>
      <c r="C5396" s="8" t="s">
        <v>29209</v>
      </c>
      <c r="D5396" s="8" t="s">
        <v>29209</v>
      </c>
      <c r="E5396" s="8" t="s">
        <v>29210</v>
      </c>
      <c r="F5396" s="8" t="s">
        <v>29118</v>
      </c>
      <c r="G5396" s="8" t="s">
        <v>29211</v>
      </c>
      <c r="H5396" s="8" t="s">
        <v>29186</v>
      </c>
      <c r="I5396" s="8" t="str">
        <f>HYPERLINK("http://jo-by-julia-srl-07938080962.quantofattura.com/","jo-by-julia-srl-07938080962.quantofattura.com")</f>
        <v>jo-by-julia-srl-07938080962.quantofattura.com</v>
      </c>
      <c r="J5396" s="10">
        <v>98.718999999999994</v>
      </c>
      <c r="K5396" s="15" t="s">
        <v>29099</v>
      </c>
      <c r="L5396" s="15" t="s">
        <v>29099</v>
      </c>
      <c r="M5396" s="10">
        <v>35.549999999999997</v>
      </c>
      <c r="N5396" s="15" t="s">
        <v>29099</v>
      </c>
      <c r="O5396" s="15" t="s">
        <v>29099</v>
      </c>
      <c r="P5396" s="10">
        <v>3</v>
      </c>
      <c r="Q5396" s="15" t="s">
        <v>29099</v>
      </c>
      <c r="R5396" s="15" t="s">
        <v>29099</v>
      </c>
    </row>
    <row r="5397" spans="1:18" ht="43" customHeight="1" x14ac:dyDescent="0.15">
      <c r="A5397" s="11" t="s">
        <v>29212</v>
      </c>
      <c r="B5397" s="1" t="s">
        <v>29213</v>
      </c>
      <c r="C5397" s="11" t="s">
        <v>29214</v>
      </c>
      <c r="D5397" s="11" t="s">
        <v>29214</v>
      </c>
      <c r="E5397" s="11" t="s">
        <v>29215</v>
      </c>
      <c r="F5397" s="11" t="s">
        <v>29096</v>
      </c>
      <c r="G5397" s="11" t="s">
        <v>29216</v>
      </c>
      <c r="H5397" s="11" t="s">
        <v>29106</v>
      </c>
      <c r="I5397" s="11" t="str">
        <f>HYPERLINK("http://www.lunarainemoda.it/","www.lunarainemoda.it")</f>
        <v>www.lunarainemoda.it</v>
      </c>
      <c r="J5397" s="12">
        <v>98.373999999999995</v>
      </c>
      <c r="K5397" s="14" t="s">
        <v>29099</v>
      </c>
      <c r="L5397" s="16" t="s">
        <v>29099</v>
      </c>
      <c r="M5397" s="12">
        <v>12.461</v>
      </c>
      <c r="N5397" s="14" t="s">
        <v>29099</v>
      </c>
      <c r="O5397" s="14" t="s">
        <v>29099</v>
      </c>
      <c r="P5397" s="12">
        <v>0</v>
      </c>
      <c r="Q5397" s="14" t="s">
        <v>29099</v>
      </c>
      <c r="R5397" s="14" t="s">
        <v>29099</v>
      </c>
    </row>
    <row r="5398" spans="1:18" ht="17" customHeight="1" x14ac:dyDescent="0.15">
      <c r="A5398" s="8" t="s">
        <v>29217</v>
      </c>
      <c r="B5398" s="9" t="s">
        <v>29218</v>
      </c>
      <c r="C5398" s="8" t="s">
        <v>29219</v>
      </c>
      <c r="D5398" s="8" t="s">
        <v>29219</v>
      </c>
      <c r="E5398" s="8" t="s">
        <v>29220</v>
      </c>
      <c r="F5398" s="8" t="s">
        <v>29172</v>
      </c>
      <c r="G5398" s="8" t="s">
        <v>29205</v>
      </c>
      <c r="H5398" s="8" t="s">
        <v>29206</v>
      </c>
      <c r="I5398" s="8" t="str">
        <f>HYPERLINK("http://mattiacapezzani.com/","mattiacapezzani.com")</f>
        <v>mattiacapezzani.com</v>
      </c>
      <c r="J5398" s="10">
        <v>98.185000000000002</v>
      </c>
      <c r="K5398" s="10">
        <v>98.185000000000002</v>
      </c>
      <c r="L5398" s="15" t="s">
        <v>29099</v>
      </c>
      <c r="M5398" s="10">
        <v>3.1880000000000002</v>
      </c>
      <c r="N5398" s="10">
        <v>3.1880000000000002</v>
      </c>
      <c r="O5398" s="15" t="s">
        <v>29099</v>
      </c>
      <c r="P5398" s="10">
        <v>12</v>
      </c>
      <c r="Q5398" s="10">
        <v>12</v>
      </c>
      <c r="R5398" s="15" t="s">
        <v>29099</v>
      </c>
    </row>
    <row r="5399" spans="1:18" ht="17" customHeight="1" x14ac:dyDescent="0.15">
      <c r="A5399" s="11" t="s">
        <v>29221</v>
      </c>
      <c r="B5399" s="1" t="s">
        <v>29222</v>
      </c>
      <c r="C5399" s="11" t="s">
        <v>29223</v>
      </c>
      <c r="D5399" s="11" t="s">
        <v>29223</v>
      </c>
      <c r="E5399" s="11" t="s">
        <v>29224</v>
      </c>
      <c r="F5399" s="11" t="s">
        <v>29096</v>
      </c>
      <c r="G5399" s="11" t="s">
        <v>29097</v>
      </c>
      <c r="H5399" s="11" t="s">
        <v>29098</v>
      </c>
      <c r="I5399" s="11" t="str">
        <f>HYPERLINK("http://christianpellizzari.it/","christianpellizzari.it")</f>
        <v>christianpellizzari.it</v>
      </c>
      <c r="J5399" s="12">
        <v>96.846999999999994</v>
      </c>
      <c r="K5399" s="14" t="s">
        <v>29099</v>
      </c>
      <c r="L5399" s="16" t="s">
        <v>29099</v>
      </c>
      <c r="M5399" s="12">
        <v>2.9319999999999999</v>
      </c>
      <c r="N5399" s="14" t="s">
        <v>29099</v>
      </c>
      <c r="O5399" s="14" t="s">
        <v>29099</v>
      </c>
      <c r="P5399" s="12">
        <v>2</v>
      </c>
      <c r="Q5399" s="14" t="s">
        <v>29099</v>
      </c>
      <c r="R5399" s="14" t="s">
        <v>29099</v>
      </c>
    </row>
    <row r="5400" spans="1:18" ht="17" customHeight="1" x14ac:dyDescent="0.15">
      <c r="A5400" s="8" t="s">
        <v>29225</v>
      </c>
      <c r="B5400" s="9" t="s">
        <v>29226</v>
      </c>
      <c r="C5400" s="8" t="s">
        <v>29227</v>
      </c>
      <c r="D5400" s="8" t="s">
        <v>29227</v>
      </c>
      <c r="E5400" s="8" t="s">
        <v>29228</v>
      </c>
      <c r="F5400" s="8" t="s">
        <v>29104</v>
      </c>
      <c r="G5400" s="8" t="s">
        <v>29097</v>
      </c>
      <c r="H5400" s="8" t="s">
        <v>29098</v>
      </c>
      <c r="I5400" s="8" t="str">
        <f>HYPERLINK("http://www.gretelzanotti.com/","www.gretelzanotti.com")</f>
        <v>www.gretelzanotti.com</v>
      </c>
      <c r="J5400" s="10">
        <v>96.063000000000002</v>
      </c>
      <c r="K5400" s="15" t="s">
        <v>29099</v>
      </c>
      <c r="L5400" s="15" t="s">
        <v>29099</v>
      </c>
      <c r="M5400" s="10">
        <v>-53.03</v>
      </c>
      <c r="N5400" s="15" t="s">
        <v>29099</v>
      </c>
      <c r="O5400" s="15" t="s">
        <v>29099</v>
      </c>
      <c r="P5400" s="10">
        <v>1</v>
      </c>
      <c r="Q5400" s="15" t="s">
        <v>29099</v>
      </c>
      <c r="R5400" s="15" t="s">
        <v>29099</v>
      </c>
    </row>
    <row r="5401" spans="1:18" ht="43" customHeight="1" x14ac:dyDescent="0.15">
      <c r="A5401" s="11" t="s">
        <v>29229</v>
      </c>
      <c r="B5401" s="1" t="s">
        <v>29230</v>
      </c>
      <c r="C5401" s="11" t="s">
        <v>29231</v>
      </c>
      <c r="D5401" s="11" t="s">
        <v>29231</v>
      </c>
      <c r="E5401" s="11" t="s">
        <v>29232</v>
      </c>
      <c r="F5401" s="11" t="s">
        <v>29233</v>
      </c>
      <c r="G5401" s="11" t="s">
        <v>29234</v>
      </c>
      <c r="H5401" s="11" t="s">
        <v>29106</v>
      </c>
      <c r="I5401" s="11" t="str">
        <f>HYPERLINK("http://www.majoca.it/","www.majoca.it")</f>
        <v>www.majoca.it</v>
      </c>
      <c r="J5401" s="12">
        <v>94.466999999999999</v>
      </c>
      <c r="K5401" s="14" t="s">
        <v>29099</v>
      </c>
      <c r="L5401" s="16" t="s">
        <v>29099</v>
      </c>
      <c r="M5401" s="12">
        <v>-29.402999999999999</v>
      </c>
      <c r="N5401" s="14" t="s">
        <v>29099</v>
      </c>
      <c r="O5401" s="14" t="s">
        <v>29099</v>
      </c>
      <c r="P5401" s="12">
        <v>3</v>
      </c>
      <c r="Q5401" s="14" t="s">
        <v>29099</v>
      </c>
      <c r="R5401" s="14" t="s">
        <v>29099</v>
      </c>
    </row>
    <row r="5402" spans="1:18" ht="29.5" customHeight="1" x14ac:dyDescent="0.15">
      <c r="A5402" s="8" t="s">
        <v>29235</v>
      </c>
      <c r="B5402" s="9" t="s">
        <v>29236</v>
      </c>
      <c r="C5402" s="8" t="s">
        <v>29237</v>
      </c>
      <c r="D5402" s="8" t="s">
        <v>29238</v>
      </c>
      <c r="E5402" s="8" t="s">
        <v>29239</v>
      </c>
      <c r="F5402" s="8" t="s">
        <v>29118</v>
      </c>
      <c r="G5402" s="8" t="s">
        <v>29178</v>
      </c>
      <c r="H5402" s="8" t="s">
        <v>29179</v>
      </c>
      <c r="I5402" s="8" t="str">
        <f>HYPERLINK("http://www.laflavoriartigianalifemminili.it/","www.laflavoriartigianalifemminili.it")</f>
        <v>www.laflavoriartigianalifemminili.it</v>
      </c>
      <c r="J5402" s="10">
        <v>94.332999999999998</v>
      </c>
      <c r="K5402" s="15" t="s">
        <v>29099</v>
      </c>
      <c r="L5402" s="15" t="s">
        <v>29099</v>
      </c>
      <c r="M5402" s="10">
        <v>-20.916</v>
      </c>
      <c r="N5402" s="15" t="s">
        <v>29099</v>
      </c>
      <c r="O5402" s="15" t="s">
        <v>29099</v>
      </c>
      <c r="P5402" s="10">
        <v>1</v>
      </c>
      <c r="Q5402" s="15" t="s">
        <v>29099</v>
      </c>
      <c r="R5402" s="15" t="s">
        <v>29099</v>
      </c>
    </row>
    <row r="5403" spans="1:18" ht="43" customHeight="1" x14ac:dyDescent="0.15">
      <c r="A5403" s="11" t="s">
        <v>29240</v>
      </c>
      <c r="B5403" s="1" t="s">
        <v>29241</v>
      </c>
      <c r="C5403" s="11" t="s">
        <v>29242</v>
      </c>
      <c r="D5403" s="11" t="s">
        <v>29242</v>
      </c>
      <c r="E5403" s="11" t="s">
        <v>29243</v>
      </c>
      <c r="F5403" s="11" t="s">
        <v>29096</v>
      </c>
      <c r="G5403" s="11" t="s">
        <v>29244</v>
      </c>
      <c r="H5403" s="11" t="s">
        <v>29179</v>
      </c>
      <c r="I5403" s="11" t="str">
        <f>HYPERLINK("http://www.oldsoccer.it/","www.oldsoccer.it")</f>
        <v>www.oldsoccer.it</v>
      </c>
      <c r="J5403" s="12">
        <v>94.069000000000003</v>
      </c>
      <c r="K5403" s="14" t="s">
        <v>29099</v>
      </c>
      <c r="L5403" s="16" t="s">
        <v>29099</v>
      </c>
      <c r="M5403" s="12">
        <v>5.2779999999999996</v>
      </c>
      <c r="N5403" s="14" t="s">
        <v>29099</v>
      </c>
      <c r="O5403" s="14" t="s">
        <v>29099</v>
      </c>
      <c r="P5403" s="12">
        <v>0</v>
      </c>
      <c r="Q5403" s="14" t="s">
        <v>29099</v>
      </c>
      <c r="R5403" s="14" t="s">
        <v>29099</v>
      </c>
    </row>
    <row r="5404" spans="1:18" ht="29.5" customHeight="1" x14ac:dyDescent="0.15">
      <c r="A5404" s="8" t="s">
        <v>29245</v>
      </c>
      <c r="B5404" s="9" t="s">
        <v>29246</v>
      </c>
      <c r="C5404" s="8" t="s">
        <v>29247</v>
      </c>
      <c r="D5404" s="8" t="s">
        <v>29247</v>
      </c>
      <c r="E5404" s="8" t="s">
        <v>29248</v>
      </c>
      <c r="F5404" s="8" t="s">
        <v>29096</v>
      </c>
      <c r="G5404" s="8" t="s">
        <v>29249</v>
      </c>
      <c r="H5404" s="8" t="s">
        <v>29186</v>
      </c>
      <c r="I5404" s="8" t="str">
        <f>HYPERLINK("http://happydayscollection.com/","happydayscollection.com")</f>
        <v>happydayscollection.com</v>
      </c>
      <c r="J5404" s="10">
        <v>93.762</v>
      </c>
      <c r="K5404" s="15" t="s">
        <v>29099</v>
      </c>
      <c r="L5404" s="15" t="s">
        <v>29099</v>
      </c>
      <c r="M5404" s="10">
        <v>47.277999999999999</v>
      </c>
      <c r="N5404" s="15" t="s">
        <v>29099</v>
      </c>
      <c r="O5404" s="15" t="s">
        <v>29099</v>
      </c>
      <c r="P5404" s="10">
        <v>0</v>
      </c>
      <c r="Q5404" s="15" t="s">
        <v>29099</v>
      </c>
      <c r="R5404" s="15" t="s">
        <v>29099</v>
      </c>
    </row>
    <row r="5405" spans="1:18" ht="17" customHeight="1" x14ac:dyDescent="0.15">
      <c r="A5405" s="11" t="s">
        <v>29250</v>
      </c>
      <c r="B5405" s="1" t="s">
        <v>29251</v>
      </c>
      <c r="C5405" s="11" t="s">
        <v>29252</v>
      </c>
      <c r="D5405" s="11" t="s">
        <v>29252</v>
      </c>
      <c r="E5405" s="11" t="s">
        <v>29253</v>
      </c>
      <c r="F5405" s="11" t="s">
        <v>29126</v>
      </c>
      <c r="G5405" s="11" t="s">
        <v>29161</v>
      </c>
      <c r="H5405" s="11" t="s">
        <v>29162</v>
      </c>
      <c r="I5405" s="11" t="str">
        <f>HYPERLINK("http://www.pelletteriachance.com/","www.pelletteriachance.com")</f>
        <v>www.pelletteriachance.com</v>
      </c>
      <c r="J5405" s="12">
        <v>93.320999999999998</v>
      </c>
      <c r="K5405" s="14" t="s">
        <v>29099</v>
      </c>
      <c r="L5405" s="16" t="s">
        <v>29099</v>
      </c>
      <c r="M5405" s="12">
        <v>-15.35</v>
      </c>
      <c r="N5405" s="14" t="s">
        <v>29099</v>
      </c>
      <c r="O5405" s="14" t="s">
        <v>29099</v>
      </c>
      <c r="P5405" s="12">
        <v>1</v>
      </c>
      <c r="Q5405" s="14" t="s">
        <v>29099</v>
      </c>
      <c r="R5405" s="14" t="s">
        <v>29099</v>
      </c>
    </row>
    <row r="5406" spans="1:18" ht="17" customHeight="1" x14ac:dyDescent="0.15">
      <c r="A5406" s="8" t="s">
        <v>29254</v>
      </c>
      <c r="B5406" s="9" t="s">
        <v>29255</v>
      </c>
      <c r="C5406" s="8" t="s">
        <v>29256</v>
      </c>
      <c r="D5406" s="8" t="s">
        <v>29256</v>
      </c>
      <c r="E5406" s="8" t="s">
        <v>29257</v>
      </c>
      <c r="F5406" s="8" t="s">
        <v>29258</v>
      </c>
      <c r="G5406" s="8" t="s">
        <v>29259</v>
      </c>
      <c r="H5406" s="8" t="s">
        <v>29106</v>
      </c>
      <c r="I5406" s="8" t="str">
        <f>HYPERLINK("http://www.habitus.it/","www.habitus.it")</f>
        <v>www.habitus.it</v>
      </c>
      <c r="J5406" s="10">
        <v>92.863</v>
      </c>
      <c r="K5406" s="15" t="s">
        <v>29099</v>
      </c>
      <c r="L5406" s="15" t="s">
        <v>29099</v>
      </c>
      <c r="M5406" s="10">
        <v>30.661999999999999</v>
      </c>
      <c r="N5406" s="15" t="s">
        <v>29099</v>
      </c>
      <c r="O5406" s="15" t="s">
        <v>29099</v>
      </c>
      <c r="P5406" s="10">
        <v>3</v>
      </c>
      <c r="Q5406" s="15" t="s">
        <v>29099</v>
      </c>
      <c r="R5406" s="15" t="s">
        <v>29099</v>
      </c>
    </row>
    <row r="5407" spans="1:18" ht="17" customHeight="1" x14ac:dyDescent="0.15">
      <c r="A5407" s="11" t="s">
        <v>29260</v>
      </c>
      <c r="B5407" s="1" t="s">
        <v>29261</v>
      </c>
      <c r="C5407" s="11" t="s">
        <v>29262</v>
      </c>
      <c r="D5407" s="11" t="s">
        <v>29262</v>
      </c>
      <c r="E5407" s="11" t="s">
        <v>29263</v>
      </c>
      <c r="F5407" s="11" t="s">
        <v>29172</v>
      </c>
      <c r="G5407" s="11" t="s">
        <v>29264</v>
      </c>
      <c r="H5407" s="11" t="s">
        <v>29186</v>
      </c>
      <c r="I5407" s="11" t="str">
        <f>HYPERLINK("http://www.calzaturezamagni.it/","www.calzaturezamagni.it")</f>
        <v>www.calzaturezamagni.it</v>
      </c>
      <c r="J5407" s="12">
        <v>89.638999999999996</v>
      </c>
      <c r="K5407" s="14" t="s">
        <v>29099</v>
      </c>
      <c r="L5407" s="16" t="s">
        <v>29099</v>
      </c>
      <c r="M5407" s="12">
        <v>-29.122</v>
      </c>
      <c r="N5407" s="14" t="s">
        <v>29099</v>
      </c>
      <c r="O5407" s="14" t="s">
        <v>29099</v>
      </c>
      <c r="P5407" s="12">
        <v>0</v>
      </c>
      <c r="Q5407" s="14" t="s">
        <v>29099</v>
      </c>
      <c r="R5407" s="14" t="s">
        <v>29099</v>
      </c>
    </row>
    <row r="5408" spans="1:18" ht="43" customHeight="1" x14ac:dyDescent="0.15">
      <c r="A5408" s="8" t="s">
        <v>29265</v>
      </c>
      <c r="B5408" s="9" t="s">
        <v>29266</v>
      </c>
      <c r="C5408" s="8" t="s">
        <v>29267</v>
      </c>
      <c r="D5408" s="8" t="s">
        <v>29267</v>
      </c>
      <c r="E5408" s="8" t="s">
        <v>29268</v>
      </c>
      <c r="F5408" s="8" t="s">
        <v>29118</v>
      </c>
      <c r="G5408" s="8" t="s">
        <v>29127</v>
      </c>
      <c r="H5408" s="8" t="s">
        <v>29128</v>
      </c>
      <c r="I5408" s="8" t="str">
        <f>HYPERLINK("http://penjoitalia.it/","penjoitalia.it")</f>
        <v>penjoitalia.it</v>
      </c>
      <c r="J5408" s="10">
        <v>88.045000000000002</v>
      </c>
      <c r="K5408" s="15" t="s">
        <v>29099</v>
      </c>
      <c r="L5408" s="15" t="s">
        <v>29099</v>
      </c>
      <c r="M5408" s="10">
        <v>5.3659999999999997</v>
      </c>
      <c r="N5408" s="15" t="s">
        <v>29099</v>
      </c>
      <c r="O5408" s="15" t="s">
        <v>29099</v>
      </c>
      <c r="P5408" s="10">
        <v>1</v>
      </c>
      <c r="Q5408" s="15" t="s">
        <v>29099</v>
      </c>
      <c r="R5408" s="15" t="s">
        <v>29099</v>
      </c>
    </row>
    <row r="5409" spans="1:18" ht="17" customHeight="1" x14ac:dyDescent="0.15">
      <c r="A5409" s="11" t="s">
        <v>29269</v>
      </c>
      <c r="B5409" s="1" t="s">
        <v>29270</v>
      </c>
      <c r="C5409" s="11" t="s">
        <v>29271</v>
      </c>
      <c r="D5409" s="11" t="s">
        <v>29271</v>
      </c>
      <c r="E5409" s="11" t="s">
        <v>29272</v>
      </c>
      <c r="F5409" s="11" t="s">
        <v>29273</v>
      </c>
      <c r="G5409" s="11" t="s">
        <v>29274</v>
      </c>
      <c r="H5409" s="11" t="s">
        <v>29275</v>
      </c>
      <c r="I5409" s="11" t="str">
        <f>HYPERLINK("http://www.voguesposaalassio.it/","www.voguesposaalassio.it")</f>
        <v>www.voguesposaalassio.it</v>
      </c>
      <c r="J5409" s="12">
        <v>84.070999999999998</v>
      </c>
      <c r="K5409" s="14" t="s">
        <v>29276</v>
      </c>
      <c r="L5409" s="16" t="s">
        <v>29276</v>
      </c>
      <c r="M5409" s="12">
        <v>4.2679999999999998</v>
      </c>
      <c r="N5409" s="14" t="s">
        <v>29276</v>
      </c>
      <c r="O5409" s="14" t="s">
        <v>29276</v>
      </c>
      <c r="P5409" s="12">
        <v>0</v>
      </c>
      <c r="Q5409" s="14" t="s">
        <v>29276</v>
      </c>
      <c r="R5409" s="14" t="s">
        <v>29276</v>
      </c>
    </row>
    <row r="5410" spans="1:18" ht="17" customHeight="1" x14ac:dyDescent="0.15">
      <c r="A5410" s="8" t="s">
        <v>29277</v>
      </c>
      <c r="B5410" s="9" t="s">
        <v>29278</v>
      </c>
      <c r="C5410" s="8" t="s">
        <v>29279</v>
      </c>
      <c r="D5410" s="8" t="s">
        <v>29279</v>
      </c>
      <c r="E5410" s="8" t="s">
        <v>29280</v>
      </c>
      <c r="F5410" s="8" t="s">
        <v>29281</v>
      </c>
      <c r="G5410" s="8" t="s">
        <v>29282</v>
      </c>
      <c r="H5410" s="8" t="s">
        <v>29283</v>
      </c>
      <c r="I5410" s="8" t="str">
        <f>HYPERLINK("http://www.gpmoda.it/","www.gpmoda.it")</f>
        <v>www.gpmoda.it</v>
      </c>
      <c r="J5410" s="10">
        <v>84.061999999999998</v>
      </c>
      <c r="K5410" s="15" t="s">
        <v>29276</v>
      </c>
      <c r="L5410" s="15" t="s">
        <v>29276</v>
      </c>
      <c r="M5410" s="10">
        <v>18.52</v>
      </c>
      <c r="N5410" s="15" t="s">
        <v>29276</v>
      </c>
      <c r="O5410" s="15" t="s">
        <v>29276</v>
      </c>
      <c r="P5410" s="10">
        <v>0</v>
      </c>
      <c r="Q5410" s="15" t="s">
        <v>29276</v>
      </c>
      <c r="R5410" s="15" t="s">
        <v>29276</v>
      </c>
    </row>
    <row r="5411" spans="1:18" ht="17" customHeight="1" x14ac:dyDescent="0.15">
      <c r="A5411" s="11" t="s">
        <v>29284</v>
      </c>
      <c r="B5411" s="1" t="s">
        <v>29285</v>
      </c>
      <c r="C5411" s="11" t="s">
        <v>29286</v>
      </c>
      <c r="D5411" s="11" t="s">
        <v>29286</v>
      </c>
      <c r="E5411" s="11" t="s">
        <v>29287</v>
      </c>
      <c r="F5411" s="11" t="s">
        <v>29288</v>
      </c>
      <c r="G5411" s="11" t="s">
        <v>29289</v>
      </c>
      <c r="H5411" s="11" t="s">
        <v>29290</v>
      </c>
      <c r="I5411" s="11" t="str">
        <f>HYPERLINK("http://drangelofusco.com/","drangelofusco.com")</f>
        <v>drangelofusco.com</v>
      </c>
      <c r="J5411" s="12">
        <v>83.549000000000007</v>
      </c>
      <c r="K5411" s="14" t="s">
        <v>29276</v>
      </c>
      <c r="L5411" s="16" t="s">
        <v>29276</v>
      </c>
      <c r="M5411" s="12">
        <v>34.286999999999999</v>
      </c>
      <c r="N5411" s="14" t="s">
        <v>29276</v>
      </c>
      <c r="O5411" s="14" t="s">
        <v>29276</v>
      </c>
      <c r="P5411" s="12">
        <v>1</v>
      </c>
      <c r="Q5411" s="14" t="s">
        <v>29276</v>
      </c>
      <c r="R5411" s="14" t="s">
        <v>29276</v>
      </c>
    </row>
    <row r="5412" spans="1:18" ht="17" customHeight="1" x14ac:dyDescent="0.15">
      <c r="A5412" s="8" t="s">
        <v>29291</v>
      </c>
      <c r="B5412" s="9" t="s">
        <v>29292</v>
      </c>
      <c r="C5412" s="8" t="s">
        <v>29293</v>
      </c>
      <c r="D5412" s="8" t="s">
        <v>29293</v>
      </c>
      <c r="E5412" s="8" t="s">
        <v>29294</v>
      </c>
      <c r="F5412" s="8" t="s">
        <v>29281</v>
      </c>
      <c r="G5412" s="8" t="s">
        <v>29295</v>
      </c>
      <c r="H5412" s="8" t="s">
        <v>29296</v>
      </c>
      <c r="I5412" s="8" t="str">
        <f>HYPERLINK("http://gmifashion.it/","gmifashion.it")</f>
        <v>gmifashion.it</v>
      </c>
      <c r="J5412" s="10">
        <v>82.802999999999997</v>
      </c>
      <c r="K5412" s="15" t="s">
        <v>29276</v>
      </c>
      <c r="L5412" s="15" t="s">
        <v>29276</v>
      </c>
      <c r="M5412" s="10">
        <v>-19.998999999999999</v>
      </c>
      <c r="N5412" s="15" t="s">
        <v>29276</v>
      </c>
      <c r="O5412" s="15" t="s">
        <v>29276</v>
      </c>
      <c r="P5412" s="10">
        <v>0</v>
      </c>
      <c r="Q5412" s="15" t="s">
        <v>29276</v>
      </c>
      <c r="R5412" s="15" t="s">
        <v>29276</v>
      </c>
    </row>
    <row r="5413" spans="1:18" ht="29.5" customHeight="1" x14ac:dyDescent="0.15">
      <c r="A5413" s="11" t="s">
        <v>29297</v>
      </c>
      <c r="B5413" s="1" t="s">
        <v>29298</v>
      </c>
      <c r="C5413" s="11" t="s">
        <v>29299</v>
      </c>
      <c r="D5413" s="11" t="s">
        <v>29299</v>
      </c>
      <c r="E5413" s="11" t="s">
        <v>29300</v>
      </c>
      <c r="F5413" s="11" t="s">
        <v>29273</v>
      </c>
      <c r="G5413" s="11" t="s">
        <v>29295</v>
      </c>
      <c r="H5413" s="11" t="s">
        <v>29296</v>
      </c>
      <c r="I5413" s="11" t="str">
        <f>HYPERLINK("http://morenafannyraimondo.com/","morenafannyraimondo.com")</f>
        <v>morenafannyraimondo.com</v>
      </c>
      <c r="J5413" s="12">
        <v>82.606999999999999</v>
      </c>
      <c r="K5413" s="12">
        <v>82.606999999999999</v>
      </c>
      <c r="L5413" s="16" t="s">
        <v>29276</v>
      </c>
      <c r="M5413" s="12">
        <v>-0.35599999999999998</v>
      </c>
      <c r="N5413" s="12">
        <v>-0.35599999999999998</v>
      </c>
      <c r="O5413" s="14" t="s">
        <v>29276</v>
      </c>
      <c r="P5413" s="12">
        <v>1</v>
      </c>
      <c r="Q5413" s="12">
        <v>1</v>
      </c>
      <c r="R5413" s="14" t="s">
        <v>29276</v>
      </c>
    </row>
    <row r="5414" spans="1:18" ht="17" customHeight="1" x14ac:dyDescent="0.15">
      <c r="A5414" s="8" t="s">
        <v>29301</v>
      </c>
      <c r="B5414" s="9" t="s">
        <v>29302</v>
      </c>
      <c r="C5414" s="8" t="s">
        <v>29303</v>
      </c>
      <c r="D5414" s="8" t="s">
        <v>29303</v>
      </c>
      <c r="E5414" s="8" t="s">
        <v>29304</v>
      </c>
      <c r="F5414" s="8" t="s">
        <v>29305</v>
      </c>
      <c r="G5414" s="8" t="s">
        <v>29306</v>
      </c>
      <c r="H5414" s="8" t="s">
        <v>29307</v>
      </c>
      <c r="I5414" s="8" t="str">
        <f>HYPERLINK("http://www.ntulin.it/","www.ntulin.it")</f>
        <v>www.ntulin.it</v>
      </c>
      <c r="J5414" s="10">
        <v>82.575999999999993</v>
      </c>
      <c r="K5414" s="15" t="s">
        <v>29276</v>
      </c>
      <c r="L5414" s="15" t="s">
        <v>29276</v>
      </c>
      <c r="M5414" s="10">
        <v>0.09</v>
      </c>
      <c r="N5414" s="15" t="s">
        <v>29276</v>
      </c>
      <c r="O5414" s="15" t="s">
        <v>29276</v>
      </c>
      <c r="P5414" s="10">
        <v>0</v>
      </c>
      <c r="Q5414" s="15" t="s">
        <v>29276</v>
      </c>
      <c r="R5414" s="15" t="s">
        <v>29276</v>
      </c>
    </row>
    <row r="5415" spans="1:18" ht="43" customHeight="1" x14ac:dyDescent="0.15">
      <c r="A5415" s="11" t="s">
        <v>29308</v>
      </c>
      <c r="B5415" s="1" t="s">
        <v>29309</v>
      </c>
      <c r="C5415" s="11" t="s">
        <v>29310</v>
      </c>
      <c r="D5415" s="11" t="s">
        <v>29310</v>
      </c>
      <c r="E5415" s="11" t="s">
        <v>29311</v>
      </c>
      <c r="F5415" s="11" t="s">
        <v>29273</v>
      </c>
      <c r="G5415" s="11" t="s">
        <v>29312</v>
      </c>
      <c r="H5415" s="11" t="s">
        <v>29313</v>
      </c>
      <c r="I5415" s="11" t="str">
        <f>HYPERLINK("http://www.zeacouture.it/","www.zeacouture.it")</f>
        <v>www.zeacouture.it</v>
      </c>
      <c r="J5415" s="12">
        <v>82.69</v>
      </c>
      <c r="K5415" s="14" t="s">
        <v>29276</v>
      </c>
      <c r="L5415" s="16" t="s">
        <v>29276</v>
      </c>
      <c r="M5415" s="12">
        <v>5.9930000000000003</v>
      </c>
      <c r="N5415" s="14" t="s">
        <v>29276</v>
      </c>
      <c r="O5415" s="14" t="s">
        <v>29276</v>
      </c>
      <c r="P5415" s="12">
        <v>7</v>
      </c>
      <c r="Q5415" s="14" t="s">
        <v>29276</v>
      </c>
      <c r="R5415" s="14" t="s">
        <v>29276</v>
      </c>
    </row>
    <row r="5416" spans="1:18" ht="17" customHeight="1" x14ac:dyDescent="0.15">
      <c r="A5416" s="8" t="s">
        <v>29314</v>
      </c>
      <c r="B5416" s="9" t="s">
        <v>29315</v>
      </c>
      <c r="C5416" s="8" t="s">
        <v>29316</v>
      </c>
      <c r="D5416" s="8" t="s">
        <v>29316</v>
      </c>
      <c r="E5416" s="8" t="s">
        <v>29317</v>
      </c>
      <c r="F5416" s="8" t="s">
        <v>29318</v>
      </c>
      <c r="G5416" s="8" t="s">
        <v>29319</v>
      </c>
      <c r="H5416" s="8" t="s">
        <v>29290</v>
      </c>
      <c r="I5416" s="8" t="str">
        <f>HYPERLINK("http://www.tolupa.it/","www.tolupa.it")</f>
        <v>www.tolupa.it</v>
      </c>
      <c r="J5416" s="10">
        <v>80.069999999999993</v>
      </c>
      <c r="K5416" s="15" t="s">
        <v>29276</v>
      </c>
      <c r="L5416" s="15" t="s">
        <v>29276</v>
      </c>
      <c r="M5416" s="10">
        <v>-3.8929999999999998</v>
      </c>
      <c r="N5416" s="15" t="s">
        <v>29276</v>
      </c>
      <c r="O5416" s="15" t="s">
        <v>29276</v>
      </c>
      <c r="P5416" s="15" t="s">
        <v>29276</v>
      </c>
      <c r="Q5416" s="15" t="s">
        <v>29276</v>
      </c>
      <c r="R5416" s="15" t="s">
        <v>29276</v>
      </c>
    </row>
    <row r="5417" spans="1:18" ht="17" customHeight="1" x14ac:dyDescent="0.15">
      <c r="A5417" s="11" t="s">
        <v>29320</v>
      </c>
      <c r="B5417" s="1" t="s">
        <v>29321</v>
      </c>
      <c r="C5417" s="11" t="s">
        <v>29322</v>
      </c>
      <c r="D5417" s="11" t="s">
        <v>29322</v>
      </c>
      <c r="E5417" s="11" t="s">
        <v>29323</v>
      </c>
      <c r="F5417" s="11" t="s">
        <v>29273</v>
      </c>
      <c r="G5417" s="11" t="s">
        <v>29324</v>
      </c>
      <c r="H5417" s="11" t="s">
        <v>29325</v>
      </c>
      <c r="I5417" s="11" t="str">
        <f>HYPERLINK("http://www.alpaca-cashmeresilk.com/","www.alpaca-cashmeresilk.com")</f>
        <v>www.alpaca-cashmeresilk.com</v>
      </c>
      <c r="J5417" s="12">
        <v>79.858000000000004</v>
      </c>
      <c r="K5417" s="12">
        <v>79.858000000000004</v>
      </c>
      <c r="L5417" s="16" t="s">
        <v>29276</v>
      </c>
      <c r="M5417" s="12">
        <v>-1.107</v>
      </c>
      <c r="N5417" s="12">
        <v>-1.107</v>
      </c>
      <c r="O5417" s="14" t="s">
        <v>29276</v>
      </c>
      <c r="P5417" s="12">
        <v>1</v>
      </c>
      <c r="Q5417" s="12">
        <v>1</v>
      </c>
      <c r="R5417" s="14" t="s">
        <v>29276</v>
      </c>
    </row>
    <row r="5418" spans="1:18" ht="17" customHeight="1" x14ac:dyDescent="0.15">
      <c r="A5418" s="8" t="s">
        <v>29326</v>
      </c>
      <c r="B5418" s="9" t="s">
        <v>29327</v>
      </c>
      <c r="C5418" s="8" t="s">
        <v>29328</v>
      </c>
      <c r="D5418" s="8" t="s">
        <v>29328</v>
      </c>
      <c r="E5418" s="8" t="s">
        <v>29329</v>
      </c>
      <c r="F5418" s="8" t="s">
        <v>29273</v>
      </c>
      <c r="G5418" s="8" t="s">
        <v>29330</v>
      </c>
      <c r="H5418" s="8" t="s">
        <v>29331</v>
      </c>
      <c r="I5418" s="8" t="str">
        <f>HYPERLINK("http://www.lesposeditommasostrangis.it/","www.lesposeditommasostrangis.it")</f>
        <v>www.lesposeditommasostrangis.it</v>
      </c>
      <c r="J5418" s="10">
        <v>77.147999999999996</v>
      </c>
      <c r="K5418" s="15" t="s">
        <v>29276</v>
      </c>
      <c r="L5418" s="15" t="s">
        <v>29276</v>
      </c>
      <c r="M5418" s="10">
        <v>8.6259999999999994</v>
      </c>
      <c r="N5418" s="15" t="s">
        <v>29276</v>
      </c>
      <c r="O5418" s="15" t="s">
        <v>29276</v>
      </c>
      <c r="P5418" s="10">
        <v>2</v>
      </c>
      <c r="Q5418" s="15" t="s">
        <v>29276</v>
      </c>
      <c r="R5418" s="15" t="s">
        <v>29276</v>
      </c>
    </row>
    <row r="5419" spans="1:18" ht="17" customHeight="1" x14ac:dyDescent="0.15">
      <c r="A5419" s="11" t="s">
        <v>29332</v>
      </c>
      <c r="B5419" s="1" t="s">
        <v>29333</v>
      </c>
      <c r="C5419" s="11" t="s">
        <v>29334</v>
      </c>
      <c r="D5419" s="11" t="s">
        <v>29334</v>
      </c>
      <c r="E5419" s="11" t="s">
        <v>29335</v>
      </c>
      <c r="F5419" s="11" t="s">
        <v>29305</v>
      </c>
      <c r="G5419" s="11" t="s">
        <v>29336</v>
      </c>
      <c r="H5419" s="11" t="s">
        <v>29283</v>
      </c>
      <c r="I5419" s="11" t="str">
        <f>HYPERLINK("http://www.barbara-tricot.com/","www.barbara-tricot.com")</f>
        <v>www.barbara-tricot.com</v>
      </c>
      <c r="J5419" s="12">
        <v>75.875</v>
      </c>
      <c r="K5419" s="14" t="s">
        <v>29276</v>
      </c>
      <c r="L5419" s="16" t="s">
        <v>29276</v>
      </c>
      <c r="M5419" s="12">
        <v>-155.75800000000001</v>
      </c>
      <c r="N5419" s="14" t="s">
        <v>29276</v>
      </c>
      <c r="O5419" s="14" t="s">
        <v>29276</v>
      </c>
      <c r="P5419" s="14" t="s">
        <v>29276</v>
      </c>
      <c r="Q5419" s="14" t="s">
        <v>29276</v>
      </c>
      <c r="R5419" s="14" t="s">
        <v>29276</v>
      </c>
    </row>
    <row r="5420" spans="1:18" ht="29.5" customHeight="1" x14ac:dyDescent="0.15">
      <c r="A5420" s="8" t="s">
        <v>29337</v>
      </c>
      <c r="B5420" s="9" t="s">
        <v>29338</v>
      </c>
      <c r="C5420" s="8" t="s">
        <v>29339</v>
      </c>
      <c r="D5420" s="8" t="s">
        <v>29339</v>
      </c>
      <c r="E5420" s="8" t="s">
        <v>29340</v>
      </c>
      <c r="F5420" s="8" t="s">
        <v>29341</v>
      </c>
      <c r="G5420" s="8" t="s">
        <v>29342</v>
      </c>
      <c r="H5420" s="8" t="s">
        <v>29343</v>
      </c>
      <c r="I5420" s="8" t="str">
        <f>HYPERLINK("http://www.casacciapelletterie.com/","www.casacciapelletterie.com")</f>
        <v>www.casacciapelletterie.com</v>
      </c>
      <c r="J5420" s="10">
        <v>73.314999999999998</v>
      </c>
      <c r="K5420" s="15" t="s">
        <v>29276</v>
      </c>
      <c r="L5420" s="15" t="s">
        <v>29276</v>
      </c>
      <c r="M5420" s="10">
        <v>-4.6589999999999998</v>
      </c>
      <c r="N5420" s="15" t="s">
        <v>29276</v>
      </c>
      <c r="O5420" s="15" t="s">
        <v>29276</v>
      </c>
      <c r="P5420" s="10">
        <v>0</v>
      </c>
      <c r="Q5420" s="15" t="s">
        <v>29276</v>
      </c>
      <c r="R5420" s="15" t="s">
        <v>29276</v>
      </c>
    </row>
    <row r="5421" spans="1:18" ht="17" customHeight="1" x14ac:dyDescent="0.15">
      <c r="A5421" s="11" t="s">
        <v>29344</v>
      </c>
      <c r="B5421" s="1" t="s">
        <v>29345</v>
      </c>
      <c r="C5421" s="11" t="s">
        <v>29346</v>
      </c>
      <c r="D5421" s="11" t="s">
        <v>29346</v>
      </c>
      <c r="E5421" s="11" t="s">
        <v>29347</v>
      </c>
      <c r="F5421" s="11" t="s">
        <v>29348</v>
      </c>
      <c r="G5421" s="11" t="s">
        <v>29349</v>
      </c>
      <c r="H5421" s="11" t="s">
        <v>29350</v>
      </c>
      <c r="I5421" s="11" t="str">
        <f>HYPERLINK("http://www.braintropy.it/","www.braintropy.it")</f>
        <v>www.braintropy.it</v>
      </c>
      <c r="J5421" s="12">
        <v>72.468000000000004</v>
      </c>
      <c r="K5421" s="14" t="s">
        <v>29276</v>
      </c>
      <c r="L5421" s="16" t="s">
        <v>29276</v>
      </c>
      <c r="M5421" s="12">
        <v>3.8740000000000001</v>
      </c>
      <c r="N5421" s="14" t="s">
        <v>29276</v>
      </c>
      <c r="O5421" s="14" t="s">
        <v>29276</v>
      </c>
      <c r="P5421" s="12">
        <v>0</v>
      </c>
      <c r="Q5421" s="14" t="s">
        <v>29276</v>
      </c>
      <c r="R5421" s="14" t="s">
        <v>29276</v>
      </c>
    </row>
    <row r="5422" spans="1:18" ht="17" customHeight="1" x14ac:dyDescent="0.15">
      <c r="A5422" s="8" t="s">
        <v>29351</v>
      </c>
      <c r="B5422" s="9" t="s">
        <v>29352</v>
      </c>
      <c r="C5422" s="8" t="s">
        <v>29353</v>
      </c>
      <c r="D5422" s="8" t="s">
        <v>29353</v>
      </c>
      <c r="E5422" s="8" t="s">
        <v>29354</v>
      </c>
      <c r="F5422" s="8" t="s">
        <v>29273</v>
      </c>
      <c r="G5422" s="8" t="s">
        <v>29355</v>
      </c>
      <c r="H5422" s="8" t="s">
        <v>29356</v>
      </c>
      <c r="I5422" s="8" t="str">
        <f>HYPERLINK("http://www.atelierlaparigina.com/","www.atelierlaparigina.com")</f>
        <v>www.atelierlaparigina.com</v>
      </c>
      <c r="J5422" s="10">
        <v>72.494</v>
      </c>
      <c r="K5422" s="15" t="s">
        <v>29276</v>
      </c>
      <c r="L5422" s="15" t="s">
        <v>29276</v>
      </c>
      <c r="M5422" s="10">
        <v>24.991</v>
      </c>
      <c r="N5422" s="15" t="s">
        <v>29276</v>
      </c>
      <c r="O5422" s="15" t="s">
        <v>29276</v>
      </c>
      <c r="P5422" s="10">
        <v>0</v>
      </c>
      <c r="Q5422" s="15" t="s">
        <v>29276</v>
      </c>
      <c r="R5422" s="15" t="s">
        <v>29276</v>
      </c>
    </row>
    <row r="5423" spans="1:18" ht="17" customHeight="1" x14ac:dyDescent="0.15">
      <c r="A5423" s="11" t="s">
        <v>29357</v>
      </c>
      <c r="B5423" s="1" t="s">
        <v>29358</v>
      </c>
      <c r="C5423" s="11" t="s">
        <v>29359</v>
      </c>
      <c r="D5423" s="11" t="s">
        <v>29359</v>
      </c>
      <c r="E5423" s="11" t="s">
        <v>29360</v>
      </c>
      <c r="F5423" s="11" t="s">
        <v>29273</v>
      </c>
      <c r="G5423" s="11" t="s">
        <v>29361</v>
      </c>
      <c r="H5423" s="11" t="s">
        <v>29307</v>
      </c>
      <c r="I5423" s="11" t="str">
        <f>HYPERLINK("http://www.toispose.com/","www.toispose.com")</f>
        <v>www.toispose.com</v>
      </c>
      <c r="J5423" s="12">
        <v>72.016999999999996</v>
      </c>
      <c r="K5423" s="14" t="s">
        <v>29276</v>
      </c>
      <c r="L5423" s="16" t="s">
        <v>29276</v>
      </c>
      <c r="M5423" s="12">
        <v>-40.642000000000003</v>
      </c>
      <c r="N5423" s="14" t="s">
        <v>29276</v>
      </c>
      <c r="O5423" s="14" t="s">
        <v>29276</v>
      </c>
      <c r="P5423" s="12">
        <v>0</v>
      </c>
      <c r="Q5423" s="14" t="s">
        <v>29276</v>
      </c>
      <c r="R5423" s="14" t="s">
        <v>29276</v>
      </c>
    </row>
    <row r="5424" spans="1:18" ht="43" customHeight="1" x14ac:dyDescent="0.15">
      <c r="A5424" s="8" t="s">
        <v>29362</v>
      </c>
      <c r="B5424" s="9" t="s">
        <v>29363</v>
      </c>
      <c r="C5424" s="8" t="s">
        <v>29364</v>
      </c>
      <c r="D5424" s="8" t="s">
        <v>29364</v>
      </c>
      <c r="E5424" s="8" t="s">
        <v>29365</v>
      </c>
      <c r="F5424" s="8" t="s">
        <v>29273</v>
      </c>
      <c r="G5424" s="8" t="s">
        <v>29366</v>
      </c>
      <c r="H5424" s="8" t="s">
        <v>29331</v>
      </c>
      <c r="I5424" s="8" t="str">
        <f>HYPERLINK("http://www.giusycatapano.com/","www.giusycatapano.com")</f>
        <v>www.giusycatapano.com</v>
      </c>
      <c r="J5424" s="10">
        <v>71.156000000000006</v>
      </c>
      <c r="K5424" s="15" t="s">
        <v>29276</v>
      </c>
      <c r="L5424" s="15" t="s">
        <v>29276</v>
      </c>
      <c r="M5424" s="10">
        <v>10.462</v>
      </c>
      <c r="N5424" s="15" t="s">
        <v>29276</v>
      </c>
      <c r="O5424" s="15" t="s">
        <v>29276</v>
      </c>
      <c r="P5424" s="10">
        <v>2</v>
      </c>
      <c r="Q5424" s="15" t="s">
        <v>29276</v>
      </c>
      <c r="R5424" s="15" t="s">
        <v>29276</v>
      </c>
    </row>
    <row r="5425" spans="1:18" ht="17" customHeight="1" x14ac:dyDescent="0.15">
      <c r="A5425" s="11" t="s">
        <v>29367</v>
      </c>
      <c r="B5425" s="1" t="s">
        <v>29368</v>
      </c>
      <c r="C5425" s="11" t="s">
        <v>29369</v>
      </c>
      <c r="D5425" s="11" t="s">
        <v>29369</v>
      </c>
      <c r="E5425" s="11" t="s">
        <v>29370</v>
      </c>
      <c r="F5425" s="11" t="s">
        <v>29281</v>
      </c>
      <c r="G5425" s="11" t="s">
        <v>29371</v>
      </c>
      <c r="H5425" s="11" t="s">
        <v>29343</v>
      </c>
      <c r="I5425" s="11" t="str">
        <f>HYPERLINK("http://www.bbctrading.it/","www.bbctrading.it")</f>
        <v>www.bbctrading.it</v>
      </c>
      <c r="J5425" s="12">
        <v>70.509</v>
      </c>
      <c r="K5425" s="14" t="s">
        <v>29276</v>
      </c>
      <c r="L5425" s="16" t="s">
        <v>29276</v>
      </c>
      <c r="M5425" s="12">
        <v>-7.0119999999999996</v>
      </c>
      <c r="N5425" s="14" t="s">
        <v>29276</v>
      </c>
      <c r="O5425" s="14" t="s">
        <v>29276</v>
      </c>
      <c r="P5425" s="12">
        <v>0</v>
      </c>
      <c r="Q5425" s="14" t="s">
        <v>29276</v>
      </c>
      <c r="R5425" s="14" t="s">
        <v>29276</v>
      </c>
    </row>
    <row r="5426" spans="1:18" ht="17" customHeight="1" x14ac:dyDescent="0.15">
      <c r="A5426" s="8" t="s">
        <v>29372</v>
      </c>
      <c r="B5426" s="9" t="s">
        <v>29373</v>
      </c>
      <c r="C5426" s="8" t="s">
        <v>29374</v>
      </c>
      <c r="D5426" s="8" t="s">
        <v>29374</v>
      </c>
      <c r="E5426" s="8" t="s">
        <v>29375</v>
      </c>
      <c r="F5426" s="8" t="s">
        <v>29305</v>
      </c>
      <c r="G5426" s="8" t="s">
        <v>29376</v>
      </c>
      <c r="H5426" s="8" t="s">
        <v>29283</v>
      </c>
      <c r="I5426" s="8" t="str">
        <f>HYPERLINK("http://www.brunoangela.com/","www.brunoangela.com")</f>
        <v>www.brunoangela.com</v>
      </c>
      <c r="J5426" s="10">
        <v>70.256</v>
      </c>
      <c r="K5426" s="10">
        <v>70.256</v>
      </c>
      <c r="L5426" s="15" t="s">
        <v>29276</v>
      </c>
      <c r="M5426" s="10">
        <v>-439.31599999999997</v>
      </c>
      <c r="N5426" s="10">
        <v>-439.31599999999997</v>
      </c>
      <c r="O5426" s="15" t="s">
        <v>29276</v>
      </c>
      <c r="P5426" s="10">
        <v>0</v>
      </c>
      <c r="Q5426" s="10">
        <v>0</v>
      </c>
      <c r="R5426" s="15" t="s">
        <v>29276</v>
      </c>
    </row>
    <row r="5427" spans="1:18" ht="17" customHeight="1" x14ac:dyDescent="0.15">
      <c r="A5427" s="11" t="s">
        <v>29377</v>
      </c>
      <c r="B5427" s="1" t="s">
        <v>29378</v>
      </c>
      <c r="C5427" s="11" t="s">
        <v>29379</v>
      </c>
      <c r="D5427" s="11" t="s">
        <v>29379</v>
      </c>
      <c r="E5427" s="11" t="s">
        <v>29380</v>
      </c>
      <c r="F5427" s="11" t="s">
        <v>29288</v>
      </c>
      <c r="G5427" s="11" t="s">
        <v>29381</v>
      </c>
      <c r="H5427" s="11" t="s">
        <v>29382</v>
      </c>
      <c r="I5427" s="11" t="str">
        <f>HYPERLINK("http://lasgym.com/","lasgym.com")</f>
        <v>lasgym.com</v>
      </c>
      <c r="J5427" s="12">
        <v>68.537000000000006</v>
      </c>
      <c r="K5427" s="12">
        <v>68.537000000000006</v>
      </c>
      <c r="L5427" s="16" t="s">
        <v>29276</v>
      </c>
      <c r="M5427" s="12">
        <v>-16.190999999999999</v>
      </c>
      <c r="N5427" s="12">
        <v>-16.190999999999999</v>
      </c>
      <c r="O5427" s="14" t="s">
        <v>29276</v>
      </c>
      <c r="P5427" s="12">
        <v>0</v>
      </c>
      <c r="Q5427" s="12">
        <v>0</v>
      </c>
      <c r="R5427" s="14" t="s">
        <v>29276</v>
      </c>
    </row>
    <row r="5428" spans="1:18" ht="43" customHeight="1" x14ac:dyDescent="0.15">
      <c r="A5428" s="8" t="s">
        <v>29383</v>
      </c>
      <c r="B5428" s="9" t="s">
        <v>29384</v>
      </c>
      <c r="C5428" s="8" t="s">
        <v>29385</v>
      </c>
      <c r="D5428" s="8" t="s">
        <v>29385</v>
      </c>
      <c r="E5428" s="8" t="s">
        <v>29386</v>
      </c>
      <c r="F5428" s="8" t="s">
        <v>29305</v>
      </c>
      <c r="G5428" s="8" t="s">
        <v>29349</v>
      </c>
      <c r="H5428" s="8" t="s">
        <v>29350</v>
      </c>
      <c r="I5428" s="8" t="str">
        <f>HYPERLINK("http://www.studiotessilefurlan.it/","www.studiotessilefurlan.it")</f>
        <v>www.studiotessilefurlan.it</v>
      </c>
      <c r="J5428" s="10">
        <v>66.305000000000007</v>
      </c>
      <c r="K5428" s="15" t="s">
        <v>29276</v>
      </c>
      <c r="L5428" s="15" t="s">
        <v>29276</v>
      </c>
      <c r="M5428" s="10">
        <v>18.475999999999999</v>
      </c>
      <c r="N5428" s="15" t="s">
        <v>29276</v>
      </c>
      <c r="O5428" s="15" t="s">
        <v>29276</v>
      </c>
      <c r="P5428" s="10">
        <v>2</v>
      </c>
      <c r="Q5428" s="15" t="s">
        <v>29276</v>
      </c>
      <c r="R5428" s="15" t="s">
        <v>29276</v>
      </c>
    </row>
    <row r="5429" spans="1:18" ht="43" customHeight="1" x14ac:dyDescent="0.15">
      <c r="A5429" s="11" t="s">
        <v>29387</v>
      </c>
      <c r="B5429" s="1" t="s">
        <v>29388</v>
      </c>
      <c r="C5429" s="11" t="s">
        <v>29389</v>
      </c>
      <c r="D5429" s="11" t="s">
        <v>29389</v>
      </c>
      <c r="E5429" s="11" t="s">
        <v>29390</v>
      </c>
      <c r="F5429" s="11" t="s">
        <v>29391</v>
      </c>
      <c r="G5429" s="11" t="s">
        <v>29392</v>
      </c>
      <c r="H5429" s="11" t="s">
        <v>29393</v>
      </c>
      <c r="I5429" s="11" t="str">
        <f>HYPERLINK("http://www.asgservices.it/","www.asgservices.it")</f>
        <v>www.asgservices.it</v>
      </c>
      <c r="J5429" s="12">
        <v>65.884</v>
      </c>
      <c r="K5429" s="14" t="s">
        <v>29276</v>
      </c>
      <c r="L5429" s="16" t="s">
        <v>29276</v>
      </c>
      <c r="M5429" s="12">
        <v>15.387</v>
      </c>
      <c r="N5429" s="14" t="s">
        <v>29276</v>
      </c>
      <c r="O5429" s="14" t="s">
        <v>29276</v>
      </c>
      <c r="P5429" s="12">
        <v>3</v>
      </c>
      <c r="Q5429" s="14" t="s">
        <v>29276</v>
      </c>
      <c r="R5429" s="14" t="s">
        <v>29276</v>
      </c>
    </row>
    <row r="5430" spans="1:18" ht="17" customHeight="1" x14ac:dyDescent="0.15">
      <c r="A5430" s="8" t="s">
        <v>29394</v>
      </c>
      <c r="B5430" s="9" t="s">
        <v>29395</v>
      </c>
      <c r="C5430" s="8" t="s">
        <v>29396</v>
      </c>
      <c r="D5430" s="8" t="s">
        <v>29396</v>
      </c>
      <c r="E5430" s="8" t="s">
        <v>29397</v>
      </c>
      <c r="F5430" s="8" t="s">
        <v>29348</v>
      </c>
      <c r="G5430" s="8" t="s">
        <v>29398</v>
      </c>
      <c r="H5430" s="8" t="s">
        <v>29313</v>
      </c>
      <c r="I5430" s="8" t="str">
        <f>HYPERLINK("http://www.la-pelle.it/","www.la-pelle.it")</f>
        <v>www.la-pelle.it</v>
      </c>
      <c r="J5430" s="10">
        <v>65.433000000000007</v>
      </c>
      <c r="K5430" s="15" t="s">
        <v>29276</v>
      </c>
      <c r="L5430" s="15" t="s">
        <v>29276</v>
      </c>
      <c r="M5430" s="10">
        <v>5.8920000000000003</v>
      </c>
      <c r="N5430" s="15" t="s">
        <v>29276</v>
      </c>
      <c r="O5430" s="15" t="s">
        <v>29276</v>
      </c>
      <c r="P5430" s="10">
        <v>2</v>
      </c>
      <c r="Q5430" s="15" t="s">
        <v>29276</v>
      </c>
      <c r="R5430" s="15" t="s">
        <v>29276</v>
      </c>
    </row>
    <row r="5431" spans="1:18" ht="29.5" customHeight="1" x14ac:dyDescent="0.15">
      <c r="A5431" s="11" t="s">
        <v>29399</v>
      </c>
      <c r="B5431" s="1" t="s">
        <v>29400</v>
      </c>
      <c r="C5431" s="11" t="s">
        <v>29401</v>
      </c>
      <c r="D5431" s="11" t="s">
        <v>29401</v>
      </c>
      <c r="E5431" s="11" t="s">
        <v>29402</v>
      </c>
      <c r="F5431" s="11" t="s">
        <v>29391</v>
      </c>
      <c r="G5431" s="11" t="s">
        <v>29403</v>
      </c>
      <c r="H5431" s="11" t="s">
        <v>29404</v>
      </c>
      <c r="I5431" s="11" t="str">
        <f>HYPERLINK("http://www.nogs.it/","www.nogs.it")</f>
        <v>www.nogs.it</v>
      </c>
      <c r="J5431" s="12">
        <v>64.616</v>
      </c>
      <c r="K5431" s="14" t="s">
        <v>29276</v>
      </c>
      <c r="L5431" s="16" t="s">
        <v>29276</v>
      </c>
      <c r="M5431" s="12">
        <v>2.4079999999999999</v>
      </c>
      <c r="N5431" s="14" t="s">
        <v>29276</v>
      </c>
      <c r="O5431" s="14" t="s">
        <v>29276</v>
      </c>
      <c r="P5431" s="12">
        <v>1</v>
      </c>
      <c r="Q5431" s="14" t="s">
        <v>29276</v>
      </c>
      <c r="R5431" s="14" t="s">
        <v>29276</v>
      </c>
    </row>
    <row r="5432" spans="1:18" ht="17" customHeight="1" x14ac:dyDescent="0.15">
      <c r="A5432" s="8" t="s">
        <v>29405</v>
      </c>
      <c r="B5432" s="9" t="s">
        <v>29406</v>
      </c>
      <c r="C5432" s="8" t="s">
        <v>29407</v>
      </c>
      <c r="D5432" s="8" t="s">
        <v>29407</v>
      </c>
      <c r="E5432" s="8" t="s">
        <v>29408</v>
      </c>
      <c r="F5432" s="8" t="s">
        <v>29348</v>
      </c>
      <c r="G5432" s="8" t="s">
        <v>29409</v>
      </c>
      <c r="H5432" s="8" t="s">
        <v>29313</v>
      </c>
      <c r="I5432" s="8" t="str">
        <f>HYPERLINK("http://www.nonsolocuoio.com/","www.nonsolocuoio.com")</f>
        <v>www.nonsolocuoio.com</v>
      </c>
      <c r="J5432" s="10">
        <v>64.459000000000003</v>
      </c>
      <c r="K5432" s="15" t="s">
        <v>29276</v>
      </c>
      <c r="L5432" s="15" t="s">
        <v>29276</v>
      </c>
      <c r="M5432" s="10">
        <v>-12.509</v>
      </c>
      <c r="N5432" s="15" t="s">
        <v>29276</v>
      </c>
      <c r="O5432" s="15" t="s">
        <v>29276</v>
      </c>
      <c r="P5432" s="10">
        <v>0</v>
      </c>
      <c r="Q5432" s="15" t="s">
        <v>29276</v>
      </c>
      <c r="R5432" s="15" t="s">
        <v>29276</v>
      </c>
    </row>
    <row r="5433" spans="1:18" ht="17" customHeight="1" x14ac:dyDescent="0.15">
      <c r="A5433" s="11" t="s">
        <v>29410</v>
      </c>
      <c r="B5433" s="1" t="s">
        <v>29411</v>
      </c>
      <c r="C5433" s="11" t="s">
        <v>29412</v>
      </c>
      <c r="D5433" s="11" t="s">
        <v>29412</v>
      </c>
      <c r="E5433" s="11" t="s">
        <v>29413</v>
      </c>
      <c r="F5433" s="11" t="s">
        <v>29318</v>
      </c>
      <c r="G5433" s="11" t="s">
        <v>29371</v>
      </c>
      <c r="H5433" s="11" t="s">
        <v>29343</v>
      </c>
      <c r="I5433" s="11" t="str">
        <f>HYPERLINK("http://luis-figo.com/","luis-figo.com")</f>
        <v>luis-figo.com</v>
      </c>
      <c r="J5433" s="12">
        <v>64</v>
      </c>
      <c r="K5433" s="14" t="s">
        <v>29276</v>
      </c>
      <c r="L5433" s="16" t="s">
        <v>29276</v>
      </c>
      <c r="M5433" s="12">
        <v>-119.233</v>
      </c>
      <c r="N5433" s="14" t="s">
        <v>29276</v>
      </c>
      <c r="O5433" s="14" t="s">
        <v>29276</v>
      </c>
      <c r="P5433" s="14" t="s">
        <v>29276</v>
      </c>
      <c r="Q5433" s="14" t="s">
        <v>29276</v>
      </c>
      <c r="R5433" s="14" t="s">
        <v>29276</v>
      </c>
    </row>
    <row r="5434" spans="1:18" ht="17" customHeight="1" x14ac:dyDescent="0.15">
      <c r="A5434" s="8" t="s">
        <v>29414</v>
      </c>
      <c r="B5434" s="9" t="s">
        <v>29415</v>
      </c>
      <c r="C5434" s="8" t="s">
        <v>29416</v>
      </c>
      <c r="D5434" s="8" t="s">
        <v>29416</v>
      </c>
      <c r="E5434" s="8" t="s">
        <v>29417</v>
      </c>
      <c r="F5434" s="8" t="s">
        <v>29281</v>
      </c>
      <c r="G5434" s="8" t="s">
        <v>29418</v>
      </c>
      <c r="H5434" s="8" t="s">
        <v>29290</v>
      </c>
      <c r="I5434" s="8" t="str">
        <f>HYPERLINK("http://www.gedaconsulting.it/","www.gedaconsulting.it")</f>
        <v>www.gedaconsulting.it</v>
      </c>
      <c r="J5434" s="10">
        <v>64.036000000000001</v>
      </c>
      <c r="K5434" s="15" t="s">
        <v>29276</v>
      </c>
      <c r="L5434" s="15" t="s">
        <v>29276</v>
      </c>
      <c r="M5434" s="10">
        <v>16.507000000000001</v>
      </c>
      <c r="N5434" s="15" t="s">
        <v>29276</v>
      </c>
      <c r="O5434" s="15" t="s">
        <v>29276</v>
      </c>
      <c r="P5434" s="10">
        <v>0</v>
      </c>
      <c r="Q5434" s="15" t="s">
        <v>29276</v>
      </c>
      <c r="R5434" s="15" t="s">
        <v>29276</v>
      </c>
    </row>
    <row r="5435" spans="1:18" ht="17" customHeight="1" x14ac:dyDescent="0.15">
      <c r="A5435" s="11" t="s">
        <v>29419</v>
      </c>
      <c r="B5435" s="1" t="s">
        <v>29420</v>
      </c>
      <c r="C5435" s="11" t="s">
        <v>29421</v>
      </c>
      <c r="D5435" s="11" t="s">
        <v>29421</v>
      </c>
      <c r="E5435" s="11" t="s">
        <v>29422</v>
      </c>
      <c r="F5435" s="11" t="s">
        <v>29391</v>
      </c>
      <c r="G5435" s="11" t="s">
        <v>29423</v>
      </c>
      <c r="H5435" s="11" t="s">
        <v>29343</v>
      </c>
      <c r="I5435" s="11" t="str">
        <f>HYPERLINK("http://www.marcantonigiuseppe.it/","www.marcantonigiuseppe.it")</f>
        <v>www.marcantonigiuseppe.it</v>
      </c>
      <c r="J5435" s="12">
        <v>63.06</v>
      </c>
      <c r="K5435" s="14" t="s">
        <v>29276</v>
      </c>
      <c r="L5435" s="16" t="s">
        <v>29276</v>
      </c>
      <c r="M5435" s="12">
        <v>-5.2380000000000004</v>
      </c>
      <c r="N5435" s="14" t="s">
        <v>29276</v>
      </c>
      <c r="O5435" s="14" t="s">
        <v>29276</v>
      </c>
      <c r="P5435" s="12">
        <v>0</v>
      </c>
      <c r="Q5435" s="14" t="s">
        <v>29276</v>
      </c>
      <c r="R5435" s="14" t="s">
        <v>29276</v>
      </c>
    </row>
    <row r="5436" spans="1:18" ht="17" customHeight="1" x14ac:dyDescent="0.15">
      <c r="A5436" s="8" t="s">
        <v>29424</v>
      </c>
      <c r="B5436" s="9" t="s">
        <v>29425</v>
      </c>
      <c r="C5436" s="8" t="s">
        <v>29426</v>
      </c>
      <c r="D5436" s="8" t="s">
        <v>29426</v>
      </c>
      <c r="E5436" s="8" t="s">
        <v>29427</v>
      </c>
      <c r="F5436" s="8" t="s">
        <v>29428</v>
      </c>
      <c r="G5436" s="8" t="s">
        <v>29429</v>
      </c>
      <c r="H5436" s="8" t="s">
        <v>29296</v>
      </c>
      <c r="I5436" s="8" t="str">
        <f>HYPERLINK("http://www.carym.it/","www.carym.it")</f>
        <v>www.carym.it</v>
      </c>
      <c r="J5436" s="10">
        <v>63.024000000000001</v>
      </c>
      <c r="K5436" s="15" t="s">
        <v>29276</v>
      </c>
      <c r="L5436" s="15" t="s">
        <v>29276</v>
      </c>
      <c r="M5436" s="10">
        <v>3.87</v>
      </c>
      <c r="N5436" s="15" t="s">
        <v>29276</v>
      </c>
      <c r="O5436" s="15" t="s">
        <v>29276</v>
      </c>
      <c r="P5436" s="10">
        <v>0</v>
      </c>
      <c r="Q5436" s="15" t="s">
        <v>29276</v>
      </c>
      <c r="R5436" s="15" t="s">
        <v>29276</v>
      </c>
    </row>
    <row r="5437" spans="1:18" ht="17" customHeight="1" x14ac:dyDescent="0.15">
      <c r="A5437" s="11" t="s">
        <v>29430</v>
      </c>
      <c r="B5437" s="1" t="s">
        <v>29431</v>
      </c>
      <c r="C5437" s="11" t="s">
        <v>29432</v>
      </c>
      <c r="D5437" s="11" t="s">
        <v>29432</v>
      </c>
      <c r="E5437" s="11" t="s">
        <v>29433</v>
      </c>
      <c r="F5437" s="11" t="s">
        <v>29348</v>
      </c>
      <c r="G5437" s="11" t="s">
        <v>29434</v>
      </c>
      <c r="H5437" s="11" t="s">
        <v>29404</v>
      </c>
      <c r="I5437" s="11" t="str">
        <f>HYPERLINK("http://xxcrossconcept.com/","xxcrossconcept.com")</f>
        <v>xxcrossconcept.com</v>
      </c>
      <c r="J5437" s="12">
        <v>62.521000000000001</v>
      </c>
      <c r="K5437" s="14" t="s">
        <v>29276</v>
      </c>
      <c r="L5437" s="16" t="s">
        <v>29276</v>
      </c>
      <c r="M5437" s="12">
        <v>-16.411000000000001</v>
      </c>
      <c r="N5437" s="14" t="s">
        <v>29276</v>
      </c>
      <c r="O5437" s="14" t="s">
        <v>29276</v>
      </c>
      <c r="P5437" s="12">
        <v>2</v>
      </c>
      <c r="Q5437" s="14" t="s">
        <v>29276</v>
      </c>
      <c r="R5437" s="14" t="s">
        <v>29276</v>
      </c>
    </row>
    <row r="5438" spans="1:18" ht="43" customHeight="1" x14ac:dyDescent="0.15">
      <c r="A5438" s="8" t="s">
        <v>29435</v>
      </c>
      <c r="B5438" s="9" t="s">
        <v>29436</v>
      </c>
      <c r="C5438" s="8" t="s">
        <v>29437</v>
      </c>
      <c r="D5438" s="8" t="s">
        <v>29437</v>
      </c>
      <c r="E5438" s="8" t="s">
        <v>29438</v>
      </c>
      <c r="F5438" s="8" t="s">
        <v>29348</v>
      </c>
      <c r="G5438" s="8" t="s">
        <v>29439</v>
      </c>
      <c r="H5438" s="8" t="s">
        <v>29350</v>
      </c>
      <c r="I5438" s="8" t="str">
        <f>HYPERLINK("http://sensocreativo.net/","sensocreativo.net")</f>
        <v>sensocreativo.net</v>
      </c>
      <c r="J5438" s="10">
        <v>61.383000000000003</v>
      </c>
      <c r="K5438" s="15" t="s">
        <v>29276</v>
      </c>
      <c r="L5438" s="15" t="s">
        <v>29276</v>
      </c>
      <c r="M5438" s="10">
        <v>2.7890000000000001</v>
      </c>
      <c r="N5438" s="15" t="s">
        <v>29276</v>
      </c>
      <c r="O5438" s="15" t="s">
        <v>29276</v>
      </c>
      <c r="P5438" s="10">
        <v>0</v>
      </c>
      <c r="Q5438" s="15" t="s">
        <v>29276</v>
      </c>
      <c r="R5438" s="15" t="s">
        <v>29276</v>
      </c>
    </row>
    <row r="5439" spans="1:18" ht="17" customHeight="1" x14ac:dyDescent="0.15">
      <c r="A5439" s="11" t="s">
        <v>29440</v>
      </c>
      <c r="B5439" s="1" t="s">
        <v>29441</v>
      </c>
      <c r="C5439" s="11" t="s">
        <v>29442</v>
      </c>
      <c r="D5439" s="11" t="s">
        <v>29442</v>
      </c>
      <c r="E5439" s="11" t="s">
        <v>29443</v>
      </c>
      <c r="F5439" s="11" t="s">
        <v>29273</v>
      </c>
      <c r="G5439" s="11" t="s">
        <v>29444</v>
      </c>
      <c r="H5439" s="11" t="s">
        <v>29283</v>
      </c>
      <c r="I5439" s="11" t="str">
        <f>HYPERLINK("http://officinadellabito.it/","officinadellabito.it")</f>
        <v>officinadellabito.it</v>
      </c>
      <c r="J5439" s="12">
        <v>61.39</v>
      </c>
      <c r="K5439" s="14" t="s">
        <v>29276</v>
      </c>
      <c r="L5439" s="16" t="s">
        <v>29276</v>
      </c>
      <c r="M5439" s="12">
        <v>-7.1760000000000002</v>
      </c>
      <c r="N5439" s="14" t="s">
        <v>29276</v>
      </c>
      <c r="O5439" s="14" t="s">
        <v>29276</v>
      </c>
      <c r="P5439" s="12">
        <v>3</v>
      </c>
      <c r="Q5439" s="14" t="s">
        <v>29276</v>
      </c>
      <c r="R5439" s="14" t="s">
        <v>29276</v>
      </c>
    </row>
    <row r="5440" spans="1:18" ht="43" customHeight="1" x14ac:dyDescent="0.15">
      <c r="A5440" s="8" t="s">
        <v>29445</v>
      </c>
      <c r="B5440" s="9" t="s">
        <v>29446</v>
      </c>
      <c r="C5440" s="8" t="s">
        <v>29447</v>
      </c>
      <c r="D5440" s="8" t="s">
        <v>29447</v>
      </c>
      <c r="E5440" s="8" t="s">
        <v>29448</v>
      </c>
      <c r="F5440" s="8" t="s">
        <v>29273</v>
      </c>
      <c r="G5440" s="8" t="s">
        <v>29324</v>
      </c>
      <c r="H5440" s="8" t="s">
        <v>29325</v>
      </c>
      <c r="I5440" s="8" t="str">
        <f>HYPERLINK("http://www.lapiccolasartoria.com/","www.lapiccolasartoria.com")</f>
        <v>www.lapiccolasartoria.com</v>
      </c>
      <c r="J5440" s="10">
        <v>60.972999999999999</v>
      </c>
      <c r="K5440" s="15" t="s">
        <v>29276</v>
      </c>
      <c r="L5440" s="15" t="s">
        <v>29276</v>
      </c>
      <c r="M5440" s="10">
        <v>-2.181</v>
      </c>
      <c r="N5440" s="15" t="s">
        <v>29276</v>
      </c>
      <c r="O5440" s="15" t="s">
        <v>29276</v>
      </c>
      <c r="P5440" s="10">
        <v>2</v>
      </c>
      <c r="Q5440" s="15" t="s">
        <v>29276</v>
      </c>
      <c r="R5440" s="15" t="s">
        <v>29276</v>
      </c>
    </row>
    <row r="5441" spans="1:18" ht="29.5" customHeight="1" x14ac:dyDescent="0.15">
      <c r="A5441" s="11" t="s">
        <v>29449</v>
      </c>
      <c r="B5441" s="1" t="s">
        <v>29450</v>
      </c>
      <c r="C5441" s="11" t="s">
        <v>29451</v>
      </c>
      <c r="D5441" s="11" t="s">
        <v>29451</v>
      </c>
      <c r="E5441" s="11" t="s">
        <v>29452</v>
      </c>
      <c r="F5441" s="11" t="s">
        <v>29453</v>
      </c>
      <c r="G5441" s="11" t="s">
        <v>29454</v>
      </c>
      <c r="H5441" s="11" t="s">
        <v>29455</v>
      </c>
      <c r="I5441" s="11" t="str">
        <f>HYPERLINK("http://dublo.it/","dublo.it")</f>
        <v>dublo.it</v>
      </c>
      <c r="J5441" s="12">
        <v>60.37</v>
      </c>
      <c r="K5441" s="14" t="s">
        <v>29456</v>
      </c>
      <c r="L5441" s="16" t="s">
        <v>29456</v>
      </c>
      <c r="M5441" s="12">
        <v>-4.3140000000000001</v>
      </c>
      <c r="N5441" s="14" t="s">
        <v>29456</v>
      </c>
      <c r="O5441" s="14" t="s">
        <v>29456</v>
      </c>
      <c r="P5441" s="12">
        <v>0</v>
      </c>
      <c r="Q5441" s="14" t="s">
        <v>29456</v>
      </c>
      <c r="R5441" s="14" t="s">
        <v>29456</v>
      </c>
    </row>
    <row r="5442" spans="1:18" ht="17" customHeight="1" x14ac:dyDescent="0.15">
      <c r="A5442" s="8" t="s">
        <v>29457</v>
      </c>
      <c r="B5442" s="9" t="s">
        <v>29458</v>
      </c>
      <c r="C5442" s="8" t="s">
        <v>29459</v>
      </c>
      <c r="D5442" s="8" t="s">
        <v>29459</v>
      </c>
      <c r="E5442" s="8" t="s">
        <v>29460</v>
      </c>
      <c r="F5442" s="8" t="s">
        <v>29461</v>
      </c>
      <c r="G5442" s="8" t="s">
        <v>29462</v>
      </c>
      <c r="H5442" s="8" t="s">
        <v>29463</v>
      </c>
      <c r="I5442" s="8" t="str">
        <f>HYPERLINK("http://www.leoche.it/","www.leoche.it")</f>
        <v>www.leoche.it</v>
      </c>
      <c r="J5442" s="10">
        <v>59.174999999999997</v>
      </c>
      <c r="K5442" s="15" t="s">
        <v>29456</v>
      </c>
      <c r="L5442" s="15" t="s">
        <v>29456</v>
      </c>
      <c r="M5442" s="10">
        <v>5.83</v>
      </c>
      <c r="N5442" s="15" t="s">
        <v>29456</v>
      </c>
      <c r="O5442" s="15" t="s">
        <v>29456</v>
      </c>
      <c r="P5442" s="10">
        <v>0</v>
      </c>
      <c r="Q5442" s="15" t="s">
        <v>29456</v>
      </c>
      <c r="R5442" s="15" t="s">
        <v>29456</v>
      </c>
    </row>
    <row r="5443" spans="1:18" ht="29.5" customHeight="1" x14ac:dyDescent="0.15">
      <c r="A5443" s="11" t="s">
        <v>29464</v>
      </c>
      <c r="B5443" s="1" t="s">
        <v>29465</v>
      </c>
      <c r="C5443" s="11" t="s">
        <v>29466</v>
      </c>
      <c r="D5443" s="11" t="s">
        <v>29466</v>
      </c>
      <c r="E5443" s="11" t="s">
        <v>29467</v>
      </c>
      <c r="F5443" s="11" t="s">
        <v>29468</v>
      </c>
      <c r="G5443" s="11" t="s">
        <v>29469</v>
      </c>
      <c r="H5443" s="11" t="s">
        <v>29470</v>
      </c>
      <c r="I5443" s="11" t="str">
        <f>HYPERLINK("http://www.iowaboots.it/","www.iowaboots.it")</f>
        <v>www.iowaboots.it</v>
      </c>
      <c r="J5443" s="12">
        <v>59.131</v>
      </c>
      <c r="K5443" s="14" t="s">
        <v>29456</v>
      </c>
      <c r="L5443" s="16" t="s">
        <v>29456</v>
      </c>
      <c r="M5443" s="12">
        <v>0.54700000000000004</v>
      </c>
      <c r="N5443" s="14" t="s">
        <v>29456</v>
      </c>
      <c r="O5443" s="14" t="s">
        <v>29456</v>
      </c>
      <c r="P5443" s="12">
        <v>1</v>
      </c>
      <c r="Q5443" s="14" t="s">
        <v>29456</v>
      </c>
      <c r="R5443" s="14" t="s">
        <v>29456</v>
      </c>
    </row>
    <row r="5444" spans="1:18" ht="17" customHeight="1" x14ac:dyDescent="0.15">
      <c r="A5444" s="8" t="s">
        <v>29471</v>
      </c>
      <c r="B5444" s="9" t="s">
        <v>29472</v>
      </c>
      <c r="C5444" s="8" t="s">
        <v>29473</v>
      </c>
      <c r="D5444" s="8" t="s">
        <v>29473</v>
      </c>
      <c r="E5444" s="8" t="s">
        <v>29474</v>
      </c>
      <c r="F5444" s="8" t="s">
        <v>29475</v>
      </c>
      <c r="G5444" s="8" t="s">
        <v>29476</v>
      </c>
      <c r="H5444" s="8" t="s">
        <v>29477</v>
      </c>
      <c r="I5444" s="8" t="str">
        <f>HYPERLINK("http://piuminoecolab.it/","piuminoecolab.it")</f>
        <v>piuminoecolab.it</v>
      </c>
      <c r="J5444" s="10">
        <v>58.844000000000001</v>
      </c>
      <c r="K5444" s="10">
        <v>58.844000000000001</v>
      </c>
      <c r="L5444" s="15" t="s">
        <v>29456</v>
      </c>
      <c r="M5444" s="10">
        <v>-1.6339999999999999</v>
      </c>
      <c r="N5444" s="10">
        <v>-1.6339999999999999</v>
      </c>
      <c r="O5444" s="15" t="s">
        <v>29456</v>
      </c>
      <c r="P5444" s="10">
        <v>0</v>
      </c>
      <c r="Q5444" s="10">
        <v>0</v>
      </c>
      <c r="R5444" s="15" t="s">
        <v>29456</v>
      </c>
    </row>
    <row r="5445" spans="1:18" ht="17" customHeight="1" x14ac:dyDescent="0.15">
      <c r="A5445" s="11" t="s">
        <v>29478</v>
      </c>
      <c r="B5445" s="1" t="s">
        <v>29479</v>
      </c>
      <c r="C5445" s="11" t="s">
        <v>29480</v>
      </c>
      <c r="D5445" s="11" t="s">
        <v>29480</v>
      </c>
      <c r="E5445" s="11" t="s">
        <v>29481</v>
      </c>
      <c r="F5445" s="11" t="s">
        <v>29482</v>
      </c>
      <c r="G5445" s="11" t="s">
        <v>29483</v>
      </c>
      <c r="H5445" s="11" t="s">
        <v>29484</v>
      </c>
      <c r="I5445" s="11" t="str">
        <f>HYPERLINK("http://www.osknit.it/","www.osknit.it")</f>
        <v>www.osknit.it</v>
      </c>
      <c r="J5445" s="12">
        <v>55.771999999999998</v>
      </c>
      <c r="K5445" s="14" t="s">
        <v>29456</v>
      </c>
      <c r="L5445" s="16" t="s">
        <v>29456</v>
      </c>
      <c r="M5445" s="12">
        <v>0.129</v>
      </c>
      <c r="N5445" s="14" t="s">
        <v>29456</v>
      </c>
      <c r="O5445" s="14" t="s">
        <v>29456</v>
      </c>
      <c r="P5445" s="12">
        <v>1</v>
      </c>
      <c r="Q5445" s="14" t="s">
        <v>29456</v>
      </c>
      <c r="R5445" s="14" t="s">
        <v>29456</v>
      </c>
    </row>
    <row r="5446" spans="1:18" ht="17" customHeight="1" x14ac:dyDescent="0.15">
      <c r="A5446" s="8" t="s">
        <v>29485</v>
      </c>
      <c r="B5446" s="9" t="s">
        <v>29486</v>
      </c>
      <c r="C5446" s="8" t="s">
        <v>29487</v>
      </c>
      <c r="D5446" s="8" t="s">
        <v>29487</v>
      </c>
      <c r="E5446" s="8" t="s">
        <v>29488</v>
      </c>
      <c r="F5446" s="8" t="s">
        <v>29489</v>
      </c>
      <c r="G5446" s="8" t="s">
        <v>29490</v>
      </c>
      <c r="H5446" s="8" t="s">
        <v>29455</v>
      </c>
      <c r="I5446" s="8" t="str">
        <f>HYPERLINK("http://www.sposissimi.com/","www.sposissimi.com")</f>
        <v>www.sposissimi.com</v>
      </c>
      <c r="J5446" s="10">
        <v>55.07</v>
      </c>
      <c r="K5446" s="10">
        <v>55.07</v>
      </c>
      <c r="L5446" s="15" t="s">
        <v>29456</v>
      </c>
      <c r="M5446" s="10">
        <v>-2.5110000000000001</v>
      </c>
      <c r="N5446" s="10">
        <v>-2.5110000000000001</v>
      </c>
      <c r="O5446" s="15" t="s">
        <v>29456</v>
      </c>
      <c r="P5446" s="10">
        <v>10</v>
      </c>
      <c r="Q5446" s="10">
        <v>10</v>
      </c>
      <c r="R5446" s="15" t="s">
        <v>29456</v>
      </c>
    </row>
    <row r="5447" spans="1:18" ht="17" customHeight="1" x14ac:dyDescent="0.15">
      <c r="A5447" s="11" t="s">
        <v>29491</v>
      </c>
      <c r="B5447" s="1" t="s">
        <v>29492</v>
      </c>
      <c r="C5447" s="11" t="s">
        <v>29493</v>
      </c>
      <c r="D5447" s="11" t="s">
        <v>29493</v>
      </c>
      <c r="E5447" s="11" t="s">
        <v>29494</v>
      </c>
      <c r="F5447" s="11" t="s">
        <v>29495</v>
      </c>
      <c r="G5447" s="11" t="s">
        <v>29496</v>
      </c>
      <c r="H5447" s="11" t="s">
        <v>29497</v>
      </c>
      <c r="I5447" s="11" t="str">
        <f>HYPERLINK("http://www.freremilano.com/","www.freremilano.com")</f>
        <v>www.freremilano.com</v>
      </c>
      <c r="J5447" s="12">
        <v>54.865000000000002</v>
      </c>
      <c r="K5447" s="14" t="s">
        <v>29456</v>
      </c>
      <c r="L5447" s="16" t="s">
        <v>29456</v>
      </c>
      <c r="M5447" s="12">
        <v>38.177</v>
      </c>
      <c r="N5447" s="14" t="s">
        <v>29456</v>
      </c>
      <c r="O5447" s="14" t="s">
        <v>29456</v>
      </c>
      <c r="P5447" s="12">
        <v>2</v>
      </c>
      <c r="Q5447" s="14" t="s">
        <v>29456</v>
      </c>
      <c r="R5447" s="14" t="s">
        <v>29456</v>
      </c>
    </row>
    <row r="5448" spans="1:18" ht="29.5" customHeight="1" x14ac:dyDescent="0.15">
      <c r="A5448" s="8" t="s">
        <v>29498</v>
      </c>
      <c r="B5448" s="9" t="s">
        <v>29499</v>
      </c>
      <c r="C5448" s="8" t="s">
        <v>29500</v>
      </c>
      <c r="D5448" s="8" t="s">
        <v>29500</v>
      </c>
      <c r="E5448" s="8" t="s">
        <v>29501</v>
      </c>
      <c r="F5448" s="8" t="s">
        <v>29502</v>
      </c>
      <c r="G5448" s="8" t="s">
        <v>29503</v>
      </c>
      <c r="H5448" s="8" t="s">
        <v>29504</v>
      </c>
      <c r="I5448" s="8" t="str">
        <f>HYPERLINK("http://www.umbertofarina.it/","www.umbertofarina.it")</f>
        <v>www.umbertofarina.it</v>
      </c>
      <c r="J5448" s="10">
        <v>54.779000000000003</v>
      </c>
      <c r="K5448" s="15" t="s">
        <v>29456</v>
      </c>
      <c r="L5448" s="15" t="s">
        <v>29456</v>
      </c>
      <c r="M5448" s="10">
        <v>-48.259</v>
      </c>
      <c r="N5448" s="15" t="s">
        <v>29456</v>
      </c>
      <c r="O5448" s="15" t="s">
        <v>29456</v>
      </c>
      <c r="P5448" s="10">
        <v>3</v>
      </c>
      <c r="Q5448" s="15" t="s">
        <v>29456</v>
      </c>
      <c r="R5448" s="15" t="s">
        <v>29456</v>
      </c>
    </row>
    <row r="5449" spans="1:18" ht="17" customHeight="1" x14ac:dyDescent="0.15">
      <c r="A5449" s="11" t="s">
        <v>29505</v>
      </c>
      <c r="B5449" s="1" t="s">
        <v>29506</v>
      </c>
      <c r="C5449" s="11" t="s">
        <v>29507</v>
      </c>
      <c r="D5449" s="11" t="s">
        <v>29507</v>
      </c>
      <c r="E5449" s="11" t="s">
        <v>29508</v>
      </c>
      <c r="F5449" s="11" t="s">
        <v>29475</v>
      </c>
      <c r="G5449" s="11" t="s">
        <v>29509</v>
      </c>
      <c r="H5449" s="11" t="s">
        <v>29510</v>
      </c>
      <c r="I5449" s="11" t="str">
        <f>HYPERLINK("http://www.clotheslabco.com/","www.clotheslabco.com")</f>
        <v>www.clotheslabco.com</v>
      </c>
      <c r="J5449" s="12">
        <v>54.174999999999997</v>
      </c>
      <c r="K5449" s="12">
        <v>54.174999999999997</v>
      </c>
      <c r="L5449" s="16" t="s">
        <v>29456</v>
      </c>
      <c r="M5449" s="12">
        <v>7.0000000000000007E-2</v>
      </c>
      <c r="N5449" s="12">
        <v>7.0000000000000007E-2</v>
      </c>
      <c r="O5449" s="14" t="s">
        <v>29456</v>
      </c>
      <c r="P5449" s="12">
        <v>0</v>
      </c>
      <c r="Q5449" s="12">
        <v>0</v>
      </c>
      <c r="R5449" s="14" t="s">
        <v>29456</v>
      </c>
    </row>
    <row r="5450" spans="1:18" ht="17" customHeight="1" x14ac:dyDescent="0.15">
      <c r="A5450" s="8" t="s">
        <v>29511</v>
      </c>
      <c r="B5450" s="9" t="s">
        <v>29512</v>
      </c>
      <c r="C5450" s="8" t="s">
        <v>29513</v>
      </c>
      <c r="D5450" s="8" t="s">
        <v>29513</v>
      </c>
      <c r="E5450" s="8" t="s">
        <v>29514</v>
      </c>
      <c r="F5450" s="8" t="s">
        <v>29489</v>
      </c>
      <c r="G5450" s="8" t="s">
        <v>29515</v>
      </c>
      <c r="H5450" s="8" t="s">
        <v>29516</v>
      </c>
      <c r="I5450" s="8" t="str">
        <f>HYPERLINK("http://sartorialetteriello.it/","sartorialetteriello.it")</f>
        <v>sartorialetteriello.it</v>
      </c>
      <c r="J5450" s="10">
        <v>53.957999999999998</v>
      </c>
      <c r="K5450" s="10">
        <v>53.957999999999998</v>
      </c>
      <c r="L5450" s="15" t="s">
        <v>29456</v>
      </c>
      <c r="M5450" s="10">
        <v>12.029</v>
      </c>
      <c r="N5450" s="10">
        <v>12.029</v>
      </c>
      <c r="O5450" s="15" t="s">
        <v>29456</v>
      </c>
      <c r="P5450" s="15" t="s">
        <v>29456</v>
      </c>
      <c r="Q5450" s="15" t="s">
        <v>29456</v>
      </c>
      <c r="R5450" s="15" t="s">
        <v>29456</v>
      </c>
    </row>
    <row r="5451" spans="1:18" ht="17" customHeight="1" x14ac:dyDescent="0.15">
      <c r="A5451" s="11" t="s">
        <v>29517</v>
      </c>
      <c r="B5451" s="1" t="s">
        <v>29518</v>
      </c>
      <c r="C5451" s="11" t="s">
        <v>29519</v>
      </c>
      <c r="D5451" s="11" t="s">
        <v>29519</v>
      </c>
      <c r="E5451" s="11" t="s">
        <v>29520</v>
      </c>
      <c r="F5451" s="11" t="s">
        <v>29521</v>
      </c>
      <c r="G5451" s="11" t="s">
        <v>29522</v>
      </c>
      <c r="H5451" s="11" t="s">
        <v>29510</v>
      </c>
      <c r="I5451" s="11" t="str">
        <f>HYPERLINK("http://www.ines.it/","www.ines.it")</f>
        <v>www.ines.it</v>
      </c>
      <c r="J5451" s="12">
        <v>54.081000000000003</v>
      </c>
      <c r="K5451" s="14" t="s">
        <v>29456</v>
      </c>
      <c r="L5451" s="16" t="s">
        <v>29456</v>
      </c>
      <c r="M5451" s="12">
        <v>-3.92</v>
      </c>
      <c r="N5451" s="14" t="s">
        <v>29456</v>
      </c>
      <c r="O5451" s="14" t="s">
        <v>29456</v>
      </c>
      <c r="P5451" s="12">
        <v>1</v>
      </c>
      <c r="Q5451" s="14" t="s">
        <v>29456</v>
      </c>
      <c r="R5451" s="14" t="s">
        <v>29456</v>
      </c>
    </row>
    <row r="5452" spans="1:18" ht="17" customHeight="1" x14ac:dyDescent="0.15">
      <c r="A5452" s="8" t="s">
        <v>29523</v>
      </c>
      <c r="B5452" s="9" t="s">
        <v>29524</v>
      </c>
      <c r="C5452" s="8" t="s">
        <v>29525</v>
      </c>
      <c r="D5452" s="8" t="s">
        <v>29525</v>
      </c>
      <c r="E5452" s="8" t="s">
        <v>29526</v>
      </c>
      <c r="F5452" s="8" t="s">
        <v>29468</v>
      </c>
      <c r="G5452" s="8" t="s">
        <v>29527</v>
      </c>
      <c r="H5452" s="8" t="s">
        <v>29455</v>
      </c>
      <c r="I5452" s="8" t="str">
        <f>HYPERLINK("http://www.lsg-group.com/","www.lsg-group.com")</f>
        <v>www.lsg-group.com</v>
      </c>
      <c r="J5452" s="10">
        <v>53.856000000000002</v>
      </c>
      <c r="K5452" s="10">
        <v>53.856000000000002</v>
      </c>
      <c r="L5452" s="15" t="s">
        <v>29456</v>
      </c>
      <c r="M5452" s="10">
        <v>-8.2319999999999993</v>
      </c>
      <c r="N5452" s="10">
        <v>-8.2319999999999993</v>
      </c>
      <c r="O5452" s="15" t="s">
        <v>29456</v>
      </c>
      <c r="P5452" s="10">
        <v>0</v>
      </c>
      <c r="Q5452" s="10">
        <v>0</v>
      </c>
      <c r="R5452" s="15" t="s">
        <v>29456</v>
      </c>
    </row>
    <row r="5453" spans="1:18" ht="17" customHeight="1" x14ac:dyDescent="0.15">
      <c r="A5453" s="11" t="s">
        <v>29528</v>
      </c>
      <c r="B5453" s="1" t="s">
        <v>29529</v>
      </c>
      <c r="C5453" s="11" t="s">
        <v>29530</v>
      </c>
      <c r="D5453" s="11" t="s">
        <v>29530</v>
      </c>
      <c r="E5453" s="11" t="s">
        <v>29531</v>
      </c>
      <c r="F5453" s="11" t="s">
        <v>29489</v>
      </c>
      <c r="G5453" s="11" t="s">
        <v>29462</v>
      </c>
      <c r="H5453" s="11" t="s">
        <v>29463</v>
      </c>
      <c r="I5453" s="11" t="str">
        <f>HYPERLINK("http://www.sartoriaxo.com/","www.sartoriaxo.com")</f>
        <v>www.sartoriaxo.com</v>
      </c>
      <c r="J5453" s="12">
        <v>53.036000000000001</v>
      </c>
      <c r="K5453" s="14" t="s">
        <v>29456</v>
      </c>
      <c r="L5453" s="16" t="s">
        <v>29456</v>
      </c>
      <c r="M5453" s="12">
        <v>-9.3190000000000008</v>
      </c>
      <c r="N5453" s="14" t="s">
        <v>29456</v>
      </c>
      <c r="O5453" s="14" t="s">
        <v>29456</v>
      </c>
      <c r="P5453" s="12">
        <v>2</v>
      </c>
      <c r="Q5453" s="14" t="s">
        <v>29456</v>
      </c>
      <c r="R5453" s="14" t="s">
        <v>29456</v>
      </c>
    </row>
    <row r="5454" spans="1:18" ht="17" customHeight="1" x14ac:dyDescent="0.15">
      <c r="A5454" s="8" t="s">
        <v>29532</v>
      </c>
      <c r="B5454" s="9" t="s">
        <v>29533</v>
      </c>
      <c r="C5454" s="8" t="s">
        <v>29534</v>
      </c>
      <c r="D5454" s="8" t="s">
        <v>29534</v>
      </c>
      <c r="E5454" s="8" t="s">
        <v>29535</v>
      </c>
      <c r="F5454" s="8" t="s">
        <v>29536</v>
      </c>
      <c r="G5454" s="8" t="s">
        <v>29537</v>
      </c>
      <c r="H5454" s="8" t="s">
        <v>29538</v>
      </c>
      <c r="I5454" s="8" t="str">
        <f>HYPERLINK("http://www.capoverso.eu/","www.capoverso.eu")</f>
        <v>www.capoverso.eu</v>
      </c>
      <c r="J5454" s="10">
        <v>52.637</v>
      </c>
      <c r="K5454" s="15" t="s">
        <v>29456</v>
      </c>
      <c r="L5454" s="15" t="s">
        <v>29456</v>
      </c>
      <c r="M5454" s="10">
        <v>-566.63800000000003</v>
      </c>
      <c r="N5454" s="15" t="s">
        <v>29456</v>
      </c>
      <c r="O5454" s="15" t="s">
        <v>29456</v>
      </c>
      <c r="P5454" s="10">
        <v>2</v>
      </c>
      <c r="Q5454" s="15" t="s">
        <v>29456</v>
      </c>
      <c r="R5454" s="15" t="s">
        <v>29456</v>
      </c>
    </row>
    <row r="5455" spans="1:18" ht="17" customHeight="1" x14ac:dyDescent="0.15">
      <c r="A5455" s="11" t="s">
        <v>29539</v>
      </c>
      <c r="B5455" s="1" t="s">
        <v>29540</v>
      </c>
      <c r="C5455" s="11" t="s">
        <v>29541</v>
      </c>
      <c r="D5455" s="11" t="s">
        <v>29541</v>
      </c>
      <c r="E5455" s="11" t="s">
        <v>29542</v>
      </c>
      <c r="F5455" s="11" t="s">
        <v>29461</v>
      </c>
      <c r="G5455" s="11" t="s">
        <v>29543</v>
      </c>
      <c r="H5455" s="11" t="s">
        <v>29516</v>
      </c>
      <c r="I5455" s="11" t="str">
        <f>HYPERLINK("http://lesboulescolorees.com/","lesboulescolorees.com")</f>
        <v>lesboulescolorees.com</v>
      </c>
      <c r="J5455" s="12">
        <v>51.252000000000002</v>
      </c>
      <c r="K5455" s="12">
        <v>51.252000000000002</v>
      </c>
      <c r="L5455" s="16" t="s">
        <v>29456</v>
      </c>
      <c r="M5455" s="12">
        <v>-5.94</v>
      </c>
      <c r="N5455" s="12">
        <v>-5.94</v>
      </c>
      <c r="O5455" s="14" t="s">
        <v>29456</v>
      </c>
      <c r="P5455" s="12">
        <v>1</v>
      </c>
      <c r="Q5455" s="12">
        <v>1</v>
      </c>
      <c r="R5455" s="14" t="s">
        <v>29456</v>
      </c>
    </row>
    <row r="5456" spans="1:18" ht="17" customHeight="1" x14ac:dyDescent="0.15">
      <c r="A5456" s="8" t="s">
        <v>29544</v>
      </c>
      <c r="B5456" s="9" t="s">
        <v>29545</v>
      </c>
      <c r="C5456" s="8" t="s">
        <v>29546</v>
      </c>
      <c r="D5456" s="8" t="s">
        <v>29546</v>
      </c>
      <c r="E5456" s="8" t="s">
        <v>29547</v>
      </c>
      <c r="F5456" s="8" t="s">
        <v>29548</v>
      </c>
      <c r="G5456" s="8" t="s">
        <v>29454</v>
      </c>
      <c r="H5456" s="8" t="s">
        <v>29455</v>
      </c>
      <c r="I5456" s="8" t="str">
        <f>HYPERLINK("http://www.luxuryblankets.net/","www.luxuryblankets.net")</f>
        <v>www.luxuryblankets.net</v>
      </c>
      <c r="J5456" s="10">
        <v>48.860999999999997</v>
      </c>
      <c r="K5456" s="15" t="s">
        <v>29456</v>
      </c>
      <c r="L5456" s="15" t="s">
        <v>29456</v>
      </c>
      <c r="M5456" s="10">
        <v>-75.915000000000006</v>
      </c>
      <c r="N5456" s="15" t="s">
        <v>29456</v>
      </c>
      <c r="O5456" s="15" t="s">
        <v>29456</v>
      </c>
      <c r="P5456" s="15" t="s">
        <v>29456</v>
      </c>
      <c r="Q5456" s="15" t="s">
        <v>29456</v>
      </c>
      <c r="R5456" s="15" t="s">
        <v>29456</v>
      </c>
    </row>
    <row r="5457" spans="1:18" ht="17" customHeight="1" x14ac:dyDescent="0.15">
      <c r="A5457" s="11" t="s">
        <v>29549</v>
      </c>
      <c r="B5457" s="1" t="s">
        <v>29550</v>
      </c>
      <c r="C5457" s="11" t="s">
        <v>29551</v>
      </c>
      <c r="D5457" s="11" t="s">
        <v>29551</v>
      </c>
      <c r="E5457" s="11" t="s">
        <v>29552</v>
      </c>
      <c r="F5457" s="11" t="s">
        <v>29553</v>
      </c>
      <c r="G5457" s="11" t="s">
        <v>29537</v>
      </c>
      <c r="H5457" s="11" t="s">
        <v>29538</v>
      </c>
      <c r="I5457" s="11" t="str">
        <f>HYPERLINK("http://www.matrasbags.it/","www.matrasbags.it")</f>
        <v>www.matrasbags.it</v>
      </c>
      <c r="J5457" s="12">
        <v>47.759</v>
      </c>
      <c r="K5457" s="14" t="s">
        <v>29456</v>
      </c>
      <c r="L5457" s="16" t="s">
        <v>29456</v>
      </c>
      <c r="M5457" s="12">
        <v>15.061</v>
      </c>
      <c r="N5457" s="14" t="s">
        <v>29456</v>
      </c>
      <c r="O5457" s="14" t="s">
        <v>29456</v>
      </c>
      <c r="P5457" s="12">
        <v>0</v>
      </c>
      <c r="Q5457" s="14" t="s">
        <v>29456</v>
      </c>
      <c r="R5457" s="14" t="s">
        <v>29456</v>
      </c>
    </row>
    <row r="5458" spans="1:18" ht="55.75" customHeight="1" x14ac:dyDescent="0.15">
      <c r="A5458" s="8" t="s">
        <v>29554</v>
      </c>
      <c r="B5458" s="9" t="s">
        <v>29555</v>
      </c>
      <c r="C5458" s="8" t="s">
        <v>29556</v>
      </c>
      <c r="D5458" s="8" t="s">
        <v>29556</v>
      </c>
      <c r="E5458" s="8" t="s">
        <v>29557</v>
      </c>
      <c r="F5458" s="8" t="s">
        <v>29489</v>
      </c>
      <c r="G5458" s="8" t="s">
        <v>29522</v>
      </c>
      <c r="H5458" s="8" t="s">
        <v>29510</v>
      </c>
      <c r="I5458" s="8" t="str">
        <f>HYPERLINK("http://www.bridalcoutureexperience.it/","www.bridalcoutureexperience.it")</f>
        <v>www.bridalcoutureexperience.it</v>
      </c>
      <c r="J5458" s="10">
        <v>47.875</v>
      </c>
      <c r="K5458" s="15" t="s">
        <v>29456</v>
      </c>
      <c r="L5458" s="15" t="s">
        <v>29456</v>
      </c>
      <c r="M5458" s="10">
        <v>-26.709</v>
      </c>
      <c r="N5458" s="15" t="s">
        <v>29456</v>
      </c>
      <c r="O5458" s="15" t="s">
        <v>29456</v>
      </c>
      <c r="P5458" s="10">
        <v>2</v>
      </c>
      <c r="Q5458" s="15" t="s">
        <v>29456</v>
      </c>
      <c r="R5458" s="15" t="s">
        <v>29456</v>
      </c>
    </row>
    <row r="5459" spans="1:18" ht="17" customHeight="1" x14ac:dyDescent="0.15">
      <c r="A5459" s="11" t="s">
        <v>29558</v>
      </c>
      <c r="B5459" s="1" t="s">
        <v>29559</v>
      </c>
      <c r="C5459" s="11" t="s">
        <v>29560</v>
      </c>
      <c r="D5459" s="11" t="s">
        <v>29560</v>
      </c>
      <c r="E5459" s="11" t="s">
        <v>29561</v>
      </c>
      <c r="F5459" s="11" t="s">
        <v>29489</v>
      </c>
      <c r="G5459" s="11" t="s">
        <v>29562</v>
      </c>
      <c r="H5459" s="11" t="s">
        <v>29563</v>
      </c>
      <c r="I5459" s="11" t="str">
        <f>HYPERLINK("http://sartorietramas.vetrineitalia.com/","sartorietramas.vetrineitalia.com")</f>
        <v>sartorietramas.vetrineitalia.com</v>
      </c>
      <c r="J5459" s="12">
        <v>47.003999999999998</v>
      </c>
      <c r="K5459" s="14" t="s">
        <v>29456</v>
      </c>
      <c r="L5459" s="16" t="s">
        <v>29456</v>
      </c>
      <c r="M5459" s="12">
        <v>-5.6349999999999998</v>
      </c>
      <c r="N5459" s="14" t="s">
        <v>29456</v>
      </c>
      <c r="O5459" s="14" t="s">
        <v>29456</v>
      </c>
      <c r="P5459" s="12">
        <v>3</v>
      </c>
      <c r="Q5459" s="14" t="s">
        <v>29456</v>
      </c>
      <c r="R5459" s="14" t="s">
        <v>29456</v>
      </c>
    </row>
    <row r="5460" spans="1:18" ht="43" customHeight="1" x14ac:dyDescent="0.15">
      <c r="A5460" s="8" t="s">
        <v>29564</v>
      </c>
      <c r="B5460" s="9" t="s">
        <v>29565</v>
      </c>
      <c r="C5460" s="8" t="s">
        <v>29566</v>
      </c>
      <c r="D5460" s="8" t="s">
        <v>29566</v>
      </c>
      <c r="E5460" s="8" t="s">
        <v>29567</v>
      </c>
      <c r="F5460" s="8" t="s">
        <v>29568</v>
      </c>
      <c r="G5460" s="8" t="s">
        <v>29462</v>
      </c>
      <c r="H5460" s="8" t="s">
        <v>29463</v>
      </c>
      <c r="I5460" s="8" t="str">
        <f>HYPERLINK("http://www.camiceriadesi.it/","www.camiceriadesi.it")</f>
        <v>www.camiceriadesi.it</v>
      </c>
      <c r="J5460" s="10">
        <v>46.256999999999998</v>
      </c>
      <c r="K5460" s="15" t="s">
        <v>29456</v>
      </c>
      <c r="L5460" s="15" t="s">
        <v>29456</v>
      </c>
      <c r="M5460" s="10">
        <v>0.873</v>
      </c>
      <c r="N5460" s="15" t="s">
        <v>29456</v>
      </c>
      <c r="O5460" s="15" t="s">
        <v>29456</v>
      </c>
      <c r="P5460" s="10">
        <v>0</v>
      </c>
      <c r="Q5460" s="15" t="s">
        <v>29456</v>
      </c>
      <c r="R5460" s="15" t="s">
        <v>29456</v>
      </c>
    </row>
    <row r="5461" spans="1:18" ht="17" customHeight="1" x14ac:dyDescent="0.15">
      <c r="A5461" s="11" t="s">
        <v>29569</v>
      </c>
      <c r="B5461" s="1" t="s">
        <v>29570</v>
      </c>
      <c r="C5461" s="11" t="s">
        <v>29571</v>
      </c>
      <c r="D5461" s="11" t="s">
        <v>29571</v>
      </c>
      <c r="E5461" s="11" t="s">
        <v>29572</v>
      </c>
      <c r="F5461" s="11" t="s">
        <v>29453</v>
      </c>
      <c r="G5461" s="11" t="s">
        <v>29462</v>
      </c>
      <c r="H5461" s="11" t="s">
        <v>29463</v>
      </c>
      <c r="I5461" s="11" t="str">
        <f>HYPERLINK("http://arturostories.it/","arturostories.it")</f>
        <v>arturostories.it</v>
      </c>
      <c r="J5461" s="12">
        <v>46.194000000000003</v>
      </c>
      <c r="K5461" s="14" t="s">
        <v>29456</v>
      </c>
      <c r="L5461" s="16" t="s">
        <v>29456</v>
      </c>
      <c r="M5461" s="12">
        <v>-0.96799999999999997</v>
      </c>
      <c r="N5461" s="14" t="s">
        <v>29456</v>
      </c>
      <c r="O5461" s="14" t="s">
        <v>29456</v>
      </c>
      <c r="P5461" s="12">
        <v>0</v>
      </c>
      <c r="Q5461" s="14" t="s">
        <v>29456</v>
      </c>
      <c r="R5461" s="14" t="s">
        <v>29456</v>
      </c>
    </row>
    <row r="5462" spans="1:18" ht="43" customHeight="1" x14ac:dyDescent="0.15">
      <c r="A5462" s="8" t="s">
        <v>29573</v>
      </c>
      <c r="B5462" s="9" t="s">
        <v>29574</v>
      </c>
      <c r="C5462" s="8" t="s">
        <v>29575</v>
      </c>
      <c r="D5462" s="8" t="s">
        <v>29575</v>
      </c>
      <c r="E5462" s="8" t="s">
        <v>29576</v>
      </c>
      <c r="F5462" s="8" t="s">
        <v>29495</v>
      </c>
      <c r="G5462" s="8" t="s">
        <v>29469</v>
      </c>
      <c r="H5462" s="8" t="s">
        <v>29470</v>
      </c>
      <c r="I5462" s="8" t="str">
        <f>HYPERLINK("http://cappelleriadichiara.it/","cappelleriadichiara.it")</f>
        <v>cappelleriadichiara.it</v>
      </c>
      <c r="J5462" s="10">
        <v>44.593000000000004</v>
      </c>
      <c r="K5462" s="10">
        <v>44.593000000000004</v>
      </c>
      <c r="L5462" s="15" t="s">
        <v>29456</v>
      </c>
      <c r="M5462" s="10">
        <v>2.5249999999999999</v>
      </c>
      <c r="N5462" s="10">
        <v>2.5249999999999999</v>
      </c>
      <c r="O5462" s="15" t="s">
        <v>29456</v>
      </c>
      <c r="P5462" s="15" t="s">
        <v>29456</v>
      </c>
      <c r="Q5462" s="15" t="s">
        <v>29456</v>
      </c>
      <c r="R5462" s="15" t="s">
        <v>29456</v>
      </c>
    </row>
    <row r="5463" spans="1:18" ht="29.5" customHeight="1" x14ac:dyDescent="0.15">
      <c r="A5463" s="11" t="s">
        <v>29577</v>
      </c>
      <c r="B5463" s="1" t="s">
        <v>29578</v>
      </c>
      <c r="C5463" s="11" t="s">
        <v>29579</v>
      </c>
      <c r="D5463" s="11" t="s">
        <v>29579</v>
      </c>
      <c r="E5463" s="11" t="s">
        <v>29580</v>
      </c>
      <c r="F5463" s="11" t="s">
        <v>29495</v>
      </c>
      <c r="G5463" s="11" t="s">
        <v>29581</v>
      </c>
      <c r="H5463" s="11" t="s">
        <v>29470</v>
      </c>
      <c r="I5463" s="11" t="str">
        <f>HYPERLINK("http://www.damane.it/","www.damane.it")</f>
        <v>www.damane.it</v>
      </c>
      <c r="J5463" s="12">
        <v>43.148000000000003</v>
      </c>
      <c r="K5463" s="14" t="s">
        <v>29456</v>
      </c>
      <c r="L5463" s="16" t="s">
        <v>29456</v>
      </c>
      <c r="M5463" s="12">
        <v>0.39300000000000002</v>
      </c>
      <c r="N5463" s="14" t="s">
        <v>29456</v>
      </c>
      <c r="O5463" s="14" t="s">
        <v>29456</v>
      </c>
      <c r="P5463" s="12">
        <v>0</v>
      </c>
      <c r="Q5463" s="14" t="s">
        <v>29456</v>
      </c>
      <c r="R5463" s="14" t="s">
        <v>29456</v>
      </c>
    </row>
    <row r="5464" spans="1:18" ht="17" customHeight="1" x14ac:dyDescent="0.15">
      <c r="A5464" s="8" t="s">
        <v>29582</v>
      </c>
      <c r="B5464" s="9" t="s">
        <v>29583</v>
      </c>
      <c r="C5464" s="8" t="s">
        <v>29584</v>
      </c>
      <c r="D5464" s="8" t="s">
        <v>29584</v>
      </c>
      <c r="E5464" s="8" t="s">
        <v>29585</v>
      </c>
      <c r="F5464" s="8" t="s">
        <v>29468</v>
      </c>
      <c r="G5464" s="8" t="s">
        <v>29469</v>
      </c>
      <c r="H5464" s="8" t="s">
        <v>29470</v>
      </c>
      <c r="I5464" s="8" t="str">
        <f>HYPERLINK("http://www.melania.it/","www.melania.it")</f>
        <v>www.melania.it</v>
      </c>
      <c r="J5464" s="10">
        <v>40.76</v>
      </c>
      <c r="K5464" s="15" t="s">
        <v>29456</v>
      </c>
      <c r="L5464" s="15" t="s">
        <v>29456</v>
      </c>
      <c r="M5464" s="10">
        <v>-38.658999999999999</v>
      </c>
      <c r="N5464" s="15" t="s">
        <v>29456</v>
      </c>
      <c r="O5464" s="15" t="s">
        <v>29456</v>
      </c>
      <c r="P5464" s="10">
        <v>0</v>
      </c>
      <c r="Q5464" s="15" t="s">
        <v>29456</v>
      </c>
      <c r="R5464" s="15" t="s">
        <v>29456</v>
      </c>
    </row>
    <row r="5465" spans="1:18" ht="17" customHeight="1" x14ac:dyDescent="0.15">
      <c r="A5465" s="11" t="s">
        <v>29586</v>
      </c>
      <c r="B5465" s="1" t="s">
        <v>29587</v>
      </c>
      <c r="C5465" s="11" t="s">
        <v>29588</v>
      </c>
      <c r="D5465" s="11" t="s">
        <v>29588</v>
      </c>
      <c r="E5465" s="11" t="s">
        <v>29589</v>
      </c>
      <c r="F5465" s="11" t="s">
        <v>29590</v>
      </c>
      <c r="G5465" s="11" t="s">
        <v>29543</v>
      </c>
      <c r="H5465" s="11" t="s">
        <v>29516</v>
      </c>
      <c r="I5465" s="11" t="str">
        <f>HYPERLINK("http://www.rhetrostyle.it/","www.rhetrostyle.it")</f>
        <v>www.rhetrostyle.it</v>
      </c>
      <c r="J5465" s="12">
        <v>39.427999999999997</v>
      </c>
      <c r="K5465" s="14" t="s">
        <v>29456</v>
      </c>
      <c r="L5465" s="16" t="s">
        <v>29456</v>
      </c>
      <c r="M5465" s="12">
        <v>-7.149</v>
      </c>
      <c r="N5465" s="14" t="s">
        <v>29456</v>
      </c>
      <c r="O5465" s="14" t="s">
        <v>29456</v>
      </c>
      <c r="P5465" s="12">
        <v>1</v>
      </c>
      <c r="Q5465" s="14" t="s">
        <v>29456</v>
      </c>
      <c r="R5465" s="14" t="s">
        <v>29456</v>
      </c>
    </row>
    <row r="5466" spans="1:18" ht="43" customHeight="1" x14ac:dyDescent="0.15">
      <c r="A5466" s="8" t="s">
        <v>29591</v>
      </c>
      <c r="B5466" s="9" t="s">
        <v>29592</v>
      </c>
      <c r="C5466" s="8" t="s">
        <v>29593</v>
      </c>
      <c r="D5466" s="8" t="s">
        <v>29593</v>
      </c>
      <c r="E5466" s="8" t="s">
        <v>29594</v>
      </c>
      <c r="F5466" s="8" t="s">
        <v>29595</v>
      </c>
      <c r="G5466" s="8" t="s">
        <v>29469</v>
      </c>
      <c r="H5466" s="8" t="s">
        <v>29470</v>
      </c>
      <c r="I5466" s="8" t="str">
        <f>HYPERLINK("http://www.fabiozama.it/","www.fabiozama.it")</f>
        <v>www.fabiozama.it</v>
      </c>
      <c r="J5466" s="10">
        <v>39.122</v>
      </c>
      <c r="K5466" s="15" t="s">
        <v>29456</v>
      </c>
      <c r="L5466" s="15" t="s">
        <v>29456</v>
      </c>
      <c r="M5466" s="10">
        <v>4.8</v>
      </c>
      <c r="N5466" s="15" t="s">
        <v>29456</v>
      </c>
      <c r="O5466" s="15" t="s">
        <v>29456</v>
      </c>
      <c r="P5466" s="10">
        <v>1</v>
      </c>
      <c r="Q5466" s="15" t="s">
        <v>29456</v>
      </c>
      <c r="R5466" s="15" t="s">
        <v>29456</v>
      </c>
    </row>
    <row r="5467" spans="1:18" ht="17" customHeight="1" x14ac:dyDescent="0.15">
      <c r="A5467" s="11" t="s">
        <v>29596</v>
      </c>
      <c r="B5467" s="1" t="s">
        <v>29597</v>
      </c>
      <c r="C5467" s="11" t="s">
        <v>29598</v>
      </c>
      <c r="D5467" s="11" t="s">
        <v>29598</v>
      </c>
      <c r="E5467" s="11" t="s">
        <v>29599</v>
      </c>
      <c r="F5467" s="11" t="s">
        <v>29590</v>
      </c>
      <c r="G5467" s="11" t="s">
        <v>29600</v>
      </c>
      <c r="H5467" s="11" t="s">
        <v>29497</v>
      </c>
      <c r="I5467" s="11" t="str">
        <f>HYPERLINK("http://www.younig.it/","www.younig.it")</f>
        <v>www.younig.it</v>
      </c>
      <c r="J5467" s="12">
        <v>38.6</v>
      </c>
      <c r="K5467" s="14" t="s">
        <v>29456</v>
      </c>
      <c r="L5467" s="16" t="s">
        <v>29456</v>
      </c>
      <c r="M5467" s="12">
        <v>-147.74799999999999</v>
      </c>
      <c r="N5467" s="14" t="s">
        <v>29456</v>
      </c>
      <c r="O5467" s="14" t="s">
        <v>29456</v>
      </c>
      <c r="P5467" s="12">
        <v>0</v>
      </c>
      <c r="Q5467" s="14" t="s">
        <v>29456</v>
      </c>
      <c r="R5467" s="14" t="s">
        <v>29456</v>
      </c>
    </row>
    <row r="5468" spans="1:18" ht="29.5" customHeight="1" x14ac:dyDescent="0.15">
      <c r="A5468" s="8" t="s">
        <v>29601</v>
      </c>
      <c r="B5468" s="9" t="s">
        <v>29602</v>
      </c>
      <c r="C5468" s="8" t="s">
        <v>29603</v>
      </c>
      <c r="D5468" s="8" t="s">
        <v>29603</v>
      </c>
      <c r="E5468" s="8" t="s">
        <v>29604</v>
      </c>
      <c r="F5468" s="8" t="s">
        <v>29475</v>
      </c>
      <c r="G5468" s="8" t="s">
        <v>29605</v>
      </c>
      <c r="H5468" s="8" t="s">
        <v>29606</v>
      </c>
      <c r="I5468" s="8" t="str">
        <f>HYPERLINK("http://www.filippodanna.it/","www.filippodanna.it")</f>
        <v>www.filippodanna.it</v>
      </c>
      <c r="J5468" s="10">
        <v>38.259</v>
      </c>
      <c r="K5468" s="15" t="s">
        <v>29456</v>
      </c>
      <c r="L5468" s="15" t="s">
        <v>29456</v>
      </c>
      <c r="M5468" s="10">
        <v>-2.1579999999999999</v>
      </c>
      <c r="N5468" s="15" t="s">
        <v>29456</v>
      </c>
      <c r="O5468" s="15" t="s">
        <v>29456</v>
      </c>
      <c r="P5468" s="10">
        <v>0</v>
      </c>
      <c r="Q5468" s="15" t="s">
        <v>29456</v>
      </c>
      <c r="R5468" s="15" t="s">
        <v>29456</v>
      </c>
    </row>
    <row r="5469" spans="1:18" ht="29.5" customHeight="1" x14ac:dyDescent="0.15">
      <c r="A5469" s="11" t="s">
        <v>29607</v>
      </c>
      <c r="B5469" s="1" t="s">
        <v>29608</v>
      </c>
      <c r="C5469" s="11" t="s">
        <v>29609</v>
      </c>
      <c r="D5469" s="11" t="s">
        <v>29609</v>
      </c>
      <c r="E5469" s="11" t="s">
        <v>29610</v>
      </c>
      <c r="F5469" s="11" t="s">
        <v>29475</v>
      </c>
      <c r="G5469" s="11" t="s">
        <v>29611</v>
      </c>
      <c r="H5469" s="11" t="s">
        <v>29612</v>
      </c>
      <c r="I5469" s="11" t="str">
        <f>HYPERLINK("http://www.vittoriatuscany.it/","www.vittoriatuscany.it")</f>
        <v>www.vittoriatuscany.it</v>
      </c>
      <c r="J5469" s="12">
        <v>37.375999999999998</v>
      </c>
      <c r="K5469" s="14" t="s">
        <v>29456</v>
      </c>
      <c r="L5469" s="16" t="s">
        <v>29456</v>
      </c>
      <c r="M5469" s="12">
        <v>0.61</v>
      </c>
      <c r="N5469" s="14" t="s">
        <v>29456</v>
      </c>
      <c r="O5469" s="14" t="s">
        <v>29456</v>
      </c>
      <c r="P5469" s="12">
        <v>1</v>
      </c>
      <c r="Q5469" s="14" t="s">
        <v>29456</v>
      </c>
      <c r="R5469" s="14" t="s">
        <v>29456</v>
      </c>
    </row>
    <row r="5470" spans="1:18" ht="17" customHeight="1" x14ac:dyDescent="0.15">
      <c r="A5470" s="8" t="s">
        <v>29613</v>
      </c>
      <c r="B5470" s="9" t="s">
        <v>29614</v>
      </c>
      <c r="C5470" s="8" t="s">
        <v>29615</v>
      </c>
      <c r="D5470" s="8" t="s">
        <v>29615</v>
      </c>
      <c r="E5470" s="8" t="s">
        <v>29616</v>
      </c>
      <c r="F5470" s="8" t="s">
        <v>29489</v>
      </c>
      <c r="G5470" s="8" t="s">
        <v>29617</v>
      </c>
      <c r="H5470" s="8" t="s">
        <v>29463</v>
      </c>
      <c r="I5470" s="8" t="str">
        <f>HYPERLINK("http://terramadreitalia.com/","terramadreitalia.com")</f>
        <v>terramadreitalia.com</v>
      </c>
      <c r="J5470" s="10">
        <v>36.720999999999997</v>
      </c>
      <c r="K5470" s="10">
        <v>36.720999999999997</v>
      </c>
      <c r="L5470" s="15" t="s">
        <v>29456</v>
      </c>
      <c r="M5470" s="10">
        <v>0.84499999999999997</v>
      </c>
      <c r="N5470" s="10">
        <v>0.84499999999999997</v>
      </c>
      <c r="O5470" s="15" t="s">
        <v>29456</v>
      </c>
      <c r="P5470" s="15" t="s">
        <v>29456</v>
      </c>
      <c r="Q5470" s="15" t="s">
        <v>29456</v>
      </c>
      <c r="R5470" s="15" t="s">
        <v>29456</v>
      </c>
    </row>
    <row r="5471" spans="1:18" ht="17" customHeight="1" x14ac:dyDescent="0.15">
      <c r="A5471" s="11" t="s">
        <v>29618</v>
      </c>
      <c r="B5471" s="1" t="s">
        <v>29619</v>
      </c>
      <c r="C5471" s="11" t="s">
        <v>29620</v>
      </c>
      <c r="D5471" s="11" t="s">
        <v>29620</v>
      </c>
      <c r="E5471" s="11" t="s">
        <v>29621</v>
      </c>
      <c r="F5471" s="11" t="s">
        <v>29622</v>
      </c>
      <c r="G5471" s="11" t="s">
        <v>29623</v>
      </c>
      <c r="H5471" s="11" t="s">
        <v>29455</v>
      </c>
      <c r="I5471" s="11" t="str">
        <f>HYPERLINK("http://www.biemmesport.com/","www.biemmesport.com")</f>
        <v>www.biemmesport.com</v>
      </c>
      <c r="J5471" s="12">
        <v>36</v>
      </c>
      <c r="K5471" s="14" t="s">
        <v>29456</v>
      </c>
      <c r="L5471" s="16" t="s">
        <v>29456</v>
      </c>
      <c r="M5471" s="12">
        <v>-365.64800000000002</v>
      </c>
      <c r="N5471" s="14" t="s">
        <v>29456</v>
      </c>
      <c r="O5471" s="14" t="s">
        <v>29456</v>
      </c>
      <c r="P5471" s="12">
        <v>0</v>
      </c>
      <c r="Q5471" s="14" t="s">
        <v>29456</v>
      </c>
      <c r="R5471" s="14" t="s">
        <v>29456</v>
      </c>
    </row>
    <row r="5472" spans="1:18" ht="17" customHeight="1" x14ac:dyDescent="0.15">
      <c r="A5472" s="8" t="s">
        <v>29624</v>
      </c>
      <c r="B5472" s="9" t="s">
        <v>29625</v>
      </c>
      <c r="C5472" s="8" t="s">
        <v>29626</v>
      </c>
      <c r="D5472" s="8" t="s">
        <v>29626</v>
      </c>
      <c r="E5472" s="8" t="s">
        <v>29627</v>
      </c>
      <c r="F5472" s="8" t="s">
        <v>29628</v>
      </c>
      <c r="G5472" s="8" t="s">
        <v>29629</v>
      </c>
      <c r="H5472" s="8" t="s">
        <v>29497</v>
      </c>
      <c r="I5472" s="8" t="str">
        <f>HYPERLINK("http://www.granfur.it/","www.granfur.it")</f>
        <v>www.granfur.it</v>
      </c>
      <c r="J5472" s="10">
        <v>35.006999999999998</v>
      </c>
      <c r="K5472" s="10">
        <v>35.006999999999998</v>
      </c>
      <c r="L5472" s="15" t="s">
        <v>29456</v>
      </c>
      <c r="M5472" s="10">
        <v>-12.59</v>
      </c>
      <c r="N5472" s="10">
        <v>-12.59</v>
      </c>
      <c r="O5472" s="15" t="s">
        <v>29456</v>
      </c>
      <c r="P5472" s="10">
        <v>3</v>
      </c>
      <c r="Q5472" s="10">
        <v>3</v>
      </c>
      <c r="R5472" s="15" t="s">
        <v>29456</v>
      </c>
    </row>
    <row r="5473" spans="1:18" ht="17" customHeight="1" x14ac:dyDescent="0.15">
      <c r="A5473" s="11" t="s">
        <v>29630</v>
      </c>
      <c r="B5473" s="1" t="s">
        <v>29631</v>
      </c>
      <c r="C5473" s="11" t="s">
        <v>29632</v>
      </c>
      <c r="D5473" s="11" t="s">
        <v>29632</v>
      </c>
      <c r="E5473" s="11" t="s">
        <v>29633</v>
      </c>
      <c r="F5473" s="11" t="s">
        <v>29634</v>
      </c>
      <c r="G5473" s="11" t="s">
        <v>29635</v>
      </c>
      <c r="H5473" s="11" t="s">
        <v>29636</v>
      </c>
      <c r="I5473" s="11" t="str">
        <f>HYPERLINK("http://www.pegasosrl.it/","www.pegasosrl.it")</f>
        <v>www.pegasosrl.it</v>
      </c>
      <c r="J5473" s="12">
        <v>34.908000000000001</v>
      </c>
      <c r="K5473" s="14" t="s">
        <v>29637</v>
      </c>
      <c r="L5473" s="16" t="s">
        <v>29637</v>
      </c>
      <c r="M5473" s="12">
        <v>2.4119999999999999</v>
      </c>
      <c r="N5473" s="14" t="s">
        <v>29637</v>
      </c>
      <c r="O5473" s="14" t="s">
        <v>29637</v>
      </c>
      <c r="P5473" s="12">
        <v>0</v>
      </c>
      <c r="Q5473" s="14" t="s">
        <v>29637</v>
      </c>
      <c r="R5473" s="14" t="s">
        <v>29637</v>
      </c>
    </row>
    <row r="5474" spans="1:18" ht="17" customHeight="1" x14ac:dyDescent="0.15">
      <c r="A5474" s="8" t="s">
        <v>29638</v>
      </c>
      <c r="B5474" s="9" t="s">
        <v>29639</v>
      </c>
      <c r="C5474" s="8" t="s">
        <v>29640</v>
      </c>
      <c r="D5474" s="8" t="s">
        <v>29640</v>
      </c>
      <c r="E5474" s="8" t="s">
        <v>29641</v>
      </c>
      <c r="F5474" s="8" t="s">
        <v>29642</v>
      </c>
      <c r="G5474" s="8" t="s">
        <v>29643</v>
      </c>
      <c r="H5474" s="8" t="s">
        <v>29644</v>
      </c>
      <c r="I5474" s="8" t="str">
        <f>HYPERLINK("http://www.sartoriabenvoluta.it/","www.sartoriabenvoluta.it")</f>
        <v>www.sartoriabenvoluta.it</v>
      </c>
      <c r="J5474" s="10">
        <v>35.051000000000002</v>
      </c>
      <c r="K5474" s="15" t="s">
        <v>29637</v>
      </c>
      <c r="L5474" s="15" t="s">
        <v>29637</v>
      </c>
      <c r="M5474" s="10">
        <v>2.9079999999999999</v>
      </c>
      <c r="N5474" s="15" t="s">
        <v>29637</v>
      </c>
      <c r="O5474" s="15" t="s">
        <v>29637</v>
      </c>
      <c r="P5474" s="15" t="s">
        <v>29637</v>
      </c>
      <c r="Q5474" s="15" t="s">
        <v>29637</v>
      </c>
      <c r="R5474" s="15" t="s">
        <v>29637</v>
      </c>
    </row>
    <row r="5475" spans="1:18" ht="29.5" customHeight="1" x14ac:dyDescent="0.15">
      <c r="A5475" s="11" t="s">
        <v>29645</v>
      </c>
      <c r="B5475" s="1" t="s">
        <v>29646</v>
      </c>
      <c r="C5475" s="11" t="s">
        <v>29647</v>
      </c>
      <c r="D5475" s="11" t="s">
        <v>29647</v>
      </c>
      <c r="E5475" s="11" t="s">
        <v>29648</v>
      </c>
      <c r="F5475" s="11" t="s">
        <v>29649</v>
      </c>
      <c r="G5475" s="11" t="s">
        <v>29650</v>
      </c>
      <c r="H5475" s="11" t="s">
        <v>29651</v>
      </c>
      <c r="I5475" s="11" t="str">
        <f>HYPERLINK("http://www.abbati.biz/","www.abbati.biz")</f>
        <v>www.abbati.biz</v>
      </c>
      <c r="J5475" s="12">
        <v>34.676000000000002</v>
      </c>
      <c r="K5475" s="14" t="s">
        <v>29637</v>
      </c>
      <c r="L5475" s="16" t="s">
        <v>29637</v>
      </c>
      <c r="M5475" s="12">
        <v>-33.603000000000002</v>
      </c>
      <c r="N5475" s="14" t="s">
        <v>29637</v>
      </c>
      <c r="O5475" s="14" t="s">
        <v>29637</v>
      </c>
      <c r="P5475" s="12">
        <v>2</v>
      </c>
      <c r="Q5475" s="14" t="s">
        <v>29637</v>
      </c>
      <c r="R5475" s="14" t="s">
        <v>29637</v>
      </c>
    </row>
    <row r="5476" spans="1:18" ht="17" customHeight="1" x14ac:dyDescent="0.15">
      <c r="A5476" s="8" t="s">
        <v>29652</v>
      </c>
      <c r="B5476" s="9" t="s">
        <v>29653</v>
      </c>
      <c r="C5476" s="8" t="s">
        <v>29654</v>
      </c>
      <c r="D5476" s="8" t="s">
        <v>29654</v>
      </c>
      <c r="E5476" s="8" t="s">
        <v>29655</v>
      </c>
      <c r="F5476" s="8" t="s">
        <v>29656</v>
      </c>
      <c r="G5476" s="8" t="s">
        <v>29657</v>
      </c>
      <c r="H5476" s="8" t="s">
        <v>29644</v>
      </c>
      <c r="I5476" s="8" t="str">
        <f>HYPERLINK("http://www.jedois.it/","www.jedois.it")</f>
        <v>www.jedois.it</v>
      </c>
      <c r="J5476" s="10">
        <v>34.194000000000003</v>
      </c>
      <c r="K5476" s="15" t="s">
        <v>29637</v>
      </c>
      <c r="L5476" s="15" t="s">
        <v>29637</v>
      </c>
      <c r="M5476" s="10">
        <v>1.119</v>
      </c>
      <c r="N5476" s="15" t="s">
        <v>29637</v>
      </c>
      <c r="O5476" s="15" t="s">
        <v>29637</v>
      </c>
      <c r="P5476" s="10">
        <v>1</v>
      </c>
      <c r="Q5476" s="15" t="s">
        <v>29637</v>
      </c>
      <c r="R5476" s="15" t="s">
        <v>29637</v>
      </c>
    </row>
    <row r="5477" spans="1:18" ht="43" customHeight="1" x14ac:dyDescent="0.15">
      <c r="A5477" s="11" t="s">
        <v>29658</v>
      </c>
      <c r="B5477" s="1" t="s">
        <v>29659</v>
      </c>
      <c r="C5477" s="11" t="s">
        <v>29660</v>
      </c>
      <c r="D5477" s="11" t="s">
        <v>29660</v>
      </c>
      <c r="E5477" s="11" t="s">
        <v>29661</v>
      </c>
      <c r="F5477" s="11" t="s">
        <v>29662</v>
      </c>
      <c r="G5477" s="11" t="s">
        <v>29663</v>
      </c>
      <c r="H5477" s="11" t="s">
        <v>29644</v>
      </c>
      <c r="I5477" s="11" t="str">
        <f>HYPERLINK("http://coutu.it/","coutu.it")</f>
        <v>coutu.it</v>
      </c>
      <c r="J5477" s="12">
        <v>33.018000000000001</v>
      </c>
      <c r="K5477" s="14" t="s">
        <v>29637</v>
      </c>
      <c r="L5477" s="16" t="s">
        <v>29637</v>
      </c>
      <c r="M5477" s="12">
        <v>-72.641000000000005</v>
      </c>
      <c r="N5477" s="14" t="s">
        <v>29637</v>
      </c>
      <c r="O5477" s="14" t="s">
        <v>29637</v>
      </c>
      <c r="P5477" s="12">
        <v>1</v>
      </c>
      <c r="Q5477" s="14" t="s">
        <v>29637</v>
      </c>
      <c r="R5477" s="14" t="s">
        <v>29637</v>
      </c>
    </row>
    <row r="5478" spans="1:18" ht="29.5" customHeight="1" x14ac:dyDescent="0.15">
      <c r="A5478" s="8" t="s">
        <v>29664</v>
      </c>
      <c r="B5478" s="9" t="s">
        <v>29665</v>
      </c>
      <c r="C5478" s="8" t="s">
        <v>29666</v>
      </c>
      <c r="D5478" s="8" t="s">
        <v>29666</v>
      </c>
      <c r="E5478" s="8" t="s">
        <v>29667</v>
      </c>
      <c r="F5478" s="8" t="s">
        <v>29668</v>
      </c>
      <c r="G5478" s="8" t="s">
        <v>29669</v>
      </c>
      <c r="H5478" s="8" t="s">
        <v>29670</v>
      </c>
      <c r="I5478" s="8" t="str">
        <f>HYPERLINK("http://www.studio-resnullius.blogspot.com/","www.studio-resnullius.blogspot.com")</f>
        <v>www.studio-resnullius.blogspot.com</v>
      </c>
      <c r="J5478" s="10">
        <v>32.576000000000001</v>
      </c>
      <c r="K5478" s="15" t="s">
        <v>29637</v>
      </c>
      <c r="L5478" s="15" t="s">
        <v>29637</v>
      </c>
      <c r="M5478" s="10">
        <v>0.11700000000000001</v>
      </c>
      <c r="N5478" s="15" t="s">
        <v>29637</v>
      </c>
      <c r="O5478" s="15" t="s">
        <v>29637</v>
      </c>
      <c r="P5478" s="10">
        <v>0</v>
      </c>
      <c r="Q5478" s="15" t="s">
        <v>29637</v>
      </c>
      <c r="R5478" s="15" t="s">
        <v>29637</v>
      </c>
    </row>
    <row r="5479" spans="1:18" ht="17" customHeight="1" x14ac:dyDescent="0.15">
      <c r="A5479" s="11" t="s">
        <v>29671</v>
      </c>
      <c r="B5479" s="1" t="s">
        <v>29672</v>
      </c>
      <c r="C5479" s="11" t="s">
        <v>29673</v>
      </c>
      <c r="D5479" s="11" t="s">
        <v>29673</v>
      </c>
      <c r="E5479" s="11" t="s">
        <v>29674</v>
      </c>
      <c r="F5479" s="11" t="s">
        <v>29675</v>
      </c>
      <c r="G5479" s="11" t="s">
        <v>29676</v>
      </c>
      <c r="H5479" s="11" t="s">
        <v>29677</v>
      </c>
      <c r="I5479" s="11" t="str">
        <f>HYPERLINK("http://www.zacconeaccessori.com/","www.zacconeaccessori.com")</f>
        <v>www.zacconeaccessori.com</v>
      </c>
      <c r="J5479" s="12">
        <v>32.561</v>
      </c>
      <c r="K5479" s="14" t="s">
        <v>29637</v>
      </c>
      <c r="L5479" s="16" t="s">
        <v>29637</v>
      </c>
      <c r="M5479" s="12">
        <v>9.266</v>
      </c>
      <c r="N5479" s="14" t="s">
        <v>29637</v>
      </c>
      <c r="O5479" s="14" t="s">
        <v>29637</v>
      </c>
      <c r="P5479" s="12">
        <v>0</v>
      </c>
      <c r="Q5479" s="14" t="s">
        <v>29637</v>
      </c>
      <c r="R5479" s="14" t="s">
        <v>29637</v>
      </c>
    </row>
    <row r="5480" spans="1:18" ht="17" customHeight="1" x14ac:dyDescent="0.15">
      <c r="A5480" s="8" t="s">
        <v>29678</v>
      </c>
      <c r="B5480" s="9" t="s">
        <v>29679</v>
      </c>
      <c r="C5480" s="8" t="s">
        <v>29680</v>
      </c>
      <c r="D5480" s="8" t="s">
        <v>29680</v>
      </c>
      <c r="E5480" s="8" t="s">
        <v>29681</v>
      </c>
      <c r="F5480" s="8" t="s">
        <v>29682</v>
      </c>
      <c r="G5480" s="8" t="s">
        <v>29683</v>
      </c>
      <c r="H5480" s="8" t="s">
        <v>29644</v>
      </c>
      <c r="I5480" s="8" t="str">
        <f>HYPERLINK("http://www.tileelit.it/","www.tileelit.it")</f>
        <v>www.tileelit.it</v>
      </c>
      <c r="J5480" s="10">
        <v>32.359000000000002</v>
      </c>
      <c r="K5480" s="15" t="s">
        <v>29637</v>
      </c>
      <c r="L5480" s="15" t="s">
        <v>29637</v>
      </c>
      <c r="M5480" s="10">
        <v>1.3779999999999999</v>
      </c>
      <c r="N5480" s="15" t="s">
        <v>29637</v>
      </c>
      <c r="O5480" s="15" t="s">
        <v>29637</v>
      </c>
      <c r="P5480" s="10">
        <v>0</v>
      </c>
      <c r="Q5480" s="15" t="s">
        <v>29637</v>
      </c>
      <c r="R5480" s="15" t="s">
        <v>29637</v>
      </c>
    </row>
    <row r="5481" spans="1:18" ht="17" customHeight="1" x14ac:dyDescent="0.15">
      <c r="A5481" s="11" t="s">
        <v>29684</v>
      </c>
      <c r="B5481" s="1" t="s">
        <v>29685</v>
      </c>
      <c r="C5481" s="11" t="s">
        <v>29686</v>
      </c>
      <c r="D5481" s="11" t="s">
        <v>29686</v>
      </c>
      <c r="E5481" s="11" t="s">
        <v>29687</v>
      </c>
      <c r="F5481" s="11" t="s">
        <v>29642</v>
      </c>
      <c r="G5481" s="11" t="s">
        <v>29688</v>
      </c>
      <c r="H5481" s="11" t="s">
        <v>29689</v>
      </c>
      <c r="I5481" s="11" t="str">
        <f>HYPERLINK("http://upgradedigital.it/","upgradedigital.it")</f>
        <v>upgradedigital.it</v>
      </c>
      <c r="J5481" s="12">
        <v>32.399000000000001</v>
      </c>
      <c r="K5481" s="14" t="s">
        <v>29637</v>
      </c>
      <c r="L5481" s="16" t="s">
        <v>29637</v>
      </c>
      <c r="M5481" s="12">
        <v>-51.405000000000001</v>
      </c>
      <c r="N5481" s="14" t="s">
        <v>29637</v>
      </c>
      <c r="O5481" s="14" t="s">
        <v>29637</v>
      </c>
      <c r="P5481" s="12">
        <v>0</v>
      </c>
      <c r="Q5481" s="14" t="s">
        <v>29637</v>
      </c>
      <c r="R5481" s="14" t="s">
        <v>29637</v>
      </c>
    </row>
    <row r="5482" spans="1:18" ht="17" customHeight="1" x14ac:dyDescent="0.15">
      <c r="A5482" s="8" t="s">
        <v>29690</v>
      </c>
      <c r="B5482" s="9" t="s">
        <v>29691</v>
      </c>
      <c r="C5482" s="8" t="s">
        <v>29692</v>
      </c>
      <c r="D5482" s="8" t="s">
        <v>29692</v>
      </c>
      <c r="E5482" s="8" t="s">
        <v>29693</v>
      </c>
      <c r="F5482" s="8" t="s">
        <v>29694</v>
      </c>
      <c r="G5482" s="8" t="s">
        <v>29695</v>
      </c>
      <c r="H5482" s="8" t="s">
        <v>29689</v>
      </c>
      <c r="I5482" s="8" t="str">
        <f>HYPERLINK("http://www.beakids.it/","www.beakids.it")</f>
        <v>www.beakids.it</v>
      </c>
      <c r="J5482" s="10">
        <v>32.201999999999998</v>
      </c>
      <c r="K5482" s="15" t="s">
        <v>29637</v>
      </c>
      <c r="L5482" s="15" t="s">
        <v>29637</v>
      </c>
      <c r="M5482" s="10">
        <v>1.141</v>
      </c>
      <c r="N5482" s="15" t="s">
        <v>29637</v>
      </c>
      <c r="O5482" s="15" t="s">
        <v>29637</v>
      </c>
      <c r="P5482" s="10">
        <v>2</v>
      </c>
      <c r="Q5482" s="15" t="s">
        <v>29637</v>
      </c>
      <c r="R5482" s="15" t="s">
        <v>29637</v>
      </c>
    </row>
    <row r="5483" spans="1:18" ht="43" customHeight="1" x14ac:dyDescent="0.15">
      <c r="A5483" s="11" t="s">
        <v>29696</v>
      </c>
      <c r="B5483" s="1" t="s">
        <v>29697</v>
      </c>
      <c r="C5483" s="11" t="s">
        <v>29698</v>
      </c>
      <c r="D5483" s="11" t="s">
        <v>29698</v>
      </c>
      <c r="E5483" s="11" t="s">
        <v>29699</v>
      </c>
      <c r="F5483" s="11" t="s">
        <v>29694</v>
      </c>
      <c r="G5483" s="11" t="s">
        <v>29700</v>
      </c>
      <c r="H5483" s="11" t="s">
        <v>29689</v>
      </c>
      <c r="I5483" s="11" t="str">
        <f>HYPERLINK("http://danilobuglione.it/","danilobuglione.it")</f>
        <v>danilobuglione.it</v>
      </c>
      <c r="J5483" s="12">
        <v>29.702999999999999</v>
      </c>
      <c r="K5483" s="14" t="s">
        <v>29637</v>
      </c>
      <c r="L5483" s="16" t="s">
        <v>29637</v>
      </c>
      <c r="M5483" s="12">
        <v>12.526999999999999</v>
      </c>
      <c r="N5483" s="14" t="s">
        <v>29637</v>
      </c>
      <c r="O5483" s="14" t="s">
        <v>29637</v>
      </c>
      <c r="P5483" s="12">
        <v>0</v>
      </c>
      <c r="Q5483" s="14" t="s">
        <v>29637</v>
      </c>
      <c r="R5483" s="14" t="s">
        <v>29637</v>
      </c>
    </row>
    <row r="5484" spans="1:18" ht="17" customHeight="1" x14ac:dyDescent="0.15">
      <c r="A5484" s="8" t="s">
        <v>29701</v>
      </c>
      <c r="B5484" s="9" t="s">
        <v>29702</v>
      </c>
      <c r="C5484" s="8" t="s">
        <v>29703</v>
      </c>
      <c r="D5484" s="8" t="s">
        <v>29703</v>
      </c>
      <c r="E5484" s="8" t="s">
        <v>29704</v>
      </c>
      <c r="F5484" s="8" t="s">
        <v>29668</v>
      </c>
      <c r="G5484" s="8" t="s">
        <v>29695</v>
      </c>
      <c r="H5484" s="8" t="s">
        <v>29689</v>
      </c>
      <c r="I5484" s="8" t="str">
        <f>HYPERLINK("http://www.nemesycollection.it/","www.nemesycollection.it")</f>
        <v>www.nemesycollection.it</v>
      </c>
      <c r="J5484" s="10">
        <v>29.443000000000001</v>
      </c>
      <c r="K5484" s="15" t="s">
        <v>29637</v>
      </c>
      <c r="L5484" s="15" t="s">
        <v>29637</v>
      </c>
      <c r="M5484" s="10">
        <v>-1.837</v>
      </c>
      <c r="N5484" s="15" t="s">
        <v>29637</v>
      </c>
      <c r="O5484" s="15" t="s">
        <v>29637</v>
      </c>
      <c r="P5484" s="10">
        <v>1</v>
      </c>
      <c r="Q5484" s="15" t="s">
        <v>29637</v>
      </c>
      <c r="R5484" s="15" t="s">
        <v>29637</v>
      </c>
    </row>
    <row r="5485" spans="1:18" ht="17" customHeight="1" x14ac:dyDescent="0.15">
      <c r="A5485" s="11" t="s">
        <v>29705</v>
      </c>
      <c r="B5485" s="1" t="s">
        <v>29706</v>
      </c>
      <c r="C5485" s="11" t="s">
        <v>29707</v>
      </c>
      <c r="D5485" s="11" t="s">
        <v>29707</v>
      </c>
      <c r="E5485" s="11" t="s">
        <v>29708</v>
      </c>
      <c r="F5485" s="11" t="s">
        <v>29694</v>
      </c>
      <c r="G5485" s="11" t="s">
        <v>29709</v>
      </c>
      <c r="H5485" s="11" t="s">
        <v>29710</v>
      </c>
      <c r="I5485" s="11" t="str">
        <f>HYPERLINK("http://www.emporiocamicie.com/","www.emporiocamicie.com")</f>
        <v>www.emporiocamicie.com</v>
      </c>
      <c r="J5485" s="12">
        <v>29.481000000000002</v>
      </c>
      <c r="K5485" s="14" t="s">
        <v>29637</v>
      </c>
      <c r="L5485" s="16" t="s">
        <v>29637</v>
      </c>
      <c r="M5485" s="12">
        <v>-1.7569999999999999</v>
      </c>
      <c r="N5485" s="14" t="s">
        <v>29637</v>
      </c>
      <c r="O5485" s="14" t="s">
        <v>29637</v>
      </c>
      <c r="P5485" s="12">
        <v>0</v>
      </c>
      <c r="Q5485" s="14" t="s">
        <v>29637</v>
      </c>
      <c r="R5485" s="14" t="s">
        <v>29637</v>
      </c>
    </row>
    <row r="5486" spans="1:18" ht="17" customHeight="1" x14ac:dyDescent="0.15">
      <c r="A5486" s="8" t="s">
        <v>29711</v>
      </c>
      <c r="B5486" s="9" t="s">
        <v>29712</v>
      </c>
      <c r="C5486" s="8" t="s">
        <v>29713</v>
      </c>
      <c r="D5486" s="8" t="s">
        <v>29713</v>
      </c>
      <c r="E5486" s="8" t="s">
        <v>29714</v>
      </c>
      <c r="F5486" s="8" t="s">
        <v>29715</v>
      </c>
      <c r="G5486" s="8" t="s">
        <v>29716</v>
      </c>
      <c r="H5486" s="8" t="s">
        <v>29651</v>
      </c>
      <c r="I5486" s="8" t="str">
        <f>HYPERLINK("http://conintecom.com/","conintecom.com")</f>
        <v>conintecom.com</v>
      </c>
      <c r="J5486" s="10">
        <v>28.41</v>
      </c>
      <c r="K5486" s="15" t="s">
        <v>29637</v>
      </c>
      <c r="L5486" s="15" t="s">
        <v>29637</v>
      </c>
      <c r="M5486" s="10">
        <v>-41.314</v>
      </c>
      <c r="N5486" s="15" t="s">
        <v>29637</v>
      </c>
      <c r="O5486" s="15" t="s">
        <v>29637</v>
      </c>
      <c r="P5486" s="10">
        <v>0</v>
      </c>
      <c r="Q5486" s="15" t="s">
        <v>29637</v>
      </c>
      <c r="R5486" s="15" t="s">
        <v>29637</v>
      </c>
    </row>
    <row r="5487" spans="1:18" ht="17" customHeight="1" x14ac:dyDescent="0.15">
      <c r="A5487" s="11" t="s">
        <v>29717</v>
      </c>
      <c r="B5487" s="1" t="s">
        <v>29718</v>
      </c>
      <c r="C5487" s="11" t="s">
        <v>29719</v>
      </c>
      <c r="D5487" s="11" t="s">
        <v>29719</v>
      </c>
      <c r="E5487" s="11" t="s">
        <v>29720</v>
      </c>
      <c r="F5487" s="11" t="s">
        <v>29662</v>
      </c>
      <c r="G5487" s="11" t="s">
        <v>29721</v>
      </c>
      <c r="H5487" s="11" t="s">
        <v>29722</v>
      </c>
      <c r="I5487" s="11" t="str">
        <f>HYPERLINK("http://www.italianvisionnaire.com/","www.italianvisionnaire.com")</f>
        <v>www.italianvisionnaire.com</v>
      </c>
      <c r="J5487" s="12">
        <v>28.04</v>
      </c>
      <c r="K5487" s="14" t="s">
        <v>29637</v>
      </c>
      <c r="L5487" s="16" t="s">
        <v>29637</v>
      </c>
      <c r="M5487" s="12">
        <v>-2.5000000000000001E-2</v>
      </c>
      <c r="N5487" s="14" t="s">
        <v>29637</v>
      </c>
      <c r="O5487" s="14" t="s">
        <v>29637</v>
      </c>
      <c r="P5487" s="12">
        <v>0</v>
      </c>
      <c r="Q5487" s="14" t="s">
        <v>29637</v>
      </c>
      <c r="R5487" s="14" t="s">
        <v>29637</v>
      </c>
    </row>
    <row r="5488" spans="1:18" ht="17" customHeight="1" x14ac:dyDescent="0.15">
      <c r="A5488" s="8" t="s">
        <v>29723</v>
      </c>
      <c r="B5488" s="9" t="s">
        <v>29724</v>
      </c>
      <c r="C5488" s="8" t="s">
        <v>29725</v>
      </c>
      <c r="D5488" s="8" t="s">
        <v>29725</v>
      </c>
      <c r="E5488" s="8" t="s">
        <v>29726</v>
      </c>
      <c r="F5488" s="8" t="s">
        <v>29642</v>
      </c>
      <c r="G5488" s="8" t="s">
        <v>29727</v>
      </c>
      <c r="H5488" s="8" t="s">
        <v>29728</v>
      </c>
      <c r="I5488" s="8" t="str">
        <f>HYPERLINK("http://www.valentinaspose.com/","www.valentinaspose.com")</f>
        <v>www.valentinaspose.com</v>
      </c>
      <c r="J5488" s="10">
        <v>27.815999999999999</v>
      </c>
      <c r="K5488" s="15" t="s">
        <v>29637</v>
      </c>
      <c r="L5488" s="15" t="s">
        <v>29637</v>
      </c>
      <c r="M5488" s="10">
        <v>-25.693000000000001</v>
      </c>
      <c r="N5488" s="15" t="s">
        <v>29637</v>
      </c>
      <c r="O5488" s="15" t="s">
        <v>29637</v>
      </c>
      <c r="P5488" s="15" t="s">
        <v>29637</v>
      </c>
      <c r="Q5488" s="15" t="s">
        <v>29637</v>
      </c>
      <c r="R5488" s="15" t="s">
        <v>29637</v>
      </c>
    </row>
    <row r="5489" spans="1:18" ht="17" customHeight="1" x14ac:dyDescent="0.15">
      <c r="A5489" s="11" t="s">
        <v>29729</v>
      </c>
      <c r="B5489" s="1" t="s">
        <v>29730</v>
      </c>
      <c r="C5489" s="11" t="s">
        <v>29731</v>
      </c>
      <c r="D5489" s="11" t="s">
        <v>29731</v>
      </c>
      <c r="E5489" s="11" t="s">
        <v>29732</v>
      </c>
      <c r="F5489" s="11" t="s">
        <v>29634</v>
      </c>
      <c r="G5489" s="11" t="s">
        <v>29695</v>
      </c>
      <c r="H5489" s="11" t="s">
        <v>29689</v>
      </c>
      <c r="I5489" s="11" t="str">
        <f>HYPERLINK("http://www.joibi.it/","www.joibi.it")</f>
        <v>www.joibi.it</v>
      </c>
      <c r="J5489" s="12">
        <v>26.972999999999999</v>
      </c>
      <c r="K5489" s="14" t="s">
        <v>29637</v>
      </c>
      <c r="L5489" s="16" t="s">
        <v>29637</v>
      </c>
      <c r="M5489" s="12">
        <v>-41.512</v>
      </c>
      <c r="N5489" s="14" t="s">
        <v>29637</v>
      </c>
      <c r="O5489" s="14" t="s">
        <v>29637</v>
      </c>
      <c r="P5489" s="12">
        <v>6</v>
      </c>
      <c r="Q5489" s="14" t="s">
        <v>29637</v>
      </c>
      <c r="R5489" s="14" t="s">
        <v>29637</v>
      </c>
    </row>
    <row r="5490" spans="1:18" ht="17" customHeight="1" x14ac:dyDescent="0.15">
      <c r="A5490" s="8" t="s">
        <v>29733</v>
      </c>
      <c r="B5490" s="9" t="s">
        <v>29734</v>
      </c>
      <c r="C5490" s="8" t="s">
        <v>29735</v>
      </c>
      <c r="D5490" s="8" t="s">
        <v>29735</v>
      </c>
      <c r="E5490" s="8" t="s">
        <v>29736</v>
      </c>
      <c r="F5490" s="8" t="s">
        <v>29682</v>
      </c>
      <c r="G5490" s="8" t="s">
        <v>29709</v>
      </c>
      <c r="H5490" s="8" t="s">
        <v>29710</v>
      </c>
      <c r="I5490" s="8" t="str">
        <f>HYPERLINK("http://www.rosenbergmilano.it/","www.rosenbergmilano.it")</f>
        <v>www.rosenbergmilano.it</v>
      </c>
      <c r="J5490" s="10">
        <v>26.431000000000001</v>
      </c>
      <c r="K5490" s="15" t="s">
        <v>29637</v>
      </c>
      <c r="L5490" s="15" t="s">
        <v>29637</v>
      </c>
      <c r="M5490" s="10">
        <v>-217.01599999999999</v>
      </c>
      <c r="N5490" s="15" t="s">
        <v>29637</v>
      </c>
      <c r="O5490" s="15" t="s">
        <v>29637</v>
      </c>
      <c r="P5490" s="10">
        <v>0</v>
      </c>
      <c r="Q5490" s="15" t="s">
        <v>29637</v>
      </c>
      <c r="R5490" s="15" t="s">
        <v>29637</v>
      </c>
    </row>
    <row r="5491" spans="1:18" ht="43" customHeight="1" x14ac:dyDescent="0.15">
      <c r="A5491" s="11" t="s">
        <v>29737</v>
      </c>
      <c r="B5491" s="1" t="s">
        <v>29738</v>
      </c>
      <c r="C5491" s="11" t="s">
        <v>29739</v>
      </c>
      <c r="D5491" s="11" t="s">
        <v>29739</v>
      </c>
      <c r="E5491" s="11" t="s">
        <v>29740</v>
      </c>
      <c r="F5491" s="11" t="s">
        <v>29682</v>
      </c>
      <c r="G5491" s="11" t="s">
        <v>29741</v>
      </c>
      <c r="H5491" s="11" t="s">
        <v>29742</v>
      </c>
      <c r="I5491" s="11" t="str">
        <f>HYPERLINK("http://www.emozioniinliberta.com/","www.emozioniinliberta.com")</f>
        <v>www.emozioniinliberta.com</v>
      </c>
      <c r="J5491" s="12">
        <v>26.137</v>
      </c>
      <c r="K5491" s="12">
        <v>26.137</v>
      </c>
      <c r="L5491" s="16" t="s">
        <v>29637</v>
      </c>
      <c r="M5491" s="12">
        <v>0.72699999999999998</v>
      </c>
      <c r="N5491" s="12">
        <v>0.72699999999999998</v>
      </c>
      <c r="O5491" s="14" t="s">
        <v>29637</v>
      </c>
      <c r="P5491" s="12">
        <v>0</v>
      </c>
      <c r="Q5491" s="12">
        <v>0</v>
      </c>
      <c r="R5491" s="14" t="s">
        <v>29637</v>
      </c>
    </row>
    <row r="5492" spans="1:18" ht="43" customHeight="1" x14ac:dyDescent="0.15">
      <c r="A5492" s="8" t="s">
        <v>29743</v>
      </c>
      <c r="B5492" s="9" t="s">
        <v>29744</v>
      </c>
      <c r="C5492" s="8" t="s">
        <v>29745</v>
      </c>
      <c r="D5492" s="8" t="s">
        <v>29745</v>
      </c>
      <c r="E5492" s="8" t="s">
        <v>29746</v>
      </c>
      <c r="F5492" s="8" t="s">
        <v>29642</v>
      </c>
      <c r="G5492" s="8" t="s">
        <v>29747</v>
      </c>
      <c r="H5492" s="8" t="s">
        <v>29722</v>
      </c>
      <c r="I5492" s="8" t="str">
        <f>HYPERLINK("http://www.m-style.it/","www.m-style.it")</f>
        <v>www.m-style.it</v>
      </c>
      <c r="J5492" s="10">
        <v>25.611999999999998</v>
      </c>
      <c r="K5492" s="15" t="s">
        <v>29637</v>
      </c>
      <c r="L5492" s="15" t="s">
        <v>29637</v>
      </c>
      <c r="M5492" s="10">
        <v>3.976</v>
      </c>
      <c r="N5492" s="15" t="s">
        <v>29637</v>
      </c>
      <c r="O5492" s="15" t="s">
        <v>29637</v>
      </c>
      <c r="P5492" s="10">
        <v>0</v>
      </c>
      <c r="Q5492" s="15" t="s">
        <v>29637</v>
      </c>
      <c r="R5492" s="15" t="s">
        <v>29637</v>
      </c>
    </row>
    <row r="5493" spans="1:18" ht="17" customHeight="1" x14ac:dyDescent="0.15">
      <c r="A5493" s="11" t="s">
        <v>29748</v>
      </c>
      <c r="B5493" s="1" t="s">
        <v>29749</v>
      </c>
      <c r="C5493" s="11" t="s">
        <v>29750</v>
      </c>
      <c r="D5493" s="11" t="s">
        <v>29750</v>
      </c>
      <c r="E5493" s="11" t="s">
        <v>29751</v>
      </c>
      <c r="F5493" s="11" t="s">
        <v>29715</v>
      </c>
      <c r="G5493" s="11" t="s">
        <v>29663</v>
      </c>
      <c r="H5493" s="11" t="s">
        <v>29644</v>
      </c>
      <c r="I5493" s="11" t="str">
        <f>HYPERLINK("http://recircled.com/","recircled.com")</f>
        <v>recircled.com</v>
      </c>
      <c r="J5493" s="12">
        <v>25.332999999999998</v>
      </c>
      <c r="K5493" s="14" t="s">
        <v>29637</v>
      </c>
      <c r="L5493" s="16" t="s">
        <v>29637</v>
      </c>
      <c r="M5493" s="12">
        <v>-1.5960000000000001</v>
      </c>
      <c r="N5493" s="14" t="s">
        <v>29637</v>
      </c>
      <c r="O5493" s="14" t="s">
        <v>29637</v>
      </c>
      <c r="P5493" s="12">
        <v>0</v>
      </c>
      <c r="Q5493" s="14" t="s">
        <v>29637</v>
      </c>
      <c r="R5493" s="14" t="s">
        <v>29637</v>
      </c>
    </row>
    <row r="5494" spans="1:18" ht="17" customHeight="1" x14ac:dyDescent="0.15">
      <c r="A5494" s="8" t="s">
        <v>29752</v>
      </c>
      <c r="B5494" s="9" t="s">
        <v>29753</v>
      </c>
      <c r="C5494" s="8" t="s">
        <v>29754</v>
      </c>
      <c r="D5494" s="8" t="s">
        <v>29754</v>
      </c>
      <c r="E5494" s="8" t="s">
        <v>29755</v>
      </c>
      <c r="F5494" s="8" t="s">
        <v>29756</v>
      </c>
      <c r="G5494" s="8" t="s">
        <v>29757</v>
      </c>
      <c r="H5494" s="8" t="s">
        <v>29710</v>
      </c>
      <c r="I5494" s="8" t="str">
        <f>HYPERLINK("http://www.ellabyfiorella.com/","www.ellabyfiorella.com")</f>
        <v>www.ellabyfiorella.com</v>
      </c>
      <c r="J5494" s="10">
        <v>24.503</v>
      </c>
      <c r="K5494" s="10">
        <v>24.503</v>
      </c>
      <c r="L5494" s="15" t="s">
        <v>29637</v>
      </c>
      <c r="M5494" s="10">
        <v>0.17899999999999999</v>
      </c>
      <c r="N5494" s="10">
        <v>0.17899999999999999</v>
      </c>
      <c r="O5494" s="15" t="s">
        <v>29637</v>
      </c>
      <c r="P5494" s="10">
        <v>0</v>
      </c>
      <c r="Q5494" s="10">
        <v>0</v>
      </c>
      <c r="R5494" s="15" t="s">
        <v>29637</v>
      </c>
    </row>
    <row r="5495" spans="1:18" ht="17" customHeight="1" x14ac:dyDescent="0.15">
      <c r="A5495" s="11" t="s">
        <v>29758</v>
      </c>
      <c r="B5495" s="1" t="s">
        <v>29759</v>
      </c>
      <c r="C5495" s="11" t="s">
        <v>29760</v>
      </c>
      <c r="D5495" s="11" t="s">
        <v>29760</v>
      </c>
      <c r="E5495" s="11" t="s">
        <v>29761</v>
      </c>
      <c r="F5495" s="11" t="s">
        <v>29756</v>
      </c>
      <c r="G5495" s="11" t="s">
        <v>29762</v>
      </c>
      <c r="H5495" s="11" t="s">
        <v>29636</v>
      </c>
      <c r="I5495" s="11" t="str">
        <f>HYPERLINK("http://www.aliorganicwear.it/","www.aliorganicwear.it")</f>
        <v>www.aliorganicwear.it</v>
      </c>
      <c r="J5495" s="12">
        <v>24.416</v>
      </c>
      <c r="K5495" s="14" t="s">
        <v>29637</v>
      </c>
      <c r="L5495" s="16" t="s">
        <v>29637</v>
      </c>
      <c r="M5495" s="12">
        <v>-7.4139999999999997</v>
      </c>
      <c r="N5495" s="14" t="s">
        <v>29637</v>
      </c>
      <c r="O5495" s="14" t="s">
        <v>29637</v>
      </c>
      <c r="P5495" s="12">
        <v>0</v>
      </c>
      <c r="Q5495" s="14" t="s">
        <v>29637</v>
      </c>
      <c r="R5495" s="14" t="s">
        <v>29637</v>
      </c>
    </row>
    <row r="5496" spans="1:18" ht="17" customHeight="1" x14ac:dyDescent="0.15">
      <c r="A5496" s="8" t="s">
        <v>29763</v>
      </c>
      <c r="B5496" s="9" t="s">
        <v>29764</v>
      </c>
      <c r="C5496" s="8" t="s">
        <v>29765</v>
      </c>
      <c r="D5496" s="8" t="s">
        <v>29765</v>
      </c>
      <c r="E5496" s="8" t="s">
        <v>29766</v>
      </c>
      <c r="F5496" s="8" t="s">
        <v>29767</v>
      </c>
      <c r="G5496" s="8" t="s">
        <v>29663</v>
      </c>
      <c r="H5496" s="8" t="s">
        <v>29644</v>
      </c>
      <c r="I5496" s="8" t="str">
        <f>HYPERLINK("http://www.indotessoo.it/","www.indotessoo.it")</f>
        <v>www.indotessoo.it</v>
      </c>
      <c r="J5496" s="10">
        <v>23.751000000000001</v>
      </c>
      <c r="K5496" s="15" t="s">
        <v>29637</v>
      </c>
      <c r="L5496" s="15" t="s">
        <v>29637</v>
      </c>
      <c r="M5496" s="10">
        <v>-60.319000000000003</v>
      </c>
      <c r="N5496" s="15" t="s">
        <v>29637</v>
      </c>
      <c r="O5496" s="15" t="s">
        <v>29637</v>
      </c>
      <c r="P5496" s="10">
        <v>0</v>
      </c>
      <c r="Q5496" s="15" t="s">
        <v>29637</v>
      </c>
      <c r="R5496" s="15" t="s">
        <v>29637</v>
      </c>
    </row>
    <row r="5497" spans="1:18" ht="17" customHeight="1" x14ac:dyDescent="0.15">
      <c r="A5497" s="11" t="s">
        <v>29768</v>
      </c>
      <c r="B5497" s="1" t="s">
        <v>29769</v>
      </c>
      <c r="C5497" s="11" t="s">
        <v>29770</v>
      </c>
      <c r="D5497" s="11" t="s">
        <v>29770</v>
      </c>
      <c r="E5497" s="11" t="s">
        <v>29771</v>
      </c>
      <c r="F5497" s="11" t="s">
        <v>29642</v>
      </c>
      <c r="G5497" s="11" t="s">
        <v>29772</v>
      </c>
      <c r="H5497" s="11" t="s">
        <v>29636</v>
      </c>
      <c r="I5497" s="11" t="str">
        <f>HYPERLINK("http://styleinvenice.it/","styleinvenice.it")</f>
        <v>styleinvenice.it</v>
      </c>
      <c r="J5497" s="12">
        <v>23.212</v>
      </c>
      <c r="K5497" s="14" t="s">
        <v>29637</v>
      </c>
      <c r="L5497" s="16" t="s">
        <v>29637</v>
      </c>
      <c r="M5497" s="12">
        <v>-2.8050000000000002</v>
      </c>
      <c r="N5497" s="14" t="s">
        <v>29637</v>
      </c>
      <c r="O5497" s="14" t="s">
        <v>29637</v>
      </c>
      <c r="P5497" s="12">
        <v>0</v>
      </c>
      <c r="Q5497" s="14" t="s">
        <v>29637</v>
      </c>
      <c r="R5497" s="14" t="s">
        <v>29637</v>
      </c>
    </row>
    <row r="5498" spans="1:18" ht="43" customHeight="1" x14ac:dyDescent="0.15">
      <c r="A5498" s="8" t="s">
        <v>29773</v>
      </c>
      <c r="B5498" s="9" t="s">
        <v>29774</v>
      </c>
      <c r="C5498" s="8" t="s">
        <v>29775</v>
      </c>
      <c r="D5498" s="8" t="s">
        <v>29775</v>
      </c>
      <c r="E5498" s="8" t="s">
        <v>29776</v>
      </c>
      <c r="F5498" s="8" t="s">
        <v>29662</v>
      </c>
      <c r="G5498" s="8" t="s">
        <v>29777</v>
      </c>
      <c r="H5498" s="8" t="s">
        <v>29670</v>
      </c>
      <c r="I5498" s="8" t="str">
        <f>HYPERLINK("http://www.ruggierobignardi.com/","www.ruggierobignardi.com")</f>
        <v>www.ruggierobignardi.com</v>
      </c>
      <c r="J5498" s="10">
        <v>22.866</v>
      </c>
      <c r="K5498" s="15" t="s">
        <v>29637</v>
      </c>
      <c r="L5498" s="15" t="s">
        <v>29637</v>
      </c>
      <c r="M5498" s="10">
        <v>-28.184000000000001</v>
      </c>
      <c r="N5498" s="15" t="s">
        <v>29637</v>
      </c>
      <c r="O5498" s="15" t="s">
        <v>29637</v>
      </c>
      <c r="P5498" s="10">
        <v>0</v>
      </c>
      <c r="Q5498" s="15" t="s">
        <v>29637</v>
      </c>
      <c r="R5498" s="15" t="s">
        <v>29637</v>
      </c>
    </row>
    <row r="5499" spans="1:18" ht="17" customHeight="1" x14ac:dyDescent="0.15">
      <c r="A5499" s="11" t="s">
        <v>29778</v>
      </c>
      <c r="B5499" s="1" t="s">
        <v>29779</v>
      </c>
      <c r="C5499" s="11" t="s">
        <v>29780</v>
      </c>
      <c r="D5499" s="11" t="s">
        <v>29780</v>
      </c>
      <c r="E5499" s="11" t="s">
        <v>29781</v>
      </c>
      <c r="F5499" s="11" t="s">
        <v>29662</v>
      </c>
      <c r="G5499" s="11" t="s">
        <v>29782</v>
      </c>
      <c r="H5499" s="11" t="s">
        <v>29651</v>
      </c>
      <c r="I5499" s="11" t="str">
        <f>HYPERLINK("http://www.poculum.com/","www.poculum.com")</f>
        <v>www.poculum.com</v>
      </c>
      <c r="J5499" s="12">
        <v>22.391999999999999</v>
      </c>
      <c r="K5499" s="14" t="s">
        <v>29637</v>
      </c>
      <c r="L5499" s="16" t="s">
        <v>29637</v>
      </c>
      <c r="M5499" s="12">
        <v>-2.8239999999999998</v>
      </c>
      <c r="N5499" s="14" t="s">
        <v>29637</v>
      </c>
      <c r="O5499" s="14" t="s">
        <v>29637</v>
      </c>
      <c r="P5499" s="12">
        <v>0</v>
      </c>
      <c r="Q5499" s="14" t="s">
        <v>29637</v>
      </c>
      <c r="R5499" s="14" t="s">
        <v>29637</v>
      </c>
    </row>
    <row r="5500" spans="1:18" ht="43" customHeight="1" x14ac:dyDescent="0.15">
      <c r="A5500" s="8" t="s">
        <v>29783</v>
      </c>
      <c r="B5500" s="9" t="s">
        <v>29784</v>
      </c>
      <c r="C5500" s="8" t="s">
        <v>29785</v>
      </c>
      <c r="D5500" s="8" t="s">
        <v>29785</v>
      </c>
      <c r="E5500" s="8" t="s">
        <v>29786</v>
      </c>
      <c r="F5500" s="8" t="s">
        <v>29787</v>
      </c>
      <c r="G5500" s="8" t="s">
        <v>29788</v>
      </c>
      <c r="H5500" s="8" t="s">
        <v>29789</v>
      </c>
      <c r="I5500" s="8" t="str">
        <f>HYPERLINK("http://www.tomascollection.it/","www.tomascollection.it")</f>
        <v>www.tomascollection.it</v>
      </c>
      <c r="J5500" s="10">
        <v>22.2</v>
      </c>
      <c r="K5500" s="15" t="s">
        <v>29637</v>
      </c>
      <c r="L5500" s="15" t="s">
        <v>29637</v>
      </c>
      <c r="M5500" s="10">
        <v>6.5380000000000003</v>
      </c>
      <c r="N5500" s="15" t="s">
        <v>29637</v>
      </c>
      <c r="O5500" s="15" t="s">
        <v>29637</v>
      </c>
      <c r="P5500" s="10">
        <v>0</v>
      </c>
      <c r="Q5500" s="15" t="s">
        <v>29637</v>
      </c>
      <c r="R5500" s="15" t="s">
        <v>29637</v>
      </c>
    </row>
    <row r="5501" spans="1:18" ht="43" customHeight="1" x14ac:dyDescent="0.15">
      <c r="A5501" s="11" t="s">
        <v>29790</v>
      </c>
      <c r="B5501" s="1" t="s">
        <v>29791</v>
      </c>
      <c r="C5501" s="11" t="s">
        <v>29792</v>
      </c>
      <c r="D5501" s="11" t="s">
        <v>29792</v>
      </c>
      <c r="E5501" s="11" t="s">
        <v>29793</v>
      </c>
      <c r="F5501" s="11" t="s">
        <v>29642</v>
      </c>
      <c r="G5501" s="11" t="s">
        <v>29695</v>
      </c>
      <c r="H5501" s="11" t="s">
        <v>29689</v>
      </c>
      <c r="I5501" s="11" t="str">
        <f>HYPERLINK("http://www.picardicamiciesumisura.it/","www.picardicamiciesumisura.it")</f>
        <v>www.picardicamiciesumisura.it</v>
      </c>
      <c r="J5501" s="12">
        <v>20.994</v>
      </c>
      <c r="K5501" s="14" t="s">
        <v>29637</v>
      </c>
      <c r="L5501" s="16" t="s">
        <v>29637</v>
      </c>
      <c r="M5501" s="12">
        <v>9.4659999999999993</v>
      </c>
      <c r="N5501" s="14" t="s">
        <v>29637</v>
      </c>
      <c r="O5501" s="14" t="s">
        <v>29637</v>
      </c>
      <c r="P5501" s="12">
        <v>2</v>
      </c>
      <c r="Q5501" s="14" t="s">
        <v>29637</v>
      </c>
      <c r="R5501" s="14" t="s">
        <v>29637</v>
      </c>
    </row>
    <row r="5502" spans="1:18" ht="17" customHeight="1" x14ac:dyDescent="0.15">
      <c r="A5502" s="8" t="s">
        <v>29794</v>
      </c>
      <c r="B5502" s="9" t="s">
        <v>29795</v>
      </c>
      <c r="C5502" s="8" t="s">
        <v>29796</v>
      </c>
      <c r="D5502" s="8" t="s">
        <v>29796</v>
      </c>
      <c r="E5502" s="8" t="s">
        <v>29797</v>
      </c>
      <c r="F5502" s="8" t="s">
        <v>29662</v>
      </c>
      <c r="G5502" s="8" t="s">
        <v>29782</v>
      </c>
      <c r="H5502" s="8" t="s">
        <v>29651</v>
      </c>
      <c r="I5502" s="8" t="str">
        <f>HYPERLINK("http://www.free-moda.it/","www.free-moda.it")</f>
        <v>www.free-moda.it</v>
      </c>
      <c r="J5502" s="10">
        <v>21</v>
      </c>
      <c r="K5502" s="10">
        <v>21</v>
      </c>
      <c r="L5502" s="15" t="s">
        <v>29637</v>
      </c>
      <c r="M5502" s="10">
        <v>1.7969999999999999</v>
      </c>
      <c r="N5502" s="10">
        <v>1.7969999999999999</v>
      </c>
      <c r="O5502" s="15" t="s">
        <v>29637</v>
      </c>
      <c r="P5502" s="10">
        <v>0</v>
      </c>
      <c r="Q5502" s="10">
        <v>0</v>
      </c>
      <c r="R5502" s="15" t="s">
        <v>29637</v>
      </c>
    </row>
    <row r="5503" spans="1:18" ht="43" customHeight="1" x14ac:dyDescent="0.15">
      <c r="A5503" s="11" t="s">
        <v>29798</v>
      </c>
      <c r="B5503" s="1" t="s">
        <v>29799</v>
      </c>
      <c r="C5503" s="11" t="s">
        <v>29800</v>
      </c>
      <c r="D5503" s="11" t="s">
        <v>29800</v>
      </c>
      <c r="E5503" s="11" t="s">
        <v>29801</v>
      </c>
      <c r="F5503" s="11" t="s">
        <v>29642</v>
      </c>
      <c r="G5503" s="11" t="s">
        <v>29669</v>
      </c>
      <c r="H5503" s="11" t="s">
        <v>29670</v>
      </c>
      <c r="I5503" s="11" t="str">
        <f>HYPERLINK("http://www.marielcouture.com/","www.marielcouture.com")</f>
        <v>www.marielcouture.com</v>
      </c>
      <c r="J5503" s="12">
        <v>20.631</v>
      </c>
      <c r="K5503" s="14" t="s">
        <v>29637</v>
      </c>
      <c r="L5503" s="16" t="s">
        <v>29637</v>
      </c>
      <c r="M5503" s="12">
        <v>1.175</v>
      </c>
      <c r="N5503" s="14" t="s">
        <v>29637</v>
      </c>
      <c r="O5503" s="14" t="s">
        <v>29637</v>
      </c>
      <c r="P5503" s="12">
        <v>1</v>
      </c>
      <c r="Q5503" s="14" t="s">
        <v>29637</v>
      </c>
      <c r="R5503" s="14" t="s">
        <v>29637</v>
      </c>
    </row>
    <row r="5504" spans="1:18" ht="17" customHeight="1" x14ac:dyDescent="0.15">
      <c r="A5504" s="8" t="s">
        <v>29802</v>
      </c>
      <c r="B5504" s="9" t="s">
        <v>29803</v>
      </c>
      <c r="C5504" s="8" t="s">
        <v>29804</v>
      </c>
      <c r="D5504" s="8" t="s">
        <v>29804</v>
      </c>
      <c r="E5504" s="8" t="s">
        <v>29805</v>
      </c>
      <c r="F5504" s="8" t="s">
        <v>29787</v>
      </c>
      <c r="G5504" s="8" t="s">
        <v>29788</v>
      </c>
      <c r="H5504" s="8" t="s">
        <v>29789</v>
      </c>
      <c r="I5504" s="8" t="str">
        <f>HYPERLINK("http://maglificioottaviani.com/","maglificioottaviani.com")</f>
        <v>maglificioottaviani.com</v>
      </c>
      <c r="J5504" s="10">
        <v>20</v>
      </c>
      <c r="K5504" s="15" t="s">
        <v>29637</v>
      </c>
      <c r="L5504" s="15" t="s">
        <v>29637</v>
      </c>
      <c r="M5504" s="10">
        <v>14.364000000000001</v>
      </c>
      <c r="N5504" s="15" t="s">
        <v>29637</v>
      </c>
      <c r="O5504" s="15" t="s">
        <v>29637</v>
      </c>
      <c r="P5504" s="10">
        <v>0</v>
      </c>
      <c r="Q5504" s="15" t="s">
        <v>29637</v>
      </c>
      <c r="R5504" s="15" t="s">
        <v>29637</v>
      </c>
    </row>
    <row r="5505" spans="1:18" ht="17" customHeight="1" x14ac:dyDescent="0.15">
      <c r="A5505" s="11" t="s">
        <v>29806</v>
      </c>
      <c r="B5505" s="1" t="s">
        <v>29807</v>
      </c>
      <c r="C5505" s="11" t="s">
        <v>29808</v>
      </c>
      <c r="D5505" s="11" t="s">
        <v>29808</v>
      </c>
      <c r="E5505" s="11" t="s">
        <v>29809</v>
      </c>
      <c r="F5505" s="11" t="s">
        <v>29810</v>
      </c>
      <c r="G5505" s="11" t="s">
        <v>29811</v>
      </c>
      <c r="H5505" s="11" t="s">
        <v>29812</v>
      </c>
      <c r="I5505" s="11" t="str">
        <f>HYPERLINK("http://www.notus.it/","www.notus.it")</f>
        <v>www.notus.it</v>
      </c>
      <c r="J5505" s="12">
        <v>20</v>
      </c>
      <c r="K5505" s="14" t="s">
        <v>29813</v>
      </c>
      <c r="L5505" s="16" t="s">
        <v>29813</v>
      </c>
      <c r="M5505" s="12">
        <v>6.8769999999999998</v>
      </c>
      <c r="N5505" s="14" t="s">
        <v>29813</v>
      </c>
      <c r="O5505" s="14" t="s">
        <v>29813</v>
      </c>
      <c r="P5505" s="12">
        <v>0</v>
      </c>
      <c r="Q5505" s="14" t="s">
        <v>29813</v>
      </c>
      <c r="R5505" s="14" t="s">
        <v>29813</v>
      </c>
    </row>
    <row r="5506" spans="1:18" ht="17" customHeight="1" x14ac:dyDescent="0.15">
      <c r="A5506" s="8" t="s">
        <v>29814</v>
      </c>
      <c r="B5506" s="9" t="s">
        <v>29815</v>
      </c>
      <c r="C5506" s="8" t="s">
        <v>29816</v>
      </c>
      <c r="D5506" s="8" t="s">
        <v>29816</v>
      </c>
      <c r="E5506" s="8" t="s">
        <v>29817</v>
      </c>
      <c r="F5506" s="8" t="s">
        <v>29818</v>
      </c>
      <c r="G5506" s="8" t="s">
        <v>29819</v>
      </c>
      <c r="H5506" s="8" t="s">
        <v>29820</v>
      </c>
      <c r="I5506" s="8" t="str">
        <f>HYPERLINK("http://www.theodorabak.com/","www.theodorabak.com")</f>
        <v>www.theodorabak.com</v>
      </c>
      <c r="J5506" s="10">
        <v>19.687999999999999</v>
      </c>
      <c r="K5506" s="15" t="s">
        <v>29813</v>
      </c>
      <c r="L5506" s="15" t="s">
        <v>29813</v>
      </c>
      <c r="M5506" s="10">
        <v>-6.2619999999999996</v>
      </c>
      <c r="N5506" s="15" t="s">
        <v>29813</v>
      </c>
      <c r="O5506" s="15" t="s">
        <v>29813</v>
      </c>
      <c r="P5506" s="10">
        <v>0</v>
      </c>
      <c r="Q5506" s="15" t="s">
        <v>29813</v>
      </c>
      <c r="R5506" s="15" t="s">
        <v>29813</v>
      </c>
    </row>
    <row r="5507" spans="1:18" ht="17" customHeight="1" x14ac:dyDescent="0.15">
      <c r="A5507" s="11" t="s">
        <v>29821</v>
      </c>
      <c r="B5507" s="1" t="s">
        <v>29822</v>
      </c>
      <c r="C5507" s="11" t="s">
        <v>29823</v>
      </c>
      <c r="D5507" s="11" t="s">
        <v>29823</v>
      </c>
      <c r="E5507" s="11" t="s">
        <v>29824</v>
      </c>
      <c r="F5507" s="11" t="s">
        <v>29810</v>
      </c>
      <c r="G5507" s="11" t="s">
        <v>29825</v>
      </c>
      <c r="H5507" s="11" t="s">
        <v>29826</v>
      </c>
      <c r="I5507" s="11" t="str">
        <f>HYPERLINK("http://www.marycottoncouture.com/","www.marycottoncouture.com")</f>
        <v>www.marycottoncouture.com</v>
      </c>
      <c r="J5507" s="12">
        <v>18.492999999999999</v>
      </c>
      <c r="K5507" s="12">
        <v>18.492999999999999</v>
      </c>
      <c r="L5507" s="16" t="s">
        <v>29813</v>
      </c>
      <c r="M5507" s="12">
        <v>0.28699999999999998</v>
      </c>
      <c r="N5507" s="12">
        <v>0.28699999999999998</v>
      </c>
      <c r="O5507" s="14" t="s">
        <v>29813</v>
      </c>
      <c r="P5507" s="12">
        <v>0</v>
      </c>
      <c r="Q5507" s="12">
        <v>0</v>
      </c>
      <c r="R5507" s="14" t="s">
        <v>29813</v>
      </c>
    </row>
    <row r="5508" spans="1:18" ht="17" customHeight="1" x14ac:dyDescent="0.15">
      <c r="A5508" s="8" t="s">
        <v>29827</v>
      </c>
      <c r="B5508" s="9" t="s">
        <v>29828</v>
      </c>
      <c r="C5508" s="8" t="s">
        <v>29829</v>
      </c>
      <c r="D5508" s="8" t="s">
        <v>29829</v>
      </c>
      <c r="E5508" s="8" t="s">
        <v>29830</v>
      </c>
      <c r="F5508" s="8" t="s">
        <v>29810</v>
      </c>
      <c r="G5508" s="8" t="s">
        <v>29831</v>
      </c>
      <c r="H5508" s="8" t="s">
        <v>29832</v>
      </c>
      <c r="I5508" s="8" t="str">
        <f>HYPERLINK("http://www.squadratlantica.it/","www.squadratlantica.it")</f>
        <v>www.squadratlantica.it</v>
      </c>
      <c r="J5508" s="10">
        <v>18.077000000000002</v>
      </c>
      <c r="K5508" s="15" t="s">
        <v>29813</v>
      </c>
      <c r="L5508" s="15" t="s">
        <v>29813</v>
      </c>
      <c r="M5508" s="10">
        <v>-5.2279999999999998</v>
      </c>
      <c r="N5508" s="15" t="s">
        <v>29813</v>
      </c>
      <c r="O5508" s="15" t="s">
        <v>29813</v>
      </c>
      <c r="P5508" s="10">
        <v>0</v>
      </c>
      <c r="Q5508" s="15" t="s">
        <v>29813</v>
      </c>
      <c r="R5508" s="15" t="s">
        <v>29813</v>
      </c>
    </row>
    <row r="5509" spans="1:18" ht="29.5" customHeight="1" x14ac:dyDescent="0.15">
      <c r="A5509" s="11" t="s">
        <v>29833</v>
      </c>
      <c r="B5509" s="1" t="s">
        <v>29834</v>
      </c>
      <c r="C5509" s="11" t="s">
        <v>29835</v>
      </c>
      <c r="D5509" s="11" t="s">
        <v>29835</v>
      </c>
      <c r="E5509" s="11" t="s">
        <v>29836</v>
      </c>
      <c r="F5509" s="11" t="s">
        <v>29837</v>
      </c>
      <c r="G5509" s="11" t="s">
        <v>29838</v>
      </c>
      <c r="H5509" s="11" t="s">
        <v>29839</v>
      </c>
      <c r="I5509" s="11" t="str">
        <f>HYPERLINK("http://oscilab.it/","oscilab.it")</f>
        <v>oscilab.it</v>
      </c>
      <c r="J5509" s="12">
        <v>17.670000000000002</v>
      </c>
      <c r="K5509" s="12">
        <v>17.670000000000002</v>
      </c>
      <c r="L5509" s="16" t="s">
        <v>29813</v>
      </c>
      <c r="M5509" s="12">
        <v>1.7989999999999999</v>
      </c>
      <c r="N5509" s="12">
        <v>1.7989999999999999</v>
      </c>
      <c r="O5509" s="14" t="s">
        <v>29813</v>
      </c>
      <c r="P5509" s="12">
        <v>0</v>
      </c>
      <c r="Q5509" s="12">
        <v>0</v>
      </c>
      <c r="R5509" s="14" t="s">
        <v>29813</v>
      </c>
    </row>
    <row r="5510" spans="1:18" ht="29.5" customHeight="1" x14ac:dyDescent="0.15">
      <c r="A5510" s="8" t="s">
        <v>29840</v>
      </c>
      <c r="B5510" s="9" t="s">
        <v>29841</v>
      </c>
      <c r="C5510" s="8" t="s">
        <v>29842</v>
      </c>
      <c r="D5510" s="8" t="s">
        <v>29842</v>
      </c>
      <c r="E5510" s="8" t="s">
        <v>29843</v>
      </c>
      <c r="F5510" s="8" t="s">
        <v>29844</v>
      </c>
      <c r="G5510" s="8" t="s">
        <v>29819</v>
      </c>
      <c r="H5510" s="8" t="s">
        <v>29820</v>
      </c>
      <c r="I5510" s="8" t="str">
        <f>HYPERLINK("http://www.lalucedeitessutirieti.it/","www.lalucedeitessutirieti.it")</f>
        <v>www.lalucedeitessutirieti.it</v>
      </c>
      <c r="J5510" s="10">
        <v>17.466999999999999</v>
      </c>
      <c r="K5510" s="15" t="s">
        <v>29813</v>
      </c>
      <c r="L5510" s="15" t="s">
        <v>29813</v>
      </c>
      <c r="M5510" s="10">
        <v>0.47599999999999998</v>
      </c>
      <c r="N5510" s="15" t="s">
        <v>29813</v>
      </c>
      <c r="O5510" s="15" t="s">
        <v>29813</v>
      </c>
      <c r="P5510" s="10">
        <v>2</v>
      </c>
      <c r="Q5510" s="15" t="s">
        <v>29813</v>
      </c>
      <c r="R5510" s="15" t="s">
        <v>29813</v>
      </c>
    </row>
    <row r="5511" spans="1:18" ht="17" customHeight="1" x14ac:dyDescent="0.15">
      <c r="A5511" s="11" t="s">
        <v>29845</v>
      </c>
      <c r="B5511" s="1" t="s">
        <v>29846</v>
      </c>
      <c r="C5511" s="11" t="s">
        <v>29847</v>
      </c>
      <c r="D5511" s="11" t="s">
        <v>29847</v>
      </c>
      <c r="E5511" s="11" t="s">
        <v>29848</v>
      </c>
      <c r="F5511" s="11" t="s">
        <v>29849</v>
      </c>
      <c r="G5511" s="11" t="s">
        <v>29850</v>
      </c>
      <c r="H5511" s="11" t="s">
        <v>29851</v>
      </c>
      <c r="I5511" s="11" t="str">
        <f>HYPERLINK("http://www.carpan.com/","www.carpan.com")</f>
        <v>www.carpan.com</v>
      </c>
      <c r="J5511" s="12">
        <v>17.28</v>
      </c>
      <c r="K5511" s="14" t="s">
        <v>29813</v>
      </c>
      <c r="L5511" s="16" t="s">
        <v>29813</v>
      </c>
      <c r="M5511" s="12">
        <v>3.8010000000000002</v>
      </c>
      <c r="N5511" s="14" t="s">
        <v>29813</v>
      </c>
      <c r="O5511" s="14" t="s">
        <v>29813</v>
      </c>
      <c r="P5511" s="14" t="s">
        <v>29813</v>
      </c>
      <c r="Q5511" s="14" t="s">
        <v>29813</v>
      </c>
      <c r="R5511" s="14" t="s">
        <v>29813</v>
      </c>
    </row>
    <row r="5512" spans="1:18" ht="29.5" customHeight="1" x14ac:dyDescent="0.15">
      <c r="A5512" s="8" t="s">
        <v>29852</v>
      </c>
      <c r="B5512" s="9" t="s">
        <v>29853</v>
      </c>
      <c r="C5512" s="8" t="s">
        <v>29854</v>
      </c>
      <c r="D5512" s="8" t="s">
        <v>29854</v>
      </c>
      <c r="E5512" s="8" t="s">
        <v>29855</v>
      </c>
      <c r="F5512" s="8" t="s">
        <v>29844</v>
      </c>
      <c r="G5512" s="8" t="s">
        <v>29856</v>
      </c>
      <c r="H5512" s="8" t="s">
        <v>29857</v>
      </c>
      <c r="I5512" s="8" t="str">
        <f>HYPERLINK("http://www.sposadreamstyle.com/","www.sposadreamstyle.com")</f>
        <v>www.sposadreamstyle.com</v>
      </c>
      <c r="J5512" s="10">
        <v>16.358000000000001</v>
      </c>
      <c r="K5512" s="15" t="s">
        <v>29813</v>
      </c>
      <c r="L5512" s="15" t="s">
        <v>29813</v>
      </c>
      <c r="M5512" s="10">
        <v>7.1539999999999999</v>
      </c>
      <c r="N5512" s="15" t="s">
        <v>29813</v>
      </c>
      <c r="O5512" s="15" t="s">
        <v>29813</v>
      </c>
      <c r="P5512" s="10">
        <v>0</v>
      </c>
      <c r="Q5512" s="15" t="s">
        <v>29813</v>
      </c>
      <c r="R5512" s="15" t="s">
        <v>29813</v>
      </c>
    </row>
    <row r="5513" spans="1:18" ht="29.5" customHeight="1" x14ac:dyDescent="0.15">
      <c r="A5513" s="11" t="s">
        <v>29858</v>
      </c>
      <c r="B5513" s="1" t="s">
        <v>29859</v>
      </c>
      <c r="C5513" s="11" t="s">
        <v>29860</v>
      </c>
      <c r="D5513" s="11" t="s">
        <v>29860</v>
      </c>
      <c r="E5513" s="11" t="s">
        <v>29861</v>
      </c>
      <c r="F5513" s="11" t="s">
        <v>29862</v>
      </c>
      <c r="G5513" s="11" t="s">
        <v>29863</v>
      </c>
      <c r="H5513" s="11" t="s">
        <v>29863</v>
      </c>
      <c r="I5513" s="11" t="str">
        <f>HYPERLINK("http://www.ebhitech.com/","www.ebhitech.com")</f>
        <v>www.ebhitech.com</v>
      </c>
      <c r="J5513" s="12">
        <v>15.801</v>
      </c>
      <c r="K5513" s="14" t="s">
        <v>29813</v>
      </c>
      <c r="L5513" s="16" t="s">
        <v>29813</v>
      </c>
      <c r="M5513" s="12">
        <v>-32.552999999999997</v>
      </c>
      <c r="N5513" s="14" t="s">
        <v>29813</v>
      </c>
      <c r="O5513" s="14" t="s">
        <v>29813</v>
      </c>
      <c r="P5513" s="12">
        <v>1</v>
      </c>
      <c r="Q5513" s="14" t="s">
        <v>29813</v>
      </c>
      <c r="R5513" s="14" t="s">
        <v>29813</v>
      </c>
    </row>
    <row r="5514" spans="1:18" ht="17" customHeight="1" x14ac:dyDescent="0.15">
      <c r="A5514" s="8" t="s">
        <v>29864</v>
      </c>
      <c r="B5514" s="9" t="s">
        <v>29865</v>
      </c>
      <c r="C5514" s="8" t="s">
        <v>29866</v>
      </c>
      <c r="D5514" s="8" t="s">
        <v>29866</v>
      </c>
      <c r="E5514" s="8" t="s">
        <v>29867</v>
      </c>
      <c r="F5514" s="8" t="s">
        <v>29844</v>
      </c>
      <c r="G5514" s="8" t="s">
        <v>29868</v>
      </c>
      <c r="H5514" s="8" t="s">
        <v>29857</v>
      </c>
      <c r="I5514" s="8" t="str">
        <f>HYPERLINK("http://www.edencreations.it/","www.edencreations.it")</f>
        <v>www.edencreations.it</v>
      </c>
      <c r="J5514" s="10">
        <v>15.68</v>
      </c>
      <c r="K5514" s="15" t="s">
        <v>29813</v>
      </c>
      <c r="L5514" s="15" t="s">
        <v>29813</v>
      </c>
      <c r="M5514" s="10">
        <v>-15.695</v>
      </c>
      <c r="N5514" s="15" t="s">
        <v>29813</v>
      </c>
      <c r="O5514" s="15" t="s">
        <v>29813</v>
      </c>
      <c r="P5514" s="10">
        <v>1</v>
      </c>
      <c r="Q5514" s="15" t="s">
        <v>29813</v>
      </c>
      <c r="R5514" s="15" t="s">
        <v>29813</v>
      </c>
    </row>
    <row r="5515" spans="1:18" ht="29.5" customHeight="1" x14ac:dyDescent="0.15">
      <c r="A5515" s="11" t="s">
        <v>29869</v>
      </c>
      <c r="B5515" s="1" t="s">
        <v>29870</v>
      </c>
      <c r="C5515" s="11" t="s">
        <v>29871</v>
      </c>
      <c r="D5515" s="11" t="s">
        <v>29871</v>
      </c>
      <c r="E5515" s="11" t="s">
        <v>29872</v>
      </c>
      <c r="F5515" s="11" t="s">
        <v>29862</v>
      </c>
      <c r="G5515" s="11" t="s">
        <v>29873</v>
      </c>
      <c r="H5515" s="11" t="s">
        <v>29832</v>
      </c>
      <c r="I5515" s="11" t="str">
        <f>HYPERLINK("http://www.flashandpartners.it/","www.flashandpartners.it")</f>
        <v>www.flashandpartners.it</v>
      </c>
      <c r="J5515" s="12">
        <v>15.304</v>
      </c>
      <c r="K5515" s="14" t="s">
        <v>29813</v>
      </c>
      <c r="L5515" s="16" t="s">
        <v>29813</v>
      </c>
      <c r="M5515" s="12">
        <v>-167.88499999999999</v>
      </c>
      <c r="N5515" s="14" t="s">
        <v>29813</v>
      </c>
      <c r="O5515" s="14" t="s">
        <v>29813</v>
      </c>
      <c r="P5515" s="12">
        <v>0</v>
      </c>
      <c r="Q5515" s="14" t="s">
        <v>29813</v>
      </c>
      <c r="R5515" s="14" t="s">
        <v>29813</v>
      </c>
    </row>
    <row r="5516" spans="1:18" ht="17" customHeight="1" x14ac:dyDescent="0.15">
      <c r="A5516" s="8" t="s">
        <v>29874</v>
      </c>
      <c r="B5516" s="9" t="s">
        <v>29875</v>
      </c>
      <c r="C5516" s="8" t="s">
        <v>29876</v>
      </c>
      <c r="D5516" s="8" t="s">
        <v>29876</v>
      </c>
      <c r="E5516" s="8" t="s">
        <v>29877</v>
      </c>
      <c r="F5516" s="8" t="s">
        <v>29878</v>
      </c>
      <c r="G5516" s="8" t="s">
        <v>29819</v>
      </c>
      <c r="H5516" s="8" t="s">
        <v>29820</v>
      </c>
      <c r="I5516" s="8" t="str">
        <f>HYPERLINK("http://www.rubendellariccia.com/","www.rubendellariccia.com")</f>
        <v>www.rubendellariccia.com</v>
      </c>
      <c r="J5516" s="10">
        <v>15</v>
      </c>
      <c r="K5516" s="15" t="s">
        <v>29813</v>
      </c>
      <c r="L5516" s="15" t="s">
        <v>29813</v>
      </c>
      <c r="M5516" s="10">
        <v>17.940000000000001</v>
      </c>
      <c r="N5516" s="15" t="s">
        <v>29813</v>
      </c>
      <c r="O5516" s="15" t="s">
        <v>29813</v>
      </c>
      <c r="P5516" s="10">
        <v>1</v>
      </c>
      <c r="Q5516" s="15" t="s">
        <v>29813</v>
      </c>
      <c r="R5516" s="15" t="s">
        <v>29813</v>
      </c>
    </row>
    <row r="5517" spans="1:18" ht="29.5" customHeight="1" x14ac:dyDescent="0.15">
      <c r="A5517" s="11" t="s">
        <v>29879</v>
      </c>
      <c r="B5517" s="1" t="s">
        <v>29880</v>
      </c>
      <c r="C5517" s="11" t="s">
        <v>29881</v>
      </c>
      <c r="D5517" s="11" t="s">
        <v>29881</v>
      </c>
      <c r="E5517" s="11" t="s">
        <v>29882</v>
      </c>
      <c r="F5517" s="11" t="s">
        <v>29810</v>
      </c>
      <c r="G5517" s="11" t="s">
        <v>29883</v>
      </c>
      <c r="H5517" s="11" t="s">
        <v>29884</v>
      </c>
      <c r="I5517" s="11" t="str">
        <f>HYPERLINK("http://www.pacefashion.it/","www.pacefashion.it")</f>
        <v>www.pacefashion.it</v>
      </c>
      <c r="J5517" s="12">
        <v>14.971</v>
      </c>
      <c r="K5517" s="14" t="s">
        <v>29813</v>
      </c>
      <c r="L5517" s="16" t="s">
        <v>29813</v>
      </c>
      <c r="M5517" s="12">
        <v>2.8029999999999999</v>
      </c>
      <c r="N5517" s="14" t="s">
        <v>29813</v>
      </c>
      <c r="O5517" s="14" t="s">
        <v>29813</v>
      </c>
      <c r="P5517" s="12">
        <v>1</v>
      </c>
      <c r="Q5517" s="14" t="s">
        <v>29813</v>
      </c>
      <c r="R5517" s="14" t="s">
        <v>29813</v>
      </c>
    </row>
    <row r="5518" spans="1:18" ht="29.5" customHeight="1" x14ac:dyDescent="0.15">
      <c r="A5518" s="8" t="s">
        <v>29885</v>
      </c>
      <c r="B5518" s="9" t="s">
        <v>29886</v>
      </c>
      <c r="C5518" s="8" t="s">
        <v>29887</v>
      </c>
      <c r="D5518" s="8" t="s">
        <v>29887</v>
      </c>
      <c r="E5518" s="8" t="s">
        <v>29888</v>
      </c>
      <c r="F5518" s="8" t="s">
        <v>29810</v>
      </c>
      <c r="G5518" s="8" t="s">
        <v>29889</v>
      </c>
      <c r="H5518" s="8" t="s">
        <v>29851</v>
      </c>
      <c r="I5518" s="8" t="str">
        <f>HYPERLINK("http://www.todigi.it/","www.todigi.it")</f>
        <v>www.todigi.it</v>
      </c>
      <c r="J5518" s="10">
        <v>14.335000000000001</v>
      </c>
      <c r="K5518" s="15" t="s">
        <v>29813</v>
      </c>
      <c r="L5518" s="15" t="s">
        <v>29813</v>
      </c>
      <c r="M5518" s="10">
        <v>-17.486000000000001</v>
      </c>
      <c r="N5518" s="15" t="s">
        <v>29813</v>
      </c>
      <c r="O5518" s="15" t="s">
        <v>29813</v>
      </c>
      <c r="P5518" s="10">
        <v>2</v>
      </c>
      <c r="Q5518" s="15" t="s">
        <v>29813</v>
      </c>
      <c r="R5518" s="15" t="s">
        <v>29813</v>
      </c>
    </row>
    <row r="5519" spans="1:18" ht="29.5" customHeight="1" x14ac:dyDescent="0.15">
      <c r="A5519" s="11" t="s">
        <v>29890</v>
      </c>
      <c r="B5519" s="1" t="s">
        <v>29891</v>
      </c>
      <c r="C5519" s="11" t="s">
        <v>29892</v>
      </c>
      <c r="D5519" s="11" t="s">
        <v>29892</v>
      </c>
      <c r="E5519" s="11" t="s">
        <v>29893</v>
      </c>
      <c r="F5519" s="11" t="s">
        <v>29894</v>
      </c>
      <c r="G5519" s="11" t="s">
        <v>29895</v>
      </c>
      <c r="H5519" s="11" t="s">
        <v>29832</v>
      </c>
      <c r="I5519" s="11" t="str">
        <f>HYPERLINK("http://www.lins.it/","www.lins.it")</f>
        <v>www.lins.it</v>
      </c>
      <c r="J5519" s="12">
        <v>14</v>
      </c>
      <c r="K5519" s="14" t="s">
        <v>29813</v>
      </c>
      <c r="L5519" s="16" t="s">
        <v>29813</v>
      </c>
      <c r="M5519" s="12">
        <v>-2.3410000000000002</v>
      </c>
      <c r="N5519" s="14" t="s">
        <v>29813</v>
      </c>
      <c r="O5519" s="14" t="s">
        <v>29813</v>
      </c>
      <c r="P5519" s="12">
        <v>0</v>
      </c>
      <c r="Q5519" s="14" t="s">
        <v>29813</v>
      </c>
      <c r="R5519" s="14" t="s">
        <v>29813</v>
      </c>
    </row>
    <row r="5520" spans="1:18" ht="17" customHeight="1" x14ac:dyDescent="0.15">
      <c r="A5520" s="8" t="s">
        <v>29896</v>
      </c>
      <c r="B5520" s="9" t="s">
        <v>29897</v>
      </c>
      <c r="C5520" s="8" t="s">
        <v>29898</v>
      </c>
      <c r="D5520" s="8" t="s">
        <v>29898</v>
      </c>
      <c r="E5520" s="8" t="s">
        <v>29899</v>
      </c>
      <c r="F5520" s="8" t="s">
        <v>29900</v>
      </c>
      <c r="G5520" s="8" t="s">
        <v>29819</v>
      </c>
      <c r="H5520" s="8" t="s">
        <v>29820</v>
      </c>
      <c r="I5520" s="8" t="str">
        <f>HYPERLINK("http://www.federicaberardelli.com/","www.federicaberardelli.com")</f>
        <v>www.federicaberardelli.com</v>
      </c>
      <c r="J5520" s="10">
        <v>13.012</v>
      </c>
      <c r="K5520" s="15" t="s">
        <v>29813</v>
      </c>
      <c r="L5520" s="15" t="s">
        <v>29813</v>
      </c>
      <c r="M5520" s="10">
        <v>-2.1999999999999999E-2</v>
      </c>
      <c r="N5520" s="15" t="s">
        <v>29813</v>
      </c>
      <c r="O5520" s="15" t="s">
        <v>29813</v>
      </c>
      <c r="P5520" s="10">
        <v>0</v>
      </c>
      <c r="Q5520" s="15" t="s">
        <v>29813</v>
      </c>
      <c r="R5520" s="15" t="s">
        <v>29813</v>
      </c>
    </row>
    <row r="5521" spans="1:18" ht="17" customHeight="1" x14ac:dyDescent="0.15">
      <c r="A5521" s="11" t="s">
        <v>29901</v>
      </c>
      <c r="B5521" s="1" t="s">
        <v>29902</v>
      </c>
      <c r="C5521" s="11" t="s">
        <v>29903</v>
      </c>
      <c r="D5521" s="11" t="s">
        <v>29903</v>
      </c>
      <c r="E5521" s="11" t="s">
        <v>29904</v>
      </c>
      <c r="F5521" s="11" t="s">
        <v>29862</v>
      </c>
      <c r="G5521" s="11" t="s">
        <v>29868</v>
      </c>
      <c r="H5521" s="11" t="s">
        <v>29857</v>
      </c>
      <c r="I5521" s="11" t="str">
        <f>HYPERLINK("http://www.sanlorenzoconfezioni.com/","www.sanlorenzoconfezioni.com")</f>
        <v>www.sanlorenzoconfezioni.com</v>
      </c>
      <c r="J5521" s="12">
        <v>12.379</v>
      </c>
      <c r="K5521" s="14" t="s">
        <v>29813</v>
      </c>
      <c r="L5521" s="16" t="s">
        <v>29813</v>
      </c>
      <c r="M5521" s="12">
        <v>-94.992000000000004</v>
      </c>
      <c r="N5521" s="14" t="s">
        <v>29813</v>
      </c>
      <c r="O5521" s="14" t="s">
        <v>29813</v>
      </c>
      <c r="P5521" s="12">
        <v>0</v>
      </c>
      <c r="Q5521" s="14" t="s">
        <v>29813</v>
      </c>
      <c r="R5521" s="14" t="s">
        <v>29813</v>
      </c>
    </row>
    <row r="5522" spans="1:18" ht="17" customHeight="1" x14ac:dyDescent="0.15">
      <c r="A5522" s="8" t="s">
        <v>29905</v>
      </c>
      <c r="B5522" s="9" t="s">
        <v>29906</v>
      </c>
      <c r="C5522" s="8" t="s">
        <v>29907</v>
      </c>
      <c r="D5522" s="8" t="s">
        <v>29907</v>
      </c>
      <c r="E5522" s="8" t="s">
        <v>29908</v>
      </c>
      <c r="F5522" s="8" t="s">
        <v>29862</v>
      </c>
      <c r="G5522" s="8" t="s">
        <v>29909</v>
      </c>
      <c r="H5522" s="8" t="s">
        <v>29910</v>
      </c>
      <c r="I5522" s="8" t="str">
        <f>HYPERLINK("http://www.italianstylespa.it/","www.italianstylespa.it")</f>
        <v>www.italianstylespa.it</v>
      </c>
      <c r="J5522" s="10">
        <v>12</v>
      </c>
      <c r="K5522" s="15" t="s">
        <v>29813</v>
      </c>
      <c r="L5522" s="15" t="s">
        <v>29813</v>
      </c>
      <c r="M5522" s="10">
        <v>-18.341999999999999</v>
      </c>
      <c r="N5522" s="15" t="s">
        <v>29813</v>
      </c>
      <c r="O5522" s="15" t="s">
        <v>29813</v>
      </c>
      <c r="P5522" s="10">
        <v>0</v>
      </c>
      <c r="Q5522" s="15" t="s">
        <v>29813</v>
      </c>
      <c r="R5522" s="15" t="s">
        <v>29813</v>
      </c>
    </row>
    <row r="5523" spans="1:18" ht="55.75" customHeight="1" x14ac:dyDescent="0.15">
      <c r="A5523" s="11" t="s">
        <v>29911</v>
      </c>
      <c r="B5523" s="1" t="s">
        <v>29912</v>
      </c>
      <c r="C5523" s="11" t="s">
        <v>29913</v>
      </c>
      <c r="D5523" s="11" t="s">
        <v>29913</v>
      </c>
      <c r="E5523" s="11" t="s">
        <v>29914</v>
      </c>
      <c r="F5523" s="11" t="s">
        <v>29844</v>
      </c>
      <c r="G5523" s="11" t="s">
        <v>29915</v>
      </c>
      <c r="H5523" s="11" t="s">
        <v>29910</v>
      </c>
      <c r="I5523" s="11" t="str">
        <f>HYPERLINK("http://contisumisura.it/","contisumisura.it")</f>
        <v>contisumisura.it</v>
      </c>
      <c r="J5523" s="12">
        <v>11.611000000000001</v>
      </c>
      <c r="K5523" s="14" t="s">
        <v>29813</v>
      </c>
      <c r="L5523" s="16" t="s">
        <v>29813</v>
      </c>
      <c r="M5523" s="12">
        <v>0.115</v>
      </c>
      <c r="N5523" s="14" t="s">
        <v>29813</v>
      </c>
      <c r="O5523" s="14" t="s">
        <v>29813</v>
      </c>
      <c r="P5523" s="12">
        <v>0</v>
      </c>
      <c r="Q5523" s="14" t="s">
        <v>29813</v>
      </c>
      <c r="R5523" s="14" t="s">
        <v>29813</v>
      </c>
    </row>
    <row r="5524" spans="1:18" ht="29.5" customHeight="1" x14ac:dyDescent="0.15">
      <c r="A5524" s="8" t="s">
        <v>29916</v>
      </c>
      <c r="B5524" s="9" t="s">
        <v>29917</v>
      </c>
      <c r="C5524" s="8" t="s">
        <v>29918</v>
      </c>
      <c r="D5524" s="8" t="s">
        <v>29918</v>
      </c>
      <c r="E5524" s="8" t="s">
        <v>29919</v>
      </c>
      <c r="F5524" s="8" t="s">
        <v>29844</v>
      </c>
      <c r="G5524" s="8" t="s">
        <v>29920</v>
      </c>
      <c r="H5524" s="8" t="s">
        <v>29921</v>
      </c>
      <c r="I5524" s="8" t="str">
        <f>HYPERLINK("http://artemiscorsetto.eli-sa.it/","artemiscorsetto.eli-sa.it")</f>
        <v>artemiscorsetto.eli-sa.it</v>
      </c>
      <c r="J5524" s="10">
        <v>11.356999999999999</v>
      </c>
      <c r="K5524" s="15" t="s">
        <v>29813</v>
      </c>
      <c r="L5524" s="15" t="s">
        <v>29813</v>
      </c>
      <c r="M5524" s="10">
        <v>-2.62</v>
      </c>
      <c r="N5524" s="15" t="s">
        <v>29813</v>
      </c>
      <c r="O5524" s="15" t="s">
        <v>29813</v>
      </c>
      <c r="P5524" s="10">
        <v>2</v>
      </c>
      <c r="Q5524" s="15" t="s">
        <v>29813</v>
      </c>
      <c r="R5524" s="15" t="s">
        <v>29813</v>
      </c>
    </row>
    <row r="5525" spans="1:18" ht="17" customHeight="1" x14ac:dyDescent="0.15">
      <c r="A5525" s="11" t="s">
        <v>29922</v>
      </c>
      <c r="B5525" s="1" t="s">
        <v>29923</v>
      </c>
      <c r="C5525" s="11" t="s">
        <v>29924</v>
      </c>
      <c r="D5525" s="11" t="s">
        <v>29924</v>
      </c>
      <c r="E5525" s="11" t="s">
        <v>29925</v>
      </c>
      <c r="F5525" s="11" t="s">
        <v>29900</v>
      </c>
      <c r="G5525" s="11" t="s">
        <v>29926</v>
      </c>
      <c r="H5525" s="11" t="s">
        <v>29820</v>
      </c>
      <c r="I5525" s="11" t="str">
        <f>HYPERLINK("http://www.francescaevangelista.it/","www.francescaevangelista.it")</f>
        <v>www.francescaevangelista.it</v>
      </c>
      <c r="J5525" s="12">
        <v>10.965</v>
      </c>
      <c r="K5525" s="14" t="s">
        <v>29813</v>
      </c>
      <c r="L5525" s="16" t="s">
        <v>29813</v>
      </c>
      <c r="M5525" s="12">
        <v>-0.872</v>
      </c>
      <c r="N5525" s="14" t="s">
        <v>29813</v>
      </c>
      <c r="O5525" s="14" t="s">
        <v>29813</v>
      </c>
      <c r="P5525" s="12">
        <v>0</v>
      </c>
      <c r="Q5525" s="14" t="s">
        <v>29813</v>
      </c>
      <c r="R5525" s="14" t="s">
        <v>29813</v>
      </c>
    </row>
    <row r="5526" spans="1:18" ht="29.5" customHeight="1" x14ac:dyDescent="0.15">
      <c r="A5526" s="8" t="s">
        <v>29927</v>
      </c>
      <c r="B5526" s="9" t="s">
        <v>29928</v>
      </c>
      <c r="C5526" s="8" t="s">
        <v>29929</v>
      </c>
      <c r="D5526" s="8" t="s">
        <v>29929</v>
      </c>
      <c r="E5526" s="8" t="s">
        <v>29930</v>
      </c>
      <c r="F5526" s="8" t="s">
        <v>29849</v>
      </c>
      <c r="G5526" s="8" t="s">
        <v>29931</v>
      </c>
      <c r="H5526" s="8" t="s">
        <v>29910</v>
      </c>
      <c r="I5526" s="8" t="str">
        <f>HYPERLINK("http://www.alessandropiacentini.it/","www.alessandropiacentini.it")</f>
        <v>www.alessandropiacentini.it</v>
      </c>
      <c r="J5526" s="10">
        <v>10.32</v>
      </c>
      <c r="K5526" s="15" t="s">
        <v>29813</v>
      </c>
      <c r="L5526" s="15" t="s">
        <v>29813</v>
      </c>
      <c r="M5526" s="10">
        <v>-1.5349999999999999</v>
      </c>
      <c r="N5526" s="15" t="s">
        <v>29813</v>
      </c>
      <c r="O5526" s="15" t="s">
        <v>29813</v>
      </c>
      <c r="P5526" s="10">
        <v>0</v>
      </c>
      <c r="Q5526" s="15" t="s">
        <v>29813</v>
      </c>
      <c r="R5526" s="15" t="s">
        <v>29813</v>
      </c>
    </row>
    <row r="5527" spans="1:18" ht="29.5" customHeight="1" x14ac:dyDescent="0.15">
      <c r="A5527" s="11" t="s">
        <v>29932</v>
      </c>
      <c r="B5527" s="1" t="s">
        <v>29933</v>
      </c>
      <c r="C5527" s="11" t="s">
        <v>29934</v>
      </c>
      <c r="D5527" s="11" t="s">
        <v>29934</v>
      </c>
      <c r="E5527" s="11" t="s">
        <v>29935</v>
      </c>
      <c r="F5527" s="11" t="s">
        <v>29844</v>
      </c>
      <c r="G5527" s="11" t="s">
        <v>29920</v>
      </c>
      <c r="H5527" s="11" t="s">
        <v>29921</v>
      </c>
      <c r="I5527" s="11" t="str">
        <f>HYPERLINK("http://www.laperlapreziosa.net/","www.laperlapreziosa.net")</f>
        <v>www.laperlapreziosa.net</v>
      </c>
      <c r="J5527" s="12">
        <v>9.8979999999999997</v>
      </c>
      <c r="K5527" s="14" t="s">
        <v>29813</v>
      </c>
      <c r="L5527" s="16" t="s">
        <v>29813</v>
      </c>
      <c r="M5527" s="12">
        <v>-10.714</v>
      </c>
      <c r="N5527" s="14" t="s">
        <v>29813</v>
      </c>
      <c r="O5527" s="14" t="s">
        <v>29813</v>
      </c>
      <c r="P5527" s="12">
        <v>3</v>
      </c>
      <c r="Q5527" s="14" t="s">
        <v>29813</v>
      </c>
      <c r="R5527" s="14" t="s">
        <v>29813</v>
      </c>
    </row>
    <row r="5528" spans="1:18" ht="29.5" customHeight="1" x14ac:dyDescent="0.15">
      <c r="A5528" s="8" t="s">
        <v>29936</v>
      </c>
      <c r="B5528" s="9" t="s">
        <v>29937</v>
      </c>
      <c r="C5528" s="8" t="s">
        <v>29938</v>
      </c>
      <c r="D5528" s="8" t="s">
        <v>29938</v>
      </c>
      <c r="E5528" s="8" t="s">
        <v>29939</v>
      </c>
      <c r="F5528" s="8" t="s">
        <v>29900</v>
      </c>
      <c r="G5528" s="8" t="s">
        <v>29940</v>
      </c>
      <c r="H5528" s="8" t="s">
        <v>29826</v>
      </c>
      <c r="I5528" s="8" t="str">
        <f>HYPERLINK("http://genesi-3-srl-01895270435.quantofattura.com/","genesi-3-srl-01895270435.quantofattura.com")</f>
        <v>genesi-3-srl-01895270435.quantofattura.com</v>
      </c>
      <c r="J5528" s="10">
        <v>9.41</v>
      </c>
      <c r="K5528" s="15" t="s">
        <v>29813</v>
      </c>
      <c r="L5528" s="15" t="s">
        <v>29813</v>
      </c>
      <c r="M5528" s="10">
        <v>1.792</v>
      </c>
      <c r="N5528" s="15" t="s">
        <v>29813</v>
      </c>
      <c r="O5528" s="15" t="s">
        <v>29813</v>
      </c>
      <c r="P5528" s="15" t="s">
        <v>29813</v>
      </c>
      <c r="Q5528" s="15" t="s">
        <v>29813</v>
      </c>
      <c r="R5528" s="15" t="s">
        <v>29813</v>
      </c>
    </row>
    <row r="5529" spans="1:18" ht="43" customHeight="1" x14ac:dyDescent="0.15">
      <c r="A5529" s="11" t="s">
        <v>29941</v>
      </c>
      <c r="B5529" s="1" t="s">
        <v>29942</v>
      </c>
      <c r="C5529" s="11" t="s">
        <v>29943</v>
      </c>
      <c r="D5529" s="11" t="s">
        <v>29943</v>
      </c>
      <c r="E5529" s="11" t="s">
        <v>29944</v>
      </c>
      <c r="F5529" s="11" t="s">
        <v>29844</v>
      </c>
      <c r="G5529" s="11" t="s">
        <v>29945</v>
      </c>
      <c r="H5529" s="11" t="s">
        <v>29851</v>
      </c>
      <c r="I5529" s="11" t="str">
        <f>HYPERLINK("http://palazzacciotoghe.it/","palazzacciotoghe.it")</f>
        <v>palazzacciotoghe.it</v>
      </c>
      <c r="J5529" s="12">
        <v>8.7469999999999999</v>
      </c>
      <c r="K5529" s="14" t="s">
        <v>29813</v>
      </c>
      <c r="L5529" s="16" t="s">
        <v>29813</v>
      </c>
      <c r="M5529" s="12">
        <v>-1.631</v>
      </c>
      <c r="N5529" s="14" t="s">
        <v>29813</v>
      </c>
      <c r="O5529" s="14" t="s">
        <v>29813</v>
      </c>
      <c r="P5529" s="12">
        <v>0</v>
      </c>
      <c r="Q5529" s="14" t="s">
        <v>29813</v>
      </c>
      <c r="R5529" s="14" t="s">
        <v>29813</v>
      </c>
    </row>
    <row r="5530" spans="1:18" ht="55.75" customHeight="1" x14ac:dyDescent="0.15">
      <c r="A5530" s="8" t="s">
        <v>29946</v>
      </c>
      <c r="B5530" s="9" t="s">
        <v>29947</v>
      </c>
      <c r="C5530" s="8" t="s">
        <v>29948</v>
      </c>
      <c r="D5530" s="8" t="s">
        <v>29948</v>
      </c>
      <c r="E5530" s="8" t="s">
        <v>29949</v>
      </c>
      <c r="F5530" s="8" t="s">
        <v>29818</v>
      </c>
      <c r="G5530" s="8" t="s">
        <v>29950</v>
      </c>
      <c r="H5530" s="8" t="s">
        <v>29826</v>
      </c>
      <c r="I5530" s="8" t="str">
        <f>HYPERLINK("http://mokaite.com/","mokaite.com")</f>
        <v>mokaite.com</v>
      </c>
      <c r="J5530" s="10">
        <v>8.8420000000000005</v>
      </c>
      <c r="K5530" s="15" t="s">
        <v>29813</v>
      </c>
      <c r="L5530" s="15" t="s">
        <v>29813</v>
      </c>
      <c r="M5530" s="10">
        <v>-13.404999999999999</v>
      </c>
      <c r="N5530" s="15" t="s">
        <v>29813</v>
      </c>
      <c r="O5530" s="15" t="s">
        <v>29813</v>
      </c>
      <c r="P5530" s="10">
        <v>0</v>
      </c>
      <c r="Q5530" s="15" t="s">
        <v>29813</v>
      </c>
      <c r="R5530" s="15" t="s">
        <v>29813</v>
      </c>
    </row>
    <row r="5531" spans="1:18" ht="17" customHeight="1" x14ac:dyDescent="0.15">
      <c r="A5531" s="11" t="s">
        <v>29951</v>
      </c>
      <c r="B5531" s="1" t="s">
        <v>29952</v>
      </c>
      <c r="C5531" s="11" t="s">
        <v>29953</v>
      </c>
      <c r="D5531" s="11" t="s">
        <v>29953</v>
      </c>
      <c r="E5531" s="11" t="s">
        <v>29954</v>
      </c>
      <c r="F5531" s="11" t="s">
        <v>29810</v>
      </c>
      <c r="G5531" s="11" t="s">
        <v>29915</v>
      </c>
      <c r="H5531" s="11" t="s">
        <v>29910</v>
      </c>
      <c r="I5531" s="11" t="str">
        <f>HYPERLINK("http://www.enn-w.com/","www.enn-w.com")</f>
        <v>www.enn-w.com</v>
      </c>
      <c r="J5531" s="12">
        <v>8.7140000000000004</v>
      </c>
      <c r="K5531" s="14" t="s">
        <v>29813</v>
      </c>
      <c r="L5531" s="16" t="s">
        <v>29813</v>
      </c>
      <c r="M5531" s="12">
        <v>-12.872999999999999</v>
      </c>
      <c r="N5531" s="14" t="s">
        <v>29813</v>
      </c>
      <c r="O5531" s="14" t="s">
        <v>29813</v>
      </c>
      <c r="P5531" s="12">
        <v>1</v>
      </c>
      <c r="Q5531" s="14" t="s">
        <v>29813</v>
      </c>
      <c r="R5531" s="14" t="s">
        <v>29813</v>
      </c>
    </row>
    <row r="5532" spans="1:18" ht="17" customHeight="1" x14ac:dyDescent="0.15">
      <c r="A5532" s="8" t="s">
        <v>29955</v>
      </c>
      <c r="B5532" s="9" t="s">
        <v>29956</v>
      </c>
      <c r="C5532" s="8" t="s">
        <v>29957</v>
      </c>
      <c r="D5532" s="8" t="s">
        <v>29957</v>
      </c>
      <c r="E5532" s="8" t="s">
        <v>29958</v>
      </c>
      <c r="F5532" s="8" t="s">
        <v>29810</v>
      </c>
      <c r="G5532" s="8" t="s">
        <v>29915</v>
      </c>
      <c r="H5532" s="8" t="s">
        <v>29910</v>
      </c>
      <c r="I5532" s="8" t="str">
        <f>HYPERLINK("http://www.giomila.com/","www.giomila.com")</f>
        <v>www.giomila.com</v>
      </c>
      <c r="J5532" s="10">
        <v>8.6590000000000007</v>
      </c>
      <c r="K5532" s="15" t="s">
        <v>29813</v>
      </c>
      <c r="L5532" s="15" t="s">
        <v>29813</v>
      </c>
      <c r="M5532" s="10">
        <v>-50.344999999999999</v>
      </c>
      <c r="N5532" s="15" t="s">
        <v>29813</v>
      </c>
      <c r="O5532" s="15" t="s">
        <v>29813</v>
      </c>
      <c r="P5532" s="10">
        <v>0</v>
      </c>
      <c r="Q5532" s="15" t="s">
        <v>29813</v>
      </c>
      <c r="R5532" s="15" t="s">
        <v>29813</v>
      </c>
    </row>
    <row r="5533" spans="1:18" ht="17" customHeight="1" x14ac:dyDescent="0.15">
      <c r="A5533" s="11" t="s">
        <v>29959</v>
      </c>
      <c r="B5533" s="1" t="s">
        <v>29960</v>
      </c>
      <c r="C5533" s="11" t="s">
        <v>29961</v>
      </c>
      <c r="D5533" s="11" t="s">
        <v>29961</v>
      </c>
      <c r="E5533" s="11" t="s">
        <v>29962</v>
      </c>
      <c r="F5533" s="11" t="s">
        <v>29963</v>
      </c>
      <c r="G5533" s="11" t="s">
        <v>29964</v>
      </c>
      <c r="H5533" s="11" t="s">
        <v>29857</v>
      </c>
      <c r="I5533" s="11" t="str">
        <f>HYPERLINK("http://www.kingcollection.it/","www.kingcollection.it")</f>
        <v>www.kingcollection.it</v>
      </c>
      <c r="J5533" s="12">
        <v>8.0269999999999992</v>
      </c>
      <c r="K5533" s="14" t="s">
        <v>29813</v>
      </c>
      <c r="L5533" s="16" t="s">
        <v>29813</v>
      </c>
      <c r="M5533" s="12">
        <v>-3.3330000000000002</v>
      </c>
      <c r="N5533" s="14" t="s">
        <v>29813</v>
      </c>
      <c r="O5533" s="14" t="s">
        <v>29813</v>
      </c>
      <c r="P5533" s="12">
        <v>0</v>
      </c>
      <c r="Q5533" s="14" t="s">
        <v>29813</v>
      </c>
      <c r="R5533" s="14" t="s">
        <v>29813</v>
      </c>
    </row>
    <row r="5534" spans="1:18" ht="17" customHeight="1" x14ac:dyDescent="0.15">
      <c r="A5534" s="8" t="s">
        <v>29965</v>
      </c>
      <c r="B5534" s="9" t="s">
        <v>29966</v>
      </c>
      <c r="C5534" s="8" t="s">
        <v>29967</v>
      </c>
      <c r="D5534" s="8" t="s">
        <v>29967</v>
      </c>
      <c r="E5534" s="8" t="s">
        <v>29968</v>
      </c>
      <c r="F5534" s="8" t="s">
        <v>29818</v>
      </c>
      <c r="G5534" s="8" t="s">
        <v>29873</v>
      </c>
      <c r="H5534" s="8" t="s">
        <v>29832</v>
      </c>
      <c r="I5534" s="8" t="str">
        <f>HYPERLINK("http://www.bubino.com/","www.bubino.com")</f>
        <v>www.bubino.com</v>
      </c>
      <c r="J5534" s="10">
        <v>8.0129999999999999</v>
      </c>
      <c r="K5534" s="15" t="s">
        <v>29813</v>
      </c>
      <c r="L5534" s="15" t="s">
        <v>29813</v>
      </c>
      <c r="M5534" s="10">
        <v>-17.547000000000001</v>
      </c>
      <c r="N5534" s="15" t="s">
        <v>29813</v>
      </c>
      <c r="O5534" s="15" t="s">
        <v>29813</v>
      </c>
      <c r="P5534" s="10">
        <v>0</v>
      </c>
      <c r="Q5534" s="15" t="s">
        <v>29813</v>
      </c>
      <c r="R5534" s="15" t="s">
        <v>29813</v>
      </c>
    </row>
    <row r="5535" spans="1:18" ht="17" customHeight="1" x14ac:dyDescent="0.15">
      <c r="A5535" s="11" t="s">
        <v>29969</v>
      </c>
      <c r="B5535" s="1" t="s">
        <v>29970</v>
      </c>
      <c r="C5535" s="11" t="s">
        <v>29971</v>
      </c>
      <c r="D5535" s="11" t="s">
        <v>29971</v>
      </c>
      <c r="E5535" s="11" t="s">
        <v>29972</v>
      </c>
      <c r="F5535" s="11" t="s">
        <v>29862</v>
      </c>
      <c r="G5535" s="11" t="s">
        <v>29838</v>
      </c>
      <c r="H5535" s="11" t="s">
        <v>29839</v>
      </c>
      <c r="I5535" s="11" t="str">
        <f>HYPERLINK("http://dende.ai/","dende.ai")</f>
        <v>dende.ai</v>
      </c>
      <c r="J5535" s="12">
        <v>7.8259999999999996</v>
      </c>
      <c r="K5535" s="14" t="s">
        <v>29813</v>
      </c>
      <c r="L5535" s="16" t="s">
        <v>29813</v>
      </c>
      <c r="M5535" s="12">
        <v>1.6160000000000001</v>
      </c>
      <c r="N5535" s="14" t="s">
        <v>29813</v>
      </c>
      <c r="O5535" s="14" t="s">
        <v>29813</v>
      </c>
      <c r="P5535" s="14" t="s">
        <v>29813</v>
      </c>
      <c r="Q5535" s="14" t="s">
        <v>29813</v>
      </c>
      <c r="R5535" s="14" t="s">
        <v>29813</v>
      </c>
    </row>
    <row r="5536" spans="1:18" ht="17" customHeight="1" x14ac:dyDescent="0.15">
      <c r="A5536" s="8" t="s">
        <v>29973</v>
      </c>
      <c r="B5536" s="9" t="s">
        <v>29974</v>
      </c>
      <c r="C5536" s="8" t="s">
        <v>29975</v>
      </c>
      <c r="D5536" s="8" t="s">
        <v>29975</v>
      </c>
      <c r="E5536" s="8" t="s">
        <v>29976</v>
      </c>
      <c r="F5536" s="8" t="s">
        <v>29844</v>
      </c>
      <c r="G5536" s="8" t="s">
        <v>29950</v>
      </c>
      <c r="H5536" s="8" t="s">
        <v>29826</v>
      </c>
      <c r="I5536" s="8" t="str">
        <f>HYPERLINK("http://leime.it/","leime.it")</f>
        <v>leime.it</v>
      </c>
      <c r="J5536" s="10">
        <v>7.2290000000000001</v>
      </c>
      <c r="K5536" s="15" t="s">
        <v>29813</v>
      </c>
      <c r="L5536" s="15" t="s">
        <v>29813</v>
      </c>
      <c r="M5536" s="10">
        <v>-6.2009999999999996</v>
      </c>
      <c r="N5536" s="15" t="s">
        <v>29813</v>
      </c>
      <c r="O5536" s="15" t="s">
        <v>29813</v>
      </c>
      <c r="P5536" s="10">
        <v>1</v>
      </c>
      <c r="Q5536" s="15" t="s">
        <v>29813</v>
      </c>
      <c r="R5536" s="15" t="s">
        <v>29813</v>
      </c>
    </row>
    <row r="5537" spans="1:18" ht="17" customHeight="1" x14ac:dyDescent="0.15">
      <c r="A5537" s="11" t="s">
        <v>29977</v>
      </c>
      <c r="B5537" s="1" t="s">
        <v>29978</v>
      </c>
      <c r="C5537" s="11" t="s">
        <v>29979</v>
      </c>
      <c r="D5537" s="11" t="s">
        <v>29979</v>
      </c>
      <c r="E5537" s="11" t="s">
        <v>29980</v>
      </c>
      <c r="F5537" s="11" t="s">
        <v>29981</v>
      </c>
      <c r="G5537" s="11" t="s">
        <v>29982</v>
      </c>
      <c r="H5537" s="11" t="s">
        <v>29983</v>
      </c>
      <c r="I5537" s="11" t="str">
        <f>HYPERLINK("http://www.madamina.it/","www.madamina.it")</f>
        <v>www.madamina.it</v>
      </c>
      <c r="J5537" s="12">
        <v>6.7249999999999996</v>
      </c>
      <c r="K5537" s="14" t="s">
        <v>29984</v>
      </c>
      <c r="L5537" s="16" t="s">
        <v>29984</v>
      </c>
      <c r="M5537" s="12">
        <v>-10.02</v>
      </c>
      <c r="N5537" s="14" t="s">
        <v>29984</v>
      </c>
      <c r="O5537" s="14" t="s">
        <v>29984</v>
      </c>
      <c r="P5537" s="12">
        <v>2</v>
      </c>
      <c r="Q5537" s="14" t="s">
        <v>29984</v>
      </c>
      <c r="R5537" s="14" t="s">
        <v>29984</v>
      </c>
    </row>
    <row r="5538" spans="1:18" ht="17" customHeight="1" x14ac:dyDescent="0.15">
      <c r="A5538" s="8" t="s">
        <v>29985</v>
      </c>
      <c r="B5538" s="9" t="s">
        <v>29986</v>
      </c>
      <c r="C5538" s="8" t="s">
        <v>29987</v>
      </c>
      <c r="D5538" s="8" t="s">
        <v>29987</v>
      </c>
      <c r="E5538" s="8" t="s">
        <v>29988</v>
      </c>
      <c r="F5538" s="8" t="s">
        <v>29989</v>
      </c>
      <c r="G5538" s="8" t="s">
        <v>29990</v>
      </c>
      <c r="H5538" s="8" t="s">
        <v>29991</v>
      </c>
      <c r="I5538" s="8" t="str">
        <f>HYPERLINK("http://www.laminierasrl.it/","www.laminierasrl.it")</f>
        <v>www.laminierasrl.it</v>
      </c>
      <c r="J5538" s="10">
        <v>6.38</v>
      </c>
      <c r="K5538" s="15" t="s">
        <v>29984</v>
      </c>
      <c r="L5538" s="15" t="s">
        <v>29984</v>
      </c>
      <c r="M5538" s="10">
        <v>-13.028</v>
      </c>
      <c r="N5538" s="15" t="s">
        <v>29984</v>
      </c>
      <c r="O5538" s="15" t="s">
        <v>29984</v>
      </c>
      <c r="P5538" s="10">
        <v>0</v>
      </c>
      <c r="Q5538" s="15" t="s">
        <v>29984</v>
      </c>
      <c r="R5538" s="15" t="s">
        <v>29984</v>
      </c>
    </row>
    <row r="5539" spans="1:18" ht="17" customHeight="1" x14ac:dyDescent="0.15">
      <c r="A5539" s="11" t="s">
        <v>29992</v>
      </c>
      <c r="B5539" s="1" t="s">
        <v>29993</v>
      </c>
      <c r="C5539" s="11" t="s">
        <v>29994</v>
      </c>
      <c r="D5539" s="11" t="s">
        <v>29994</v>
      </c>
      <c r="E5539" s="11" t="s">
        <v>29995</v>
      </c>
      <c r="F5539" s="11" t="s">
        <v>29996</v>
      </c>
      <c r="G5539" s="11" t="s">
        <v>29997</v>
      </c>
      <c r="H5539" s="11" t="s">
        <v>29998</v>
      </c>
      <c r="I5539" s="11" t="str">
        <f>HYPERLINK("http://www.michelemiglionicoshop.com/","www.michelemiglionicoshop.com")</f>
        <v>www.michelemiglionicoshop.com</v>
      </c>
      <c r="J5539" s="12">
        <v>6.2930000000000001</v>
      </c>
      <c r="K5539" s="14" t="s">
        <v>29984</v>
      </c>
      <c r="L5539" s="16" t="s">
        <v>29984</v>
      </c>
      <c r="M5539" s="12">
        <v>1.304</v>
      </c>
      <c r="N5539" s="14" t="s">
        <v>29984</v>
      </c>
      <c r="O5539" s="14" t="s">
        <v>29984</v>
      </c>
      <c r="P5539" s="12">
        <v>0</v>
      </c>
      <c r="Q5539" s="14" t="s">
        <v>29984</v>
      </c>
      <c r="R5539" s="14" t="s">
        <v>29984</v>
      </c>
    </row>
    <row r="5540" spans="1:18" ht="29.5" customHeight="1" x14ac:dyDescent="0.15">
      <c r="A5540" s="8" t="s">
        <v>29999</v>
      </c>
      <c r="B5540" s="9" t="s">
        <v>30000</v>
      </c>
      <c r="C5540" s="8" t="s">
        <v>30001</v>
      </c>
      <c r="D5540" s="8" t="s">
        <v>30001</v>
      </c>
      <c r="E5540" s="8" t="s">
        <v>30002</v>
      </c>
      <c r="F5540" s="8" t="s">
        <v>30003</v>
      </c>
      <c r="G5540" s="8" t="s">
        <v>30004</v>
      </c>
      <c r="H5540" s="8" t="s">
        <v>30005</v>
      </c>
      <c r="I5540" s="8" t="str">
        <f>HYPERLINK("http://www.tregazzelle.com/","http://www.tregazzelle.com")</f>
        <v>http://www.tregazzelle.com</v>
      </c>
      <c r="J5540" s="10">
        <v>6</v>
      </c>
      <c r="K5540" s="15" t="s">
        <v>29984</v>
      </c>
      <c r="L5540" s="15" t="s">
        <v>29984</v>
      </c>
      <c r="M5540" s="10">
        <v>432</v>
      </c>
      <c r="N5540" s="15" t="s">
        <v>29984</v>
      </c>
      <c r="O5540" s="15" t="s">
        <v>29984</v>
      </c>
      <c r="P5540" s="15" t="s">
        <v>29984</v>
      </c>
      <c r="Q5540" s="15" t="s">
        <v>29984</v>
      </c>
      <c r="R5540" s="15" t="s">
        <v>29984</v>
      </c>
    </row>
    <row r="5541" spans="1:18" ht="43" customHeight="1" x14ac:dyDescent="0.15">
      <c r="A5541" s="11" t="s">
        <v>30006</v>
      </c>
      <c r="B5541" s="1" t="s">
        <v>30007</v>
      </c>
      <c r="C5541" s="11" t="s">
        <v>30008</v>
      </c>
      <c r="D5541" s="11" t="s">
        <v>30008</v>
      </c>
      <c r="E5541" s="11" t="s">
        <v>30009</v>
      </c>
      <c r="F5541" s="11" t="s">
        <v>29981</v>
      </c>
      <c r="G5541" s="11" t="s">
        <v>30010</v>
      </c>
      <c r="H5541" s="11" t="s">
        <v>30011</v>
      </c>
      <c r="I5541" s="11" t="str">
        <f>HYPERLINK("http://www.molvissimo.it/","www.molvissimo.it")</f>
        <v>www.molvissimo.it</v>
      </c>
      <c r="J5541" s="12">
        <v>5.6360000000000001</v>
      </c>
      <c r="K5541" s="14" t="s">
        <v>29984</v>
      </c>
      <c r="L5541" s="16" t="s">
        <v>29984</v>
      </c>
      <c r="M5541" s="12">
        <v>0.21099999999999999</v>
      </c>
      <c r="N5541" s="14" t="s">
        <v>29984</v>
      </c>
      <c r="O5541" s="14" t="s">
        <v>29984</v>
      </c>
      <c r="P5541" s="12">
        <v>0</v>
      </c>
      <c r="Q5541" s="14" t="s">
        <v>29984</v>
      </c>
      <c r="R5541" s="14" t="s">
        <v>29984</v>
      </c>
    </row>
    <row r="5542" spans="1:18" ht="17" customHeight="1" x14ac:dyDescent="0.15">
      <c r="A5542" s="8" t="s">
        <v>30012</v>
      </c>
      <c r="B5542" s="9" t="s">
        <v>30013</v>
      </c>
      <c r="C5542" s="8" t="s">
        <v>30014</v>
      </c>
      <c r="D5542" s="8" t="s">
        <v>30014</v>
      </c>
      <c r="E5542" s="8" t="s">
        <v>30015</v>
      </c>
      <c r="F5542" s="8" t="s">
        <v>29989</v>
      </c>
      <c r="G5542" s="8" t="s">
        <v>30016</v>
      </c>
      <c r="H5542" s="8" t="s">
        <v>30017</v>
      </c>
      <c r="I5542" s="8" t="str">
        <f>HYPERLINK("http://www.collezioniomega.com/","www.collezioniomega.com")</f>
        <v>www.collezioniomega.com</v>
      </c>
      <c r="J5542" s="10">
        <v>5.4740000000000002</v>
      </c>
      <c r="K5542" s="15" t="s">
        <v>29984</v>
      </c>
      <c r="L5542" s="15" t="s">
        <v>29984</v>
      </c>
      <c r="M5542" s="10">
        <v>1.2999999999999999E-2</v>
      </c>
      <c r="N5542" s="15" t="s">
        <v>29984</v>
      </c>
      <c r="O5542" s="15" t="s">
        <v>29984</v>
      </c>
      <c r="P5542" s="10">
        <v>0</v>
      </c>
      <c r="Q5542" s="15" t="s">
        <v>29984</v>
      </c>
      <c r="R5542" s="15" t="s">
        <v>29984</v>
      </c>
    </row>
    <row r="5543" spans="1:18" ht="17" customHeight="1" x14ac:dyDescent="0.15">
      <c r="A5543" s="11" t="s">
        <v>30018</v>
      </c>
      <c r="B5543" s="1" t="s">
        <v>30019</v>
      </c>
      <c r="C5543" s="11" t="s">
        <v>30020</v>
      </c>
      <c r="D5543" s="11" t="s">
        <v>30020</v>
      </c>
      <c r="E5543" s="11" t="s">
        <v>30021</v>
      </c>
      <c r="F5543" s="11" t="s">
        <v>29989</v>
      </c>
      <c r="G5543" s="11" t="s">
        <v>30010</v>
      </c>
      <c r="H5543" s="11" t="s">
        <v>30011</v>
      </c>
      <c r="I5543" s="11" t="str">
        <f>HYPERLINK("http://teresacristaldi.it/","teresacristaldi.it")</f>
        <v>teresacristaldi.it</v>
      </c>
      <c r="J5543" s="12">
        <v>5</v>
      </c>
      <c r="K5543" s="12">
        <v>5</v>
      </c>
      <c r="L5543" s="16" t="s">
        <v>29984</v>
      </c>
      <c r="M5543" s="12">
        <v>-3.1110000000000002</v>
      </c>
      <c r="N5543" s="12">
        <v>-3.1110000000000002</v>
      </c>
      <c r="O5543" s="14" t="s">
        <v>29984</v>
      </c>
      <c r="P5543" s="12">
        <v>0</v>
      </c>
      <c r="Q5543" s="12">
        <v>0</v>
      </c>
      <c r="R5543" s="14" t="s">
        <v>29984</v>
      </c>
    </row>
    <row r="5544" spans="1:18" ht="17" customHeight="1" x14ac:dyDescent="0.15">
      <c r="A5544" s="8" t="s">
        <v>30022</v>
      </c>
      <c r="B5544" s="9" t="s">
        <v>30023</v>
      </c>
      <c r="C5544" s="8" t="s">
        <v>30024</v>
      </c>
      <c r="D5544" s="8" t="s">
        <v>30024</v>
      </c>
      <c r="E5544" s="8" t="s">
        <v>30025</v>
      </c>
      <c r="F5544" s="8" t="s">
        <v>29996</v>
      </c>
      <c r="G5544" s="8" t="s">
        <v>30026</v>
      </c>
      <c r="H5544" s="8" t="s">
        <v>30027</v>
      </c>
      <c r="I5544" s="8" t="str">
        <f>HYPERLINK("http://www.svlimited.it/","www.svlimited.it")</f>
        <v>www.svlimited.it</v>
      </c>
      <c r="J5544" s="10">
        <v>4.6609999999999996</v>
      </c>
      <c r="K5544" s="15" t="s">
        <v>29984</v>
      </c>
      <c r="L5544" s="15" t="s">
        <v>29984</v>
      </c>
      <c r="M5544" s="10">
        <v>-1.135</v>
      </c>
      <c r="N5544" s="15" t="s">
        <v>29984</v>
      </c>
      <c r="O5544" s="15" t="s">
        <v>29984</v>
      </c>
      <c r="P5544" s="10">
        <v>0</v>
      </c>
      <c r="Q5544" s="15" t="s">
        <v>29984</v>
      </c>
      <c r="R5544" s="15" t="s">
        <v>29984</v>
      </c>
    </row>
    <row r="5545" spans="1:18" ht="17" customHeight="1" x14ac:dyDescent="0.15">
      <c r="A5545" s="11" t="s">
        <v>30028</v>
      </c>
      <c r="B5545" s="1" t="s">
        <v>30029</v>
      </c>
      <c r="C5545" s="11" t="s">
        <v>30030</v>
      </c>
      <c r="D5545" s="11" t="s">
        <v>30030</v>
      </c>
      <c r="E5545" s="11" t="s">
        <v>30031</v>
      </c>
      <c r="F5545" s="11" t="s">
        <v>30032</v>
      </c>
      <c r="G5545" s="11" t="s">
        <v>30033</v>
      </c>
      <c r="H5545" s="11" t="s">
        <v>30034</v>
      </c>
      <c r="I5545" s="11" t="str">
        <f>HYPERLINK("http://www.golforte.it/","www.golforte.it")</f>
        <v>www.golforte.it</v>
      </c>
      <c r="J5545" s="12">
        <v>4.7300000000000004</v>
      </c>
      <c r="K5545" s="14" t="s">
        <v>29984</v>
      </c>
      <c r="L5545" s="16" t="s">
        <v>29984</v>
      </c>
      <c r="M5545" s="12">
        <v>0.84799999999999998</v>
      </c>
      <c r="N5545" s="14" t="s">
        <v>29984</v>
      </c>
      <c r="O5545" s="14" t="s">
        <v>29984</v>
      </c>
      <c r="P5545" s="12">
        <v>0</v>
      </c>
      <c r="Q5545" s="14" t="s">
        <v>29984</v>
      </c>
      <c r="R5545" s="14" t="s">
        <v>29984</v>
      </c>
    </row>
    <row r="5546" spans="1:18" ht="17" customHeight="1" x14ac:dyDescent="0.15">
      <c r="A5546" s="8" t="s">
        <v>30035</v>
      </c>
      <c r="B5546" s="9" t="s">
        <v>30036</v>
      </c>
      <c r="C5546" s="8" t="s">
        <v>30037</v>
      </c>
      <c r="D5546" s="8" t="s">
        <v>30037</v>
      </c>
      <c r="E5546" s="8" t="s">
        <v>30038</v>
      </c>
      <c r="F5546" s="8" t="s">
        <v>30039</v>
      </c>
      <c r="G5546" s="8" t="s">
        <v>30040</v>
      </c>
      <c r="H5546" s="8" t="s">
        <v>30041</v>
      </c>
      <c r="I5546" s="8" t="str">
        <f>HYPERLINK("http://www.simonesforza.com/","www.simonesforza.com")</f>
        <v>www.simonesforza.com</v>
      </c>
      <c r="J5546" s="10">
        <v>4.7389999999999999</v>
      </c>
      <c r="K5546" s="15" t="s">
        <v>29984</v>
      </c>
      <c r="L5546" s="15" t="s">
        <v>29984</v>
      </c>
      <c r="M5546" s="10">
        <v>-23.114000000000001</v>
      </c>
      <c r="N5546" s="15" t="s">
        <v>29984</v>
      </c>
      <c r="O5546" s="15" t="s">
        <v>29984</v>
      </c>
      <c r="P5546" s="10">
        <v>0</v>
      </c>
      <c r="Q5546" s="15" t="s">
        <v>29984</v>
      </c>
      <c r="R5546" s="15" t="s">
        <v>29984</v>
      </c>
    </row>
    <row r="5547" spans="1:18" ht="17" customHeight="1" x14ac:dyDescent="0.15">
      <c r="A5547" s="11" t="s">
        <v>30042</v>
      </c>
      <c r="B5547" s="1" t="s">
        <v>30043</v>
      </c>
      <c r="C5547" s="11" t="s">
        <v>30044</v>
      </c>
      <c r="D5547" s="11" t="s">
        <v>30044</v>
      </c>
      <c r="E5547" s="11" t="s">
        <v>30045</v>
      </c>
      <c r="F5547" s="11" t="s">
        <v>30046</v>
      </c>
      <c r="G5547" s="11" t="s">
        <v>30047</v>
      </c>
      <c r="H5547" s="11" t="s">
        <v>30005</v>
      </c>
      <c r="I5547" s="11" t="str">
        <f>HYPERLINK("http://querciolifirenze.com/","querciolifirenze.com")</f>
        <v>querciolifirenze.com</v>
      </c>
      <c r="J5547" s="12">
        <v>4.5659999999999998</v>
      </c>
      <c r="K5547" s="12">
        <v>4.5659999999999998</v>
      </c>
      <c r="L5547" s="16" t="s">
        <v>29984</v>
      </c>
      <c r="M5547" s="12">
        <v>2.8839999999999999</v>
      </c>
      <c r="N5547" s="12">
        <v>2.8839999999999999</v>
      </c>
      <c r="O5547" s="14" t="s">
        <v>29984</v>
      </c>
      <c r="P5547" s="12">
        <v>0</v>
      </c>
      <c r="Q5547" s="12">
        <v>0</v>
      </c>
      <c r="R5547" s="14" t="s">
        <v>29984</v>
      </c>
    </row>
    <row r="5548" spans="1:18" ht="17" customHeight="1" x14ac:dyDescent="0.15">
      <c r="A5548" s="8" t="s">
        <v>30048</v>
      </c>
      <c r="B5548" s="9" t="s">
        <v>30049</v>
      </c>
      <c r="C5548" s="8" t="s">
        <v>30050</v>
      </c>
      <c r="D5548" s="8" t="s">
        <v>30050</v>
      </c>
      <c r="E5548" s="8" t="s">
        <v>30051</v>
      </c>
      <c r="F5548" s="8" t="s">
        <v>30052</v>
      </c>
      <c r="G5548" s="8" t="s">
        <v>30053</v>
      </c>
      <c r="H5548" s="8" t="s">
        <v>30005</v>
      </c>
      <c r="I5548" s="8" t="str">
        <f>HYPERLINK("http://www.daviicle.com/","www.daviicle.com")</f>
        <v>www.daviicle.com</v>
      </c>
      <c r="J5548" s="10">
        <v>4.3689999999999998</v>
      </c>
      <c r="K5548" s="10">
        <v>4.3689999999999998</v>
      </c>
      <c r="L5548" s="15" t="s">
        <v>29984</v>
      </c>
      <c r="M5548" s="10">
        <v>1.296</v>
      </c>
      <c r="N5548" s="10">
        <v>1.296</v>
      </c>
      <c r="O5548" s="15" t="s">
        <v>29984</v>
      </c>
      <c r="P5548" s="10">
        <v>0</v>
      </c>
      <c r="Q5548" s="10">
        <v>0</v>
      </c>
      <c r="R5548" s="15" t="s">
        <v>29984</v>
      </c>
    </row>
    <row r="5549" spans="1:18" ht="17" customHeight="1" x14ac:dyDescent="0.15">
      <c r="A5549" s="11" t="s">
        <v>30054</v>
      </c>
      <c r="B5549" s="1" t="s">
        <v>30055</v>
      </c>
      <c r="C5549" s="11" t="s">
        <v>30056</v>
      </c>
      <c r="D5549" s="11" t="s">
        <v>30056</v>
      </c>
      <c r="E5549" s="11" t="s">
        <v>30057</v>
      </c>
      <c r="F5549" s="11" t="s">
        <v>29981</v>
      </c>
      <c r="G5549" s="11" t="s">
        <v>30058</v>
      </c>
      <c r="H5549" s="11" t="s">
        <v>30059</v>
      </c>
      <c r="I5549" s="11" t="str">
        <f>HYPERLINK("http://www.martus.it/","www.martus.it")</f>
        <v>www.martus.it</v>
      </c>
      <c r="J5549" s="12">
        <v>4.319</v>
      </c>
      <c r="K5549" s="14" t="s">
        <v>29984</v>
      </c>
      <c r="L5549" s="16" t="s">
        <v>29984</v>
      </c>
      <c r="M5549" s="12">
        <v>1.0620000000000001</v>
      </c>
      <c r="N5549" s="14" t="s">
        <v>29984</v>
      </c>
      <c r="O5549" s="14" t="s">
        <v>29984</v>
      </c>
      <c r="P5549" s="12">
        <v>0</v>
      </c>
      <c r="Q5549" s="14" t="s">
        <v>29984</v>
      </c>
      <c r="R5549" s="14" t="s">
        <v>29984</v>
      </c>
    </row>
    <row r="5550" spans="1:18" ht="17" customHeight="1" x14ac:dyDescent="0.15">
      <c r="A5550" s="8" t="s">
        <v>30060</v>
      </c>
      <c r="B5550" s="9" t="s">
        <v>30061</v>
      </c>
      <c r="C5550" s="8" t="s">
        <v>30062</v>
      </c>
      <c r="D5550" s="8" t="s">
        <v>30062</v>
      </c>
      <c r="E5550" s="8" t="s">
        <v>30063</v>
      </c>
      <c r="F5550" s="8" t="s">
        <v>30064</v>
      </c>
      <c r="G5550" s="8" t="s">
        <v>30065</v>
      </c>
      <c r="H5550" s="8" t="s">
        <v>30017</v>
      </c>
      <c r="I5550" s="8" t="str">
        <f>HYPERLINK("http://www.salvatoremateria.it/","www.salvatoremateria.it")</f>
        <v>www.salvatoremateria.it</v>
      </c>
      <c r="J5550" s="10">
        <v>4.4000000000000004</v>
      </c>
      <c r="K5550" s="15" t="s">
        <v>29984</v>
      </c>
      <c r="L5550" s="15" t="s">
        <v>29984</v>
      </c>
      <c r="M5550" s="10">
        <v>-0.81100000000000005</v>
      </c>
      <c r="N5550" s="15" t="s">
        <v>29984</v>
      </c>
      <c r="O5550" s="15" t="s">
        <v>29984</v>
      </c>
      <c r="P5550" s="10">
        <v>0</v>
      </c>
      <c r="Q5550" s="15" t="s">
        <v>29984</v>
      </c>
      <c r="R5550" s="15" t="s">
        <v>29984</v>
      </c>
    </row>
    <row r="5551" spans="1:18" ht="17" customHeight="1" x14ac:dyDescent="0.15">
      <c r="A5551" s="11" t="s">
        <v>30066</v>
      </c>
      <c r="B5551" s="1" t="s">
        <v>30067</v>
      </c>
      <c r="C5551" s="11" t="s">
        <v>30068</v>
      </c>
      <c r="D5551" s="11" t="s">
        <v>30068</v>
      </c>
      <c r="E5551" s="11" t="s">
        <v>30069</v>
      </c>
      <c r="F5551" s="11" t="s">
        <v>30046</v>
      </c>
      <c r="G5551" s="11" t="s">
        <v>30070</v>
      </c>
      <c r="H5551" s="11" t="s">
        <v>30034</v>
      </c>
      <c r="I5551" s="11" t="str">
        <f>HYPERLINK("http://www.stileunicosrl.com/","www.stileunicosrl.com")</f>
        <v>www.stileunicosrl.com</v>
      </c>
      <c r="J5551" s="12">
        <v>4.0410000000000004</v>
      </c>
      <c r="K5551" s="12">
        <v>4.0410000000000004</v>
      </c>
      <c r="L5551" s="16" t="s">
        <v>29984</v>
      </c>
      <c r="M5551" s="12">
        <v>-4.28</v>
      </c>
      <c r="N5551" s="12">
        <v>-4.28</v>
      </c>
      <c r="O5551" s="14" t="s">
        <v>29984</v>
      </c>
      <c r="P5551" s="12">
        <v>0</v>
      </c>
      <c r="Q5551" s="12">
        <v>0</v>
      </c>
      <c r="R5551" s="14" t="s">
        <v>29984</v>
      </c>
    </row>
    <row r="5552" spans="1:18" ht="17" customHeight="1" x14ac:dyDescent="0.15">
      <c r="A5552" s="8" t="s">
        <v>30071</v>
      </c>
      <c r="B5552" s="9" t="s">
        <v>30072</v>
      </c>
      <c r="C5552" s="8" t="s">
        <v>30073</v>
      </c>
      <c r="D5552" s="8" t="s">
        <v>30073</v>
      </c>
      <c r="E5552" s="8" t="s">
        <v>30074</v>
      </c>
      <c r="F5552" s="8" t="s">
        <v>30075</v>
      </c>
      <c r="G5552" s="8" t="s">
        <v>30040</v>
      </c>
      <c r="H5552" s="8" t="s">
        <v>30041</v>
      </c>
      <c r="I5552" s="8" t="str">
        <f>HYPERLINK("http://www.bndct.it/","www.bndct.it")</f>
        <v>www.bndct.it</v>
      </c>
      <c r="J5552" s="10">
        <v>4.2210000000000001</v>
      </c>
      <c r="K5552" s="15" t="s">
        <v>29984</v>
      </c>
      <c r="L5552" s="15" t="s">
        <v>29984</v>
      </c>
      <c r="M5552" s="10">
        <v>-7.2889999999999997</v>
      </c>
      <c r="N5552" s="15" t="s">
        <v>29984</v>
      </c>
      <c r="O5552" s="15" t="s">
        <v>29984</v>
      </c>
      <c r="P5552" s="10">
        <v>0</v>
      </c>
      <c r="Q5552" s="15" t="s">
        <v>29984</v>
      </c>
      <c r="R5552" s="15" t="s">
        <v>29984</v>
      </c>
    </row>
    <row r="5553" spans="1:18" ht="17" customHeight="1" x14ac:dyDescent="0.15">
      <c r="A5553" s="11" t="s">
        <v>30076</v>
      </c>
      <c r="B5553" s="1" t="s">
        <v>30077</v>
      </c>
      <c r="C5553" s="11" t="s">
        <v>30078</v>
      </c>
      <c r="D5553" s="11" t="s">
        <v>30078</v>
      </c>
      <c r="E5553" s="11" t="s">
        <v>30079</v>
      </c>
      <c r="F5553" s="11" t="s">
        <v>30075</v>
      </c>
      <c r="G5553" s="11" t="s">
        <v>30070</v>
      </c>
      <c r="H5553" s="11" t="s">
        <v>30034</v>
      </c>
      <c r="I5553" s="11" t="str">
        <f>HYPERLINK("http://www.changuitos.cat/","www.changuitos.cat")</f>
        <v>www.changuitos.cat</v>
      </c>
      <c r="J5553" s="12">
        <v>3.7269999999999999</v>
      </c>
      <c r="K5553" s="14" t="s">
        <v>29984</v>
      </c>
      <c r="L5553" s="16" t="s">
        <v>29984</v>
      </c>
      <c r="M5553" s="12">
        <v>-2.597</v>
      </c>
      <c r="N5553" s="14" t="s">
        <v>29984</v>
      </c>
      <c r="O5553" s="14" t="s">
        <v>29984</v>
      </c>
      <c r="P5553" s="12">
        <v>0</v>
      </c>
      <c r="Q5553" s="14" t="s">
        <v>29984</v>
      </c>
      <c r="R5553" s="14" t="s">
        <v>29984</v>
      </c>
    </row>
    <row r="5554" spans="1:18" ht="17" customHeight="1" x14ac:dyDescent="0.15">
      <c r="A5554" s="8" t="s">
        <v>30080</v>
      </c>
      <c r="B5554" s="9" t="s">
        <v>30081</v>
      </c>
      <c r="C5554" s="8" t="s">
        <v>30082</v>
      </c>
      <c r="D5554" s="8" t="s">
        <v>30082</v>
      </c>
      <c r="E5554" s="8" t="s">
        <v>30083</v>
      </c>
      <c r="F5554" s="8" t="s">
        <v>30052</v>
      </c>
      <c r="G5554" s="8" t="s">
        <v>30084</v>
      </c>
      <c r="H5554" s="8" t="s">
        <v>30085</v>
      </c>
      <c r="I5554" s="8" t="str">
        <f>HYPERLINK("http://www.be-initia.com/","www.be-initia.com")</f>
        <v>www.be-initia.com</v>
      </c>
      <c r="J5554" s="10">
        <v>3.577</v>
      </c>
      <c r="K5554" s="15" t="s">
        <v>29984</v>
      </c>
      <c r="L5554" s="15" t="s">
        <v>29984</v>
      </c>
      <c r="M5554" s="10">
        <v>-16.821999999999999</v>
      </c>
      <c r="N5554" s="15" t="s">
        <v>29984</v>
      </c>
      <c r="O5554" s="15" t="s">
        <v>29984</v>
      </c>
      <c r="P5554" s="10">
        <v>0</v>
      </c>
      <c r="Q5554" s="15" t="s">
        <v>29984</v>
      </c>
      <c r="R5554" s="15" t="s">
        <v>29984</v>
      </c>
    </row>
    <row r="5555" spans="1:18" ht="43" customHeight="1" x14ac:dyDescent="0.15">
      <c r="A5555" s="11" t="s">
        <v>30086</v>
      </c>
      <c r="B5555" s="1" t="s">
        <v>30087</v>
      </c>
      <c r="C5555" s="11" t="s">
        <v>30088</v>
      </c>
      <c r="D5555" s="11" t="s">
        <v>30088</v>
      </c>
      <c r="E5555" s="11" t="s">
        <v>30089</v>
      </c>
      <c r="F5555" s="11" t="s">
        <v>29981</v>
      </c>
      <c r="G5555" s="11" t="s">
        <v>30090</v>
      </c>
      <c r="H5555" s="11" t="s">
        <v>30041</v>
      </c>
      <c r="I5555" s="11" t="str">
        <f>HYPERLINK("http://heemia.com/","heemia.com")</f>
        <v>heemia.com</v>
      </c>
      <c r="J5555" s="12">
        <v>3.4060000000000001</v>
      </c>
      <c r="K5555" s="12">
        <v>3.4060000000000001</v>
      </c>
      <c r="L5555" s="16" t="s">
        <v>29984</v>
      </c>
      <c r="M5555" s="12">
        <v>-19.724</v>
      </c>
      <c r="N5555" s="12">
        <v>-19.724</v>
      </c>
      <c r="O5555" s="14" t="s">
        <v>29984</v>
      </c>
      <c r="P5555" s="12">
        <v>0</v>
      </c>
      <c r="Q5555" s="12">
        <v>0</v>
      </c>
      <c r="R5555" s="14" t="s">
        <v>29984</v>
      </c>
    </row>
    <row r="5556" spans="1:18" ht="17" customHeight="1" x14ac:dyDescent="0.15">
      <c r="A5556" s="8" t="s">
        <v>30091</v>
      </c>
      <c r="B5556" s="9" t="s">
        <v>30092</v>
      </c>
      <c r="C5556" s="8" t="s">
        <v>30093</v>
      </c>
      <c r="D5556" s="8" t="s">
        <v>30093</v>
      </c>
      <c r="E5556" s="8" t="s">
        <v>30094</v>
      </c>
      <c r="F5556" s="8" t="s">
        <v>30052</v>
      </c>
      <c r="G5556" s="8" t="s">
        <v>30040</v>
      </c>
      <c r="H5556" s="8" t="s">
        <v>30041</v>
      </c>
      <c r="I5556" s="8" t="str">
        <f>HYPERLINK("http://www.amo-bag.com/","www.amo-bag.com")</f>
        <v>www.amo-bag.com</v>
      </c>
      <c r="J5556" s="10">
        <v>3.347</v>
      </c>
      <c r="K5556" s="10">
        <v>3.347</v>
      </c>
      <c r="L5556" s="15" t="s">
        <v>29984</v>
      </c>
      <c r="M5556" s="10">
        <v>-22.33</v>
      </c>
      <c r="N5556" s="10">
        <v>-22.33</v>
      </c>
      <c r="O5556" s="15" t="s">
        <v>29984</v>
      </c>
      <c r="P5556" s="10">
        <v>0</v>
      </c>
      <c r="Q5556" s="10">
        <v>0</v>
      </c>
      <c r="R5556" s="15" t="s">
        <v>29984</v>
      </c>
    </row>
    <row r="5557" spans="1:18" ht="43" customHeight="1" x14ac:dyDescent="0.15">
      <c r="A5557" s="11" t="s">
        <v>30095</v>
      </c>
      <c r="B5557" s="1" t="s">
        <v>30096</v>
      </c>
      <c r="C5557" s="11" t="s">
        <v>30097</v>
      </c>
      <c r="D5557" s="11" t="s">
        <v>30097</v>
      </c>
      <c r="E5557" s="11" t="s">
        <v>30098</v>
      </c>
      <c r="F5557" s="11" t="s">
        <v>30075</v>
      </c>
      <c r="G5557" s="11" t="s">
        <v>30099</v>
      </c>
      <c r="H5557" s="11" t="s">
        <v>30100</v>
      </c>
      <c r="I5557" s="11" t="str">
        <f>HYPERLINK("http://www.gigoloartdesign.it/","www.gigoloartdesign.it")</f>
        <v>www.gigoloartdesign.it</v>
      </c>
      <c r="J5557" s="12">
        <v>3.1240000000000001</v>
      </c>
      <c r="K5557" s="14" t="s">
        <v>29984</v>
      </c>
      <c r="L5557" s="16" t="s">
        <v>29984</v>
      </c>
      <c r="M5557" s="12">
        <v>0.64200000000000002</v>
      </c>
      <c r="N5557" s="14" t="s">
        <v>29984</v>
      </c>
      <c r="O5557" s="14" t="s">
        <v>29984</v>
      </c>
      <c r="P5557" s="12">
        <v>0</v>
      </c>
      <c r="Q5557" s="14" t="s">
        <v>29984</v>
      </c>
      <c r="R5557" s="14" t="s">
        <v>29984</v>
      </c>
    </row>
    <row r="5558" spans="1:18" ht="17" customHeight="1" x14ac:dyDescent="0.15">
      <c r="A5558" s="8" t="s">
        <v>30101</v>
      </c>
      <c r="B5558" s="9" t="s">
        <v>30102</v>
      </c>
      <c r="C5558" s="8" t="s">
        <v>30103</v>
      </c>
      <c r="D5558" s="8" t="s">
        <v>30103</v>
      </c>
      <c r="E5558" s="8" t="s">
        <v>30104</v>
      </c>
      <c r="F5558" s="8" t="s">
        <v>30052</v>
      </c>
      <c r="G5558" s="8" t="s">
        <v>30040</v>
      </c>
      <c r="H5558" s="8" t="s">
        <v>30041</v>
      </c>
      <c r="I5558" s="8" t="str">
        <f>HYPERLINK("http://www.yuman.it/","www.yuman.it")</f>
        <v>www.yuman.it</v>
      </c>
      <c r="J5558" s="10">
        <v>3.1440000000000001</v>
      </c>
      <c r="K5558" s="15" t="s">
        <v>29984</v>
      </c>
      <c r="L5558" s="15" t="s">
        <v>29984</v>
      </c>
      <c r="M5558" s="10">
        <v>-51.369</v>
      </c>
      <c r="N5558" s="15" t="s">
        <v>29984</v>
      </c>
      <c r="O5558" s="15" t="s">
        <v>29984</v>
      </c>
      <c r="P5558" s="10">
        <v>0</v>
      </c>
      <c r="Q5558" s="15" t="s">
        <v>29984</v>
      </c>
      <c r="R5558" s="15" t="s">
        <v>29984</v>
      </c>
    </row>
    <row r="5559" spans="1:18" ht="17" customHeight="1" x14ac:dyDescent="0.15">
      <c r="A5559" s="11" t="s">
        <v>30105</v>
      </c>
      <c r="B5559" s="1" t="s">
        <v>30106</v>
      </c>
      <c r="C5559" s="11" t="s">
        <v>30107</v>
      </c>
      <c r="D5559" s="11" t="s">
        <v>30107</v>
      </c>
      <c r="E5559" s="11" t="s">
        <v>30108</v>
      </c>
      <c r="F5559" s="11" t="s">
        <v>30039</v>
      </c>
      <c r="G5559" s="11" t="s">
        <v>30109</v>
      </c>
      <c r="H5559" s="11" t="s">
        <v>29983</v>
      </c>
      <c r="I5559" s="11" t="str">
        <f>HYPERLINK("http://www.qman.it/","www.qman.it")</f>
        <v>www.qman.it</v>
      </c>
      <c r="J5559" s="12">
        <v>2.8130000000000002</v>
      </c>
      <c r="K5559" s="14" t="s">
        <v>29984</v>
      </c>
      <c r="L5559" s="16" t="s">
        <v>29984</v>
      </c>
      <c r="M5559" s="12">
        <v>-29.082000000000001</v>
      </c>
      <c r="N5559" s="14" t="s">
        <v>29984</v>
      </c>
      <c r="O5559" s="14" t="s">
        <v>29984</v>
      </c>
      <c r="P5559" s="12">
        <v>0</v>
      </c>
      <c r="Q5559" s="14" t="s">
        <v>29984</v>
      </c>
      <c r="R5559" s="14" t="s">
        <v>29984</v>
      </c>
    </row>
    <row r="5560" spans="1:18" ht="55.75" customHeight="1" x14ac:dyDescent="0.15">
      <c r="A5560" s="8" t="s">
        <v>30110</v>
      </c>
      <c r="B5560" s="9" t="s">
        <v>30111</v>
      </c>
      <c r="C5560" s="8" t="s">
        <v>30112</v>
      </c>
      <c r="D5560" s="8" t="s">
        <v>30112</v>
      </c>
      <c r="E5560" s="8" t="s">
        <v>30113</v>
      </c>
      <c r="F5560" s="8" t="s">
        <v>29996</v>
      </c>
      <c r="G5560" s="8" t="s">
        <v>30114</v>
      </c>
      <c r="H5560" s="8" t="s">
        <v>30005</v>
      </c>
      <c r="I5560" s="8" t="str">
        <f>HYPERLINK("http://www.compagniageneraleitaliana.it/","www.compagniageneraleitaliana.it")</f>
        <v>www.compagniageneraleitaliana.it</v>
      </c>
      <c r="J5560" s="10">
        <v>2.5070000000000001</v>
      </c>
      <c r="K5560" s="15" t="s">
        <v>29984</v>
      </c>
      <c r="L5560" s="15" t="s">
        <v>29984</v>
      </c>
      <c r="M5560" s="10">
        <v>4.7E-2</v>
      </c>
      <c r="N5560" s="15" t="s">
        <v>29984</v>
      </c>
      <c r="O5560" s="15" t="s">
        <v>29984</v>
      </c>
      <c r="P5560" s="10">
        <v>0</v>
      </c>
      <c r="Q5560" s="15" t="s">
        <v>29984</v>
      </c>
      <c r="R5560" s="15" t="s">
        <v>29984</v>
      </c>
    </row>
    <row r="5561" spans="1:18" ht="17" customHeight="1" x14ac:dyDescent="0.15">
      <c r="A5561" s="11" t="s">
        <v>30115</v>
      </c>
      <c r="B5561" s="1" t="s">
        <v>30116</v>
      </c>
      <c r="C5561" s="11" t="s">
        <v>30117</v>
      </c>
      <c r="D5561" s="11" t="s">
        <v>30117</v>
      </c>
      <c r="E5561" s="11" t="s">
        <v>30118</v>
      </c>
      <c r="F5561" s="11" t="s">
        <v>30052</v>
      </c>
      <c r="G5561" s="11" t="s">
        <v>30119</v>
      </c>
      <c r="H5561" s="11" t="s">
        <v>30005</v>
      </c>
      <c r="I5561" s="11" t="str">
        <f>HYPERLINK("http://www.maisonbag.com/","www.maisonbag.com")</f>
        <v>www.maisonbag.com</v>
      </c>
      <c r="J5561" s="12">
        <v>2.35</v>
      </c>
      <c r="K5561" s="14" t="s">
        <v>29984</v>
      </c>
      <c r="L5561" s="16" t="s">
        <v>29984</v>
      </c>
      <c r="M5561" s="12">
        <v>-14.925000000000001</v>
      </c>
      <c r="N5561" s="14" t="s">
        <v>29984</v>
      </c>
      <c r="O5561" s="14" t="s">
        <v>29984</v>
      </c>
      <c r="P5561" s="12">
        <v>0</v>
      </c>
      <c r="Q5561" s="14" t="s">
        <v>29984</v>
      </c>
      <c r="R5561" s="14" t="s">
        <v>29984</v>
      </c>
    </row>
    <row r="5562" spans="1:18" ht="17" customHeight="1" x14ac:dyDescent="0.15">
      <c r="A5562" s="8" t="s">
        <v>30120</v>
      </c>
      <c r="B5562" s="9" t="s">
        <v>30121</v>
      </c>
      <c r="C5562" s="8" t="s">
        <v>30122</v>
      </c>
      <c r="D5562" s="8" t="s">
        <v>30122</v>
      </c>
      <c r="E5562" s="8" t="s">
        <v>30123</v>
      </c>
      <c r="F5562" s="8" t="s">
        <v>30046</v>
      </c>
      <c r="G5562" s="8" t="s">
        <v>30124</v>
      </c>
      <c r="H5562" s="8" t="s">
        <v>30100</v>
      </c>
      <c r="I5562" s="8" t="str">
        <f>HYPERLINK("http://calzature.offertetopabruzzo.it/","calzature.offertetopabruzzo.it")</f>
        <v>calzature.offertetopabruzzo.it</v>
      </c>
      <c r="J5562" s="10">
        <v>2.25</v>
      </c>
      <c r="K5562" s="15" t="s">
        <v>29984</v>
      </c>
      <c r="L5562" s="15" t="s">
        <v>29984</v>
      </c>
      <c r="M5562" s="10">
        <v>-70.938000000000002</v>
      </c>
      <c r="N5562" s="15" t="s">
        <v>29984</v>
      </c>
      <c r="O5562" s="15" t="s">
        <v>29984</v>
      </c>
      <c r="P5562" s="10">
        <v>0</v>
      </c>
      <c r="Q5562" s="15" t="s">
        <v>29984</v>
      </c>
      <c r="R5562" s="15" t="s">
        <v>29984</v>
      </c>
    </row>
    <row r="5563" spans="1:18" ht="17" customHeight="1" x14ac:dyDescent="0.15">
      <c r="A5563" s="11" t="s">
        <v>30125</v>
      </c>
      <c r="B5563" s="1" t="s">
        <v>30126</v>
      </c>
      <c r="C5563" s="11" t="s">
        <v>30127</v>
      </c>
      <c r="D5563" s="11" t="s">
        <v>30127</v>
      </c>
      <c r="E5563" s="11" t="s">
        <v>30128</v>
      </c>
      <c r="F5563" s="11" t="s">
        <v>30129</v>
      </c>
      <c r="G5563" s="11" t="s">
        <v>30084</v>
      </c>
      <c r="H5563" s="11" t="s">
        <v>30085</v>
      </c>
      <c r="I5563" s="11" t="str">
        <f>HYPERLINK("http://www.almadora24.com/","www.almadora24.com")</f>
        <v>www.almadora24.com</v>
      </c>
      <c r="J5563" s="12">
        <v>1.3520000000000001</v>
      </c>
      <c r="K5563" s="14" t="s">
        <v>29984</v>
      </c>
      <c r="L5563" s="16" t="s">
        <v>29984</v>
      </c>
      <c r="M5563" s="12">
        <v>-19.777999999999999</v>
      </c>
      <c r="N5563" s="14" t="s">
        <v>29984</v>
      </c>
      <c r="O5563" s="14" t="s">
        <v>29984</v>
      </c>
      <c r="P5563" s="12">
        <v>0</v>
      </c>
      <c r="Q5563" s="14" t="s">
        <v>29984</v>
      </c>
      <c r="R5563" s="14" t="s">
        <v>29984</v>
      </c>
    </row>
    <row r="5564" spans="1:18" ht="17" customHeight="1" x14ac:dyDescent="0.15">
      <c r="A5564" s="8" t="s">
        <v>30130</v>
      </c>
      <c r="B5564" s="9" t="s">
        <v>30131</v>
      </c>
      <c r="C5564" s="8" t="s">
        <v>30132</v>
      </c>
      <c r="D5564" s="8" t="s">
        <v>30132</v>
      </c>
      <c r="E5564" s="8" t="s">
        <v>30133</v>
      </c>
      <c r="F5564" s="8" t="s">
        <v>30134</v>
      </c>
      <c r="G5564" s="8" t="s">
        <v>30047</v>
      </c>
      <c r="H5564" s="8" t="s">
        <v>30005</v>
      </c>
      <c r="I5564" s="8" t="str">
        <f>HYPERLINK("http://www.camiciecifre.it/","www.camiciecifre.it")</f>
        <v>www.camiciecifre.it</v>
      </c>
      <c r="J5564" s="10">
        <v>1.1679999999999999</v>
      </c>
      <c r="K5564" s="15" t="s">
        <v>29984</v>
      </c>
      <c r="L5564" s="15" t="s">
        <v>29984</v>
      </c>
      <c r="M5564" s="10">
        <v>-1.75</v>
      </c>
      <c r="N5564" s="15" t="s">
        <v>29984</v>
      </c>
      <c r="O5564" s="15" t="s">
        <v>29984</v>
      </c>
      <c r="P5564" s="10">
        <v>0</v>
      </c>
      <c r="Q5564" s="15" t="s">
        <v>29984</v>
      </c>
      <c r="R5564" s="15" t="s">
        <v>29984</v>
      </c>
    </row>
    <row r="5565" spans="1:18" ht="29.5" customHeight="1" x14ac:dyDescent="0.15">
      <c r="A5565" s="11" t="s">
        <v>30135</v>
      </c>
      <c r="B5565" s="1" t="s">
        <v>30136</v>
      </c>
      <c r="C5565" s="11" t="s">
        <v>30137</v>
      </c>
      <c r="D5565" s="11" t="s">
        <v>30137</v>
      </c>
      <c r="E5565" s="11" t="s">
        <v>30138</v>
      </c>
      <c r="F5565" s="11" t="s">
        <v>29989</v>
      </c>
      <c r="G5565" s="11" t="s">
        <v>29997</v>
      </c>
      <c r="H5565" s="11" t="s">
        <v>29998</v>
      </c>
      <c r="I5565" s="11" t="str">
        <f>HYPERLINK("http://www.dvdmoda.com/","www.dvdmoda.com")</f>
        <v>www.dvdmoda.com</v>
      </c>
      <c r="J5565" s="12">
        <v>1.05</v>
      </c>
      <c r="K5565" s="14" t="s">
        <v>29984</v>
      </c>
      <c r="L5565" s="16" t="s">
        <v>29984</v>
      </c>
      <c r="M5565" s="12">
        <v>-2.871</v>
      </c>
      <c r="N5565" s="14" t="s">
        <v>29984</v>
      </c>
      <c r="O5565" s="14" t="s">
        <v>29984</v>
      </c>
      <c r="P5565" s="12">
        <v>1</v>
      </c>
      <c r="Q5565" s="14" t="s">
        <v>29984</v>
      </c>
      <c r="R5565" s="14" t="s">
        <v>29984</v>
      </c>
    </row>
    <row r="5566" spans="1:18" ht="17" customHeight="1" x14ac:dyDescent="0.15">
      <c r="A5566" s="8" t="s">
        <v>30139</v>
      </c>
      <c r="B5566" s="9" t="s">
        <v>30140</v>
      </c>
      <c r="C5566" s="8" t="s">
        <v>30141</v>
      </c>
      <c r="D5566" s="8" t="s">
        <v>30141</v>
      </c>
      <c r="E5566" s="8" t="s">
        <v>30142</v>
      </c>
      <c r="F5566" s="8" t="s">
        <v>30143</v>
      </c>
      <c r="G5566" s="8" t="s">
        <v>30004</v>
      </c>
      <c r="H5566" s="8" t="s">
        <v>30005</v>
      </c>
      <c r="I5566" s="8" t="str">
        <f>HYPERLINK("http://www.atlassolesfactory.it/","www.atlassolesfactory.it")</f>
        <v>www.atlassolesfactory.it</v>
      </c>
      <c r="J5566" s="10">
        <v>0.7</v>
      </c>
      <c r="K5566" s="15" t="s">
        <v>29984</v>
      </c>
      <c r="L5566" s="15" t="s">
        <v>29984</v>
      </c>
      <c r="M5566" s="10">
        <v>-36.695</v>
      </c>
      <c r="N5566" s="15" t="s">
        <v>29984</v>
      </c>
      <c r="O5566" s="15" t="s">
        <v>29984</v>
      </c>
      <c r="P5566" s="10">
        <v>0</v>
      </c>
      <c r="Q5566" s="15" t="s">
        <v>29984</v>
      </c>
      <c r="R5566" s="15" t="s">
        <v>29984</v>
      </c>
    </row>
    <row r="5567" spans="1:18" ht="43" customHeight="1" x14ac:dyDescent="0.15">
      <c r="A5567" s="11" t="s">
        <v>30144</v>
      </c>
      <c r="B5567" s="1" t="s">
        <v>30145</v>
      </c>
      <c r="C5567" s="11" t="s">
        <v>30146</v>
      </c>
      <c r="D5567" s="11" t="s">
        <v>30146</v>
      </c>
      <c r="E5567" s="11" t="s">
        <v>30147</v>
      </c>
      <c r="F5567" s="11" t="s">
        <v>29981</v>
      </c>
      <c r="G5567" s="11" t="s">
        <v>30084</v>
      </c>
      <c r="H5567" s="11" t="s">
        <v>30085</v>
      </c>
      <c r="I5567" s="11" t="str">
        <f>HYPERLINK("http://asvg-societa-a-responsabilita-limitata-semplificat-08438780960.quantofattura.com/","asvg-societa-a-responsabilita-limitata-semplificat-08438780960.quantofattura.com")</f>
        <v>asvg-societa-a-responsabilita-limitata-semplificat-08438780960.quantofattura.com</v>
      </c>
      <c r="J5567" s="12">
        <v>0.75</v>
      </c>
      <c r="K5567" s="14" t="s">
        <v>29984</v>
      </c>
      <c r="L5567" s="16" t="s">
        <v>29984</v>
      </c>
      <c r="M5567" s="12">
        <v>-92.634</v>
      </c>
      <c r="N5567" s="14" t="s">
        <v>29984</v>
      </c>
      <c r="O5567" s="14" t="s">
        <v>29984</v>
      </c>
      <c r="P5567" s="12">
        <v>0</v>
      </c>
      <c r="Q5567" s="14" t="s">
        <v>29984</v>
      </c>
      <c r="R5567" s="14" t="s">
        <v>29984</v>
      </c>
    </row>
    <row r="5568" spans="1:18" ht="29.5" customHeight="1" x14ac:dyDescent="0.15">
      <c r="A5568" s="8" t="s">
        <v>30148</v>
      </c>
      <c r="B5568" s="9" t="s">
        <v>30149</v>
      </c>
      <c r="C5568" s="8" t="s">
        <v>30150</v>
      </c>
      <c r="D5568" s="8" t="s">
        <v>30150</v>
      </c>
      <c r="E5568" s="8" t="s">
        <v>30151</v>
      </c>
      <c r="F5568" s="8" t="s">
        <v>30003</v>
      </c>
      <c r="G5568" s="8" t="s">
        <v>30004</v>
      </c>
      <c r="H5568" s="8" t="s">
        <v>30005</v>
      </c>
      <c r="I5568" s="8" t="str">
        <f>HYPERLINK("http://www.bomar-spa.com/","www.bomar-spa.com")</f>
        <v>www.bomar-spa.com</v>
      </c>
      <c r="J5568" s="10">
        <v>0.59699999999999998</v>
      </c>
      <c r="K5568" s="15" t="s">
        <v>29984</v>
      </c>
      <c r="L5568" s="15" t="s">
        <v>29984</v>
      </c>
      <c r="M5568" s="10">
        <v>-328.26799999999997</v>
      </c>
      <c r="N5568" s="15" t="s">
        <v>29984</v>
      </c>
      <c r="O5568" s="15" t="s">
        <v>29984</v>
      </c>
      <c r="P5568" s="10">
        <v>1</v>
      </c>
      <c r="Q5568" s="15" t="s">
        <v>29984</v>
      </c>
      <c r="R5568" s="15" t="s">
        <v>29984</v>
      </c>
    </row>
    <row r="5569" spans="1:18" ht="29.5" customHeight="1" x14ac:dyDescent="0.15">
      <c r="A5569" s="11" t="s">
        <v>30152</v>
      </c>
      <c r="B5569" s="1" t="s">
        <v>30153</v>
      </c>
      <c r="C5569" s="11" t="s">
        <v>30154</v>
      </c>
      <c r="D5569" s="11" t="s">
        <v>30154</v>
      </c>
      <c r="E5569" s="11" t="s">
        <v>30155</v>
      </c>
      <c r="F5569" s="11" t="s">
        <v>30156</v>
      </c>
      <c r="G5569" s="11" t="s">
        <v>30157</v>
      </c>
      <c r="H5569" s="11" t="s">
        <v>30158</v>
      </c>
      <c r="I5569" s="11" t="str">
        <f>HYPERLINK("http://www.bwool.it/","www.bwool.it")</f>
        <v>www.bwool.it</v>
      </c>
      <c r="J5569" s="12">
        <v>0.53800000000000003</v>
      </c>
      <c r="K5569" s="14" t="s">
        <v>30159</v>
      </c>
      <c r="L5569" s="16" t="s">
        <v>30159</v>
      </c>
      <c r="M5569" s="12">
        <v>-50.094999999999999</v>
      </c>
      <c r="N5569" s="14" t="s">
        <v>30159</v>
      </c>
      <c r="O5569" s="14" t="s">
        <v>30159</v>
      </c>
      <c r="P5569" s="12">
        <v>1</v>
      </c>
      <c r="Q5569" s="14" t="s">
        <v>30159</v>
      </c>
      <c r="R5569" s="14" t="s">
        <v>30159</v>
      </c>
    </row>
    <row r="5570" spans="1:18" ht="17" customHeight="1" x14ac:dyDescent="0.15">
      <c r="A5570" s="8" t="s">
        <v>30160</v>
      </c>
      <c r="B5570" s="9" t="s">
        <v>30161</v>
      </c>
      <c r="C5570" s="8" t="s">
        <v>30162</v>
      </c>
      <c r="D5570" s="8" t="s">
        <v>30162</v>
      </c>
      <c r="E5570" s="8" t="s">
        <v>30163</v>
      </c>
      <c r="F5570" s="8" t="s">
        <v>30164</v>
      </c>
      <c r="G5570" s="8" t="s">
        <v>30165</v>
      </c>
      <c r="H5570" s="8" t="s">
        <v>30166</v>
      </c>
      <c r="I5570" s="8" t="str">
        <f>HYPERLINK("http://www.agataallegra.com/","www.agataallegra.com")</f>
        <v>www.agataallegra.com</v>
      </c>
      <c r="J5570" s="10">
        <v>0.48</v>
      </c>
      <c r="K5570" s="15" t="s">
        <v>30159</v>
      </c>
      <c r="L5570" s="15" t="s">
        <v>30159</v>
      </c>
      <c r="M5570" s="10">
        <v>-9.9640000000000004</v>
      </c>
      <c r="N5570" s="15" t="s">
        <v>30159</v>
      </c>
      <c r="O5570" s="15" t="s">
        <v>30159</v>
      </c>
      <c r="P5570" s="10">
        <v>0</v>
      </c>
      <c r="Q5570" s="15" t="s">
        <v>30159</v>
      </c>
      <c r="R5570" s="15" t="s">
        <v>30159</v>
      </c>
    </row>
    <row r="5571" spans="1:18" ht="17" customHeight="1" x14ac:dyDescent="0.15">
      <c r="A5571" s="11" t="s">
        <v>30167</v>
      </c>
      <c r="B5571" s="1" t="s">
        <v>30168</v>
      </c>
      <c r="C5571" s="11" t="s">
        <v>30169</v>
      </c>
      <c r="D5571" s="11" t="s">
        <v>30169</v>
      </c>
      <c r="E5571" s="11" t="s">
        <v>30170</v>
      </c>
      <c r="F5571" s="11" t="s">
        <v>30171</v>
      </c>
      <c r="G5571" s="11" t="s">
        <v>30172</v>
      </c>
      <c r="H5571" s="11" t="s">
        <v>30173</v>
      </c>
      <c r="I5571" s="11" t="str">
        <f>HYPERLINK("http://www.foxandwolf.it/","www.foxandwolf.it")</f>
        <v>www.foxandwolf.it</v>
      </c>
      <c r="J5571" s="12">
        <v>0.56599999999999995</v>
      </c>
      <c r="K5571" s="14" t="s">
        <v>30159</v>
      </c>
      <c r="L5571" s="16" t="s">
        <v>30159</v>
      </c>
      <c r="M5571" s="12">
        <v>0.68300000000000005</v>
      </c>
      <c r="N5571" s="14" t="s">
        <v>30159</v>
      </c>
      <c r="O5571" s="14" t="s">
        <v>30159</v>
      </c>
      <c r="P5571" s="12">
        <v>0</v>
      </c>
      <c r="Q5571" s="14" t="s">
        <v>30159</v>
      </c>
      <c r="R5571" s="14" t="s">
        <v>30159</v>
      </c>
    </row>
    <row r="5572" spans="1:18" ht="17" customHeight="1" x14ac:dyDescent="0.15">
      <c r="A5572" s="8" t="s">
        <v>30174</v>
      </c>
      <c r="B5572" s="9" t="s">
        <v>30175</v>
      </c>
      <c r="C5572" s="8" t="s">
        <v>30176</v>
      </c>
      <c r="D5572" s="8" t="s">
        <v>30176</v>
      </c>
      <c r="E5572" s="8" t="s">
        <v>30177</v>
      </c>
      <c r="F5572" s="8" t="s">
        <v>30178</v>
      </c>
      <c r="G5572" s="8" t="s">
        <v>30179</v>
      </c>
      <c r="H5572" s="8" t="s">
        <v>30180</v>
      </c>
      <c r="I5572" s="8" t="str">
        <f>HYPERLINK("http://stretci.com/","stretci.com")</f>
        <v>stretci.com</v>
      </c>
      <c r="J5572" s="10">
        <v>0.41</v>
      </c>
      <c r="K5572" s="10">
        <v>0.41</v>
      </c>
      <c r="L5572" s="15" t="s">
        <v>30159</v>
      </c>
      <c r="M5572" s="10">
        <v>-3.1440000000000001</v>
      </c>
      <c r="N5572" s="10">
        <v>-3.1440000000000001</v>
      </c>
      <c r="O5572" s="15" t="s">
        <v>30159</v>
      </c>
      <c r="P5572" s="10">
        <v>0</v>
      </c>
      <c r="Q5572" s="10">
        <v>0</v>
      </c>
      <c r="R5572" s="15" t="s">
        <v>30159</v>
      </c>
    </row>
    <row r="5573" spans="1:18" ht="17" customHeight="1" x14ac:dyDescent="0.15">
      <c r="A5573" s="11" t="s">
        <v>30181</v>
      </c>
      <c r="B5573" s="1" t="s">
        <v>30182</v>
      </c>
      <c r="C5573" s="11" t="s">
        <v>30183</v>
      </c>
      <c r="D5573" s="11" t="s">
        <v>30183</v>
      </c>
      <c r="E5573" s="11" t="s">
        <v>30184</v>
      </c>
      <c r="F5573" s="11" t="s">
        <v>30185</v>
      </c>
      <c r="G5573" s="11" t="s">
        <v>30186</v>
      </c>
      <c r="H5573" s="11" t="s">
        <v>30166</v>
      </c>
      <c r="I5573" s="11" t="str">
        <f>HYPERLINK("http://www.deglupta.it/","www.deglupta.it")</f>
        <v>www.deglupta.it</v>
      </c>
      <c r="J5573" s="12">
        <v>0.20799999999999999</v>
      </c>
      <c r="K5573" s="14" t="s">
        <v>30159</v>
      </c>
      <c r="L5573" s="16" t="s">
        <v>30159</v>
      </c>
      <c r="M5573" s="12">
        <v>-3.6269999999999998</v>
      </c>
      <c r="N5573" s="14" t="s">
        <v>30159</v>
      </c>
      <c r="O5573" s="14" t="s">
        <v>30159</v>
      </c>
      <c r="P5573" s="12">
        <v>0</v>
      </c>
      <c r="Q5573" s="14" t="s">
        <v>30159</v>
      </c>
      <c r="R5573" s="14" t="s">
        <v>30159</v>
      </c>
    </row>
    <row r="5574" spans="1:18" ht="17" customHeight="1" x14ac:dyDescent="0.15">
      <c r="A5574" s="8" t="s">
        <v>30187</v>
      </c>
      <c r="B5574" s="9" t="s">
        <v>30188</v>
      </c>
      <c r="C5574" s="8" t="s">
        <v>30189</v>
      </c>
      <c r="D5574" s="8" t="s">
        <v>30189</v>
      </c>
      <c r="E5574" s="8" t="s">
        <v>30190</v>
      </c>
      <c r="F5574" s="8" t="s">
        <v>30191</v>
      </c>
      <c r="G5574" s="8" t="s">
        <v>30192</v>
      </c>
      <c r="H5574" s="8" t="s">
        <v>30193</v>
      </c>
      <c r="I5574" s="8" t="str">
        <f>HYPERLINK("http://www.santangelobags.com/","www.santangelobags.com")</f>
        <v>www.santangelobags.com</v>
      </c>
      <c r="J5574" s="10">
        <v>0.22</v>
      </c>
      <c r="K5574" s="15" t="s">
        <v>30159</v>
      </c>
      <c r="L5574" s="15" t="s">
        <v>30159</v>
      </c>
      <c r="M5574" s="10">
        <v>2.3290000000000002</v>
      </c>
      <c r="N5574" s="15" t="s">
        <v>30159</v>
      </c>
      <c r="O5574" s="15" t="s">
        <v>30159</v>
      </c>
      <c r="P5574" s="10">
        <v>0</v>
      </c>
      <c r="Q5574" s="15" t="s">
        <v>30159</v>
      </c>
      <c r="R5574" s="15" t="s">
        <v>30159</v>
      </c>
    </row>
    <row r="5575" spans="1:18" ht="17" customHeight="1" x14ac:dyDescent="0.15">
      <c r="A5575" s="11" t="s">
        <v>30194</v>
      </c>
      <c r="B5575" s="1" t="s">
        <v>30195</v>
      </c>
      <c r="C5575" s="11" t="s">
        <v>30196</v>
      </c>
      <c r="D5575" s="11" t="s">
        <v>30196</v>
      </c>
      <c r="E5575" s="11" t="s">
        <v>30197</v>
      </c>
      <c r="F5575" s="11" t="s">
        <v>30198</v>
      </c>
      <c r="G5575" s="11" t="s">
        <v>30199</v>
      </c>
      <c r="H5575" s="11" t="s">
        <v>30166</v>
      </c>
      <c r="I5575" s="11" t="str">
        <f>HYPERLINK("http://gardenofgod.it/","gardenofgod.it")</f>
        <v>gardenofgod.it</v>
      </c>
      <c r="J5575" s="14" t="s">
        <v>30159</v>
      </c>
      <c r="K5575" s="14" t="s">
        <v>30159</v>
      </c>
      <c r="L5575" s="16" t="s">
        <v>30159</v>
      </c>
      <c r="M5575" s="14" t="s">
        <v>30159</v>
      </c>
      <c r="N5575" s="14" t="s">
        <v>30159</v>
      </c>
      <c r="O5575" s="14" t="s">
        <v>30159</v>
      </c>
      <c r="P5575" s="14" t="s">
        <v>30159</v>
      </c>
      <c r="Q5575" s="14" t="s">
        <v>30159</v>
      </c>
      <c r="R5575" s="14" t="s">
        <v>30159</v>
      </c>
    </row>
    <row r="5576" spans="1:18" ht="17" customHeight="1" x14ac:dyDescent="0.15">
      <c r="A5576" s="8" t="s">
        <v>30200</v>
      </c>
      <c r="B5576" s="9" t="s">
        <v>30201</v>
      </c>
      <c r="C5576" s="8" t="s">
        <v>30202</v>
      </c>
      <c r="D5576" s="8" t="s">
        <v>30202</v>
      </c>
      <c r="E5576" s="8" t="s">
        <v>30203</v>
      </c>
      <c r="F5576" s="8" t="s">
        <v>30204</v>
      </c>
      <c r="G5576" s="8" t="s">
        <v>30199</v>
      </c>
      <c r="H5576" s="8" t="s">
        <v>30166</v>
      </c>
      <c r="I5576" s="8" t="str">
        <f>HYPERLINK("http://www.kiaramente.com/","www.kiaramente.com")</f>
        <v>www.kiaramente.com</v>
      </c>
      <c r="J5576" s="15" t="s">
        <v>30159</v>
      </c>
      <c r="K5576" s="15" t="s">
        <v>30159</v>
      </c>
      <c r="L5576" s="15" t="s">
        <v>30159</v>
      </c>
      <c r="M5576" s="15" t="s">
        <v>30159</v>
      </c>
      <c r="N5576" s="15" t="s">
        <v>30159</v>
      </c>
      <c r="O5576" s="15" t="s">
        <v>30159</v>
      </c>
      <c r="P5576" s="15" t="s">
        <v>30159</v>
      </c>
      <c r="Q5576" s="15" t="s">
        <v>30159</v>
      </c>
      <c r="R5576" s="15" t="s">
        <v>30159</v>
      </c>
    </row>
    <row r="5577" spans="1:18" ht="17" customHeight="1" x14ac:dyDescent="0.15">
      <c r="A5577" s="11" t="s">
        <v>30205</v>
      </c>
      <c r="B5577" s="1" t="s">
        <v>30206</v>
      </c>
      <c r="C5577" s="11" t="s">
        <v>30207</v>
      </c>
      <c r="D5577" s="11" t="s">
        <v>30207</v>
      </c>
      <c r="E5577" s="11" t="s">
        <v>30208</v>
      </c>
      <c r="F5577" s="11" t="s">
        <v>30198</v>
      </c>
      <c r="G5577" s="11" t="s">
        <v>30199</v>
      </c>
      <c r="H5577" s="11" t="s">
        <v>30166</v>
      </c>
      <c r="I5577" s="11" t="str">
        <f>HYPERLINK("http://www.bettaninshoes.com/","www.bettaninshoes.com")</f>
        <v>www.bettaninshoes.com</v>
      </c>
      <c r="J5577" s="14" t="s">
        <v>30159</v>
      </c>
      <c r="K5577" s="14" t="s">
        <v>30159</v>
      </c>
      <c r="L5577" s="16" t="s">
        <v>30159</v>
      </c>
      <c r="M5577" s="14" t="s">
        <v>30159</v>
      </c>
      <c r="N5577" s="14" t="s">
        <v>30159</v>
      </c>
      <c r="O5577" s="14" t="s">
        <v>30159</v>
      </c>
      <c r="P5577" s="14" t="s">
        <v>30159</v>
      </c>
      <c r="Q5577" s="14" t="s">
        <v>30159</v>
      </c>
      <c r="R5577" s="14" t="s">
        <v>30159</v>
      </c>
    </row>
    <row r="5578" spans="1:18" ht="17" customHeight="1" x14ac:dyDescent="0.15">
      <c r="A5578" s="8" t="s">
        <v>30209</v>
      </c>
      <c r="B5578" s="9" t="s">
        <v>30210</v>
      </c>
      <c r="C5578" s="8" t="s">
        <v>30211</v>
      </c>
      <c r="D5578" s="8" t="s">
        <v>30211</v>
      </c>
      <c r="E5578" s="8" t="s">
        <v>30212</v>
      </c>
      <c r="F5578" s="8" t="s">
        <v>30213</v>
      </c>
      <c r="G5578" s="8" t="s">
        <v>30165</v>
      </c>
      <c r="H5578" s="8" t="s">
        <v>30166</v>
      </c>
      <c r="I5578" s="8" t="str">
        <f>HYPERLINK("http://agoraatelier.com/","agoraatelier.com")</f>
        <v>agoraatelier.com</v>
      </c>
      <c r="J5578" s="15" t="s">
        <v>30159</v>
      </c>
      <c r="K5578" s="15" t="s">
        <v>30159</v>
      </c>
      <c r="L5578" s="15" t="s">
        <v>30159</v>
      </c>
      <c r="M5578" s="15" t="s">
        <v>30159</v>
      </c>
      <c r="N5578" s="15" t="s">
        <v>30159</v>
      </c>
      <c r="O5578" s="15" t="s">
        <v>30159</v>
      </c>
      <c r="P5578" s="15" t="s">
        <v>30159</v>
      </c>
      <c r="Q5578" s="15" t="s">
        <v>30159</v>
      </c>
      <c r="R5578" s="15" t="s">
        <v>30159</v>
      </c>
    </row>
    <row r="5579" spans="1:18" ht="17" customHeight="1" x14ac:dyDescent="0.15">
      <c r="A5579" s="11" t="s">
        <v>30214</v>
      </c>
      <c r="B5579" s="1" t="s">
        <v>30215</v>
      </c>
      <c r="C5579" s="11" t="s">
        <v>30216</v>
      </c>
      <c r="D5579" s="11" t="s">
        <v>30216</v>
      </c>
      <c r="E5579" s="11" t="s">
        <v>30217</v>
      </c>
      <c r="F5579" s="11" t="s">
        <v>30156</v>
      </c>
      <c r="G5579" s="11" t="s">
        <v>30165</v>
      </c>
      <c r="H5579" s="11" t="s">
        <v>30166</v>
      </c>
      <c r="I5579" s="11" t="str">
        <f>HYPERLINK("http://www.vicenzamode.com/","www.vicenzamode.com")</f>
        <v>www.vicenzamode.com</v>
      </c>
      <c r="J5579" s="12">
        <v>0</v>
      </c>
      <c r="K5579" s="12">
        <v>0</v>
      </c>
      <c r="L5579" s="16" t="s">
        <v>30159</v>
      </c>
      <c r="M5579" s="12">
        <v>0</v>
      </c>
      <c r="N5579" s="12">
        <v>0</v>
      </c>
      <c r="O5579" s="14" t="s">
        <v>30159</v>
      </c>
      <c r="P5579" s="12">
        <v>0</v>
      </c>
      <c r="Q5579" s="12">
        <v>0</v>
      </c>
      <c r="R5579" s="14" t="s">
        <v>30159</v>
      </c>
    </row>
    <row r="5580" spans="1:18" ht="17" customHeight="1" x14ac:dyDescent="0.15">
      <c r="A5580" s="8" t="s">
        <v>30218</v>
      </c>
      <c r="B5580" s="9" t="s">
        <v>30219</v>
      </c>
      <c r="C5580" s="8" t="s">
        <v>30220</v>
      </c>
      <c r="D5580" s="8" t="s">
        <v>30220</v>
      </c>
      <c r="E5580" s="8" t="s">
        <v>30221</v>
      </c>
      <c r="F5580" s="8" t="s">
        <v>30222</v>
      </c>
      <c r="G5580" s="8" t="s">
        <v>30165</v>
      </c>
      <c r="H5580" s="8" t="s">
        <v>30166</v>
      </c>
      <c r="I5580" s="8" t="str">
        <f>HYPERLINK("http://www.rnrinnovate.it/","www.rnrinnovate.it")</f>
        <v>www.rnrinnovate.it</v>
      </c>
      <c r="J5580" s="10">
        <v>0</v>
      </c>
      <c r="K5580" s="15" t="s">
        <v>30159</v>
      </c>
      <c r="L5580" s="15" t="s">
        <v>30159</v>
      </c>
      <c r="M5580" s="10">
        <v>0</v>
      </c>
      <c r="N5580" s="15" t="s">
        <v>30159</v>
      </c>
      <c r="O5580" s="15" t="s">
        <v>30159</v>
      </c>
      <c r="P5580" s="10">
        <v>0</v>
      </c>
      <c r="Q5580" s="15" t="s">
        <v>30159</v>
      </c>
      <c r="R5580" s="15" t="s">
        <v>30159</v>
      </c>
    </row>
    <row r="5581" spans="1:18" ht="43" customHeight="1" x14ac:dyDescent="0.15">
      <c r="A5581" s="11" t="s">
        <v>30223</v>
      </c>
      <c r="B5581" s="1" t="s">
        <v>30224</v>
      </c>
      <c r="C5581" s="11" t="s">
        <v>30225</v>
      </c>
      <c r="D5581" s="11" t="s">
        <v>30225</v>
      </c>
      <c r="E5581" s="11" t="s">
        <v>30226</v>
      </c>
      <c r="F5581" s="11" t="s">
        <v>30198</v>
      </c>
      <c r="G5581" s="11" t="s">
        <v>30165</v>
      </c>
      <c r="H5581" s="11" t="s">
        <v>30166</v>
      </c>
      <c r="I5581" s="11" t="str">
        <f>HYPERLINK("http://www.gattodoro.it/","www.gattodoro.it")</f>
        <v>www.gattodoro.it</v>
      </c>
      <c r="J5581" s="14" t="s">
        <v>30159</v>
      </c>
      <c r="K5581" s="14" t="s">
        <v>30159</v>
      </c>
      <c r="L5581" s="16" t="s">
        <v>30159</v>
      </c>
      <c r="M5581" s="14" t="s">
        <v>30159</v>
      </c>
      <c r="N5581" s="14" t="s">
        <v>30159</v>
      </c>
      <c r="O5581" s="14" t="s">
        <v>30159</v>
      </c>
      <c r="P5581" s="14" t="s">
        <v>30159</v>
      </c>
      <c r="Q5581" s="14" t="s">
        <v>30159</v>
      </c>
      <c r="R5581" s="14" t="s">
        <v>30159</v>
      </c>
    </row>
    <row r="5582" spans="1:18" ht="17" customHeight="1" x14ac:dyDescent="0.15">
      <c r="A5582" s="8" t="s">
        <v>30227</v>
      </c>
      <c r="B5582" s="9" t="s">
        <v>30228</v>
      </c>
      <c r="C5582" s="8" t="s">
        <v>30229</v>
      </c>
      <c r="D5582" s="8" t="s">
        <v>30229</v>
      </c>
      <c r="E5582" s="8" t="s">
        <v>30230</v>
      </c>
      <c r="F5582" s="8" t="s">
        <v>30191</v>
      </c>
      <c r="G5582" s="8" t="s">
        <v>30165</v>
      </c>
      <c r="H5582" s="8" t="s">
        <v>30166</v>
      </c>
      <c r="I5582" s="8" t="str">
        <f>HYPERLINK("http://www.clicleather.it/","www.clicleather.it")</f>
        <v>www.clicleather.it</v>
      </c>
      <c r="J5582" s="10">
        <v>0</v>
      </c>
      <c r="K5582" s="15" t="s">
        <v>30159</v>
      </c>
      <c r="L5582" s="15" t="s">
        <v>30159</v>
      </c>
      <c r="M5582" s="10">
        <v>-0.67</v>
      </c>
      <c r="N5582" s="15" t="s">
        <v>30159</v>
      </c>
      <c r="O5582" s="15" t="s">
        <v>30159</v>
      </c>
      <c r="P5582" s="10">
        <v>0</v>
      </c>
      <c r="Q5582" s="15" t="s">
        <v>30159</v>
      </c>
      <c r="R5582" s="15" t="s">
        <v>30159</v>
      </c>
    </row>
    <row r="5583" spans="1:18" ht="29.5" customHeight="1" x14ac:dyDescent="0.15">
      <c r="A5583" s="11" t="s">
        <v>30231</v>
      </c>
      <c r="B5583" s="1" t="s">
        <v>30232</v>
      </c>
      <c r="C5583" s="11" t="s">
        <v>30233</v>
      </c>
      <c r="D5583" s="11" t="s">
        <v>30233</v>
      </c>
      <c r="E5583" s="11" t="s">
        <v>30234</v>
      </c>
      <c r="F5583" s="11" t="s">
        <v>30235</v>
      </c>
      <c r="G5583" s="11" t="s">
        <v>30165</v>
      </c>
      <c r="H5583" s="11" t="s">
        <v>30166</v>
      </c>
      <c r="I5583" s="11" t="str">
        <f>HYPERLINK("http://www.calzificiorossi.it/","http://www.calzificiorossi.it")</f>
        <v>http://www.calzificiorossi.it</v>
      </c>
      <c r="J5583" s="12">
        <v>0</v>
      </c>
      <c r="K5583" s="14" t="s">
        <v>30159</v>
      </c>
      <c r="L5583" s="16" t="s">
        <v>30159</v>
      </c>
      <c r="M5583" s="12">
        <v>-82.445999999999998</v>
      </c>
      <c r="N5583" s="14" t="s">
        <v>30159</v>
      </c>
      <c r="O5583" s="14" t="s">
        <v>30159</v>
      </c>
      <c r="P5583" s="12">
        <v>0</v>
      </c>
      <c r="Q5583" s="14" t="s">
        <v>30159</v>
      </c>
      <c r="R5583" s="14" t="s">
        <v>30159</v>
      </c>
    </row>
    <row r="5584" spans="1:18" ht="43" customHeight="1" x14ac:dyDescent="0.15">
      <c r="A5584" s="8" t="s">
        <v>30236</v>
      </c>
      <c r="B5584" s="9" t="s">
        <v>30237</v>
      </c>
      <c r="C5584" s="8" t="s">
        <v>30238</v>
      </c>
      <c r="D5584" s="8" t="s">
        <v>30238</v>
      </c>
      <c r="E5584" s="8" t="s">
        <v>30239</v>
      </c>
      <c r="F5584" s="8" t="s">
        <v>30198</v>
      </c>
      <c r="G5584" s="8" t="s">
        <v>30240</v>
      </c>
      <c r="H5584" s="8" t="s">
        <v>30166</v>
      </c>
      <c r="I5584" s="8" t="str">
        <f>HYPERLINK("http://www.mastrosegalin.it/","www.mastrosegalin.it")</f>
        <v>www.mastrosegalin.it</v>
      </c>
      <c r="J5584" s="15" t="s">
        <v>30159</v>
      </c>
      <c r="K5584" s="15" t="s">
        <v>30159</v>
      </c>
      <c r="L5584" s="15" t="s">
        <v>30159</v>
      </c>
      <c r="M5584" s="15" t="s">
        <v>30159</v>
      </c>
      <c r="N5584" s="15" t="s">
        <v>30159</v>
      </c>
      <c r="O5584" s="15" t="s">
        <v>30159</v>
      </c>
      <c r="P5584" s="15" t="s">
        <v>30159</v>
      </c>
      <c r="Q5584" s="15" t="s">
        <v>30159</v>
      </c>
      <c r="R5584" s="15" t="s">
        <v>30159</v>
      </c>
    </row>
    <row r="5585" spans="1:18" ht="17" customHeight="1" x14ac:dyDescent="0.15">
      <c r="A5585" s="11" t="s">
        <v>30241</v>
      </c>
      <c r="B5585" s="1" t="s">
        <v>30242</v>
      </c>
      <c r="C5585" s="11" t="s">
        <v>30243</v>
      </c>
      <c r="D5585" s="11" t="s">
        <v>30243</v>
      </c>
      <c r="E5585" s="11" t="s">
        <v>30244</v>
      </c>
      <c r="F5585" s="11" t="s">
        <v>30185</v>
      </c>
      <c r="G5585" s="11" t="s">
        <v>30240</v>
      </c>
      <c r="H5585" s="11" t="s">
        <v>30166</v>
      </c>
      <c r="I5585" s="11" t="str">
        <f>HYPERLINK("http://www.deglupta.it/","www.deglupta.it")</f>
        <v>www.deglupta.it</v>
      </c>
      <c r="J5585" s="14" t="s">
        <v>30159</v>
      </c>
      <c r="K5585" s="14" t="s">
        <v>30159</v>
      </c>
      <c r="L5585" s="16" t="s">
        <v>30159</v>
      </c>
      <c r="M5585" s="14" t="s">
        <v>30159</v>
      </c>
      <c r="N5585" s="14" t="s">
        <v>30159</v>
      </c>
      <c r="O5585" s="14" t="s">
        <v>30159</v>
      </c>
      <c r="P5585" s="14" t="s">
        <v>30159</v>
      </c>
      <c r="Q5585" s="14" t="s">
        <v>30159</v>
      </c>
      <c r="R5585" s="14" t="s">
        <v>30159</v>
      </c>
    </row>
    <row r="5586" spans="1:18" ht="43" customHeight="1" x14ac:dyDescent="0.15">
      <c r="A5586" s="8" t="s">
        <v>30245</v>
      </c>
      <c r="B5586" s="9" t="s">
        <v>30246</v>
      </c>
      <c r="C5586" s="8" t="s">
        <v>30247</v>
      </c>
      <c r="D5586" s="8" t="s">
        <v>30247</v>
      </c>
      <c r="E5586" s="8" t="s">
        <v>30248</v>
      </c>
      <c r="F5586" s="8" t="s">
        <v>30185</v>
      </c>
      <c r="G5586" s="8" t="s">
        <v>30240</v>
      </c>
      <c r="H5586" s="8" t="s">
        <v>30166</v>
      </c>
      <c r="I5586" s="8" t="str">
        <f>HYPERLINK("http://www.pelledimare.com/","www.pelledimare.com")</f>
        <v>www.pelledimare.com</v>
      </c>
      <c r="J5586" s="10">
        <v>0</v>
      </c>
      <c r="K5586" s="15" t="s">
        <v>30159</v>
      </c>
      <c r="L5586" s="15" t="s">
        <v>30159</v>
      </c>
      <c r="M5586" s="10">
        <v>-4.0330000000000004</v>
      </c>
      <c r="N5586" s="15" t="s">
        <v>30159</v>
      </c>
      <c r="O5586" s="15" t="s">
        <v>30159</v>
      </c>
      <c r="P5586" s="10">
        <v>0</v>
      </c>
      <c r="Q5586" s="15" t="s">
        <v>30159</v>
      </c>
      <c r="R5586" s="15" t="s">
        <v>30159</v>
      </c>
    </row>
    <row r="5587" spans="1:18" ht="17" customHeight="1" x14ac:dyDescent="0.15">
      <c r="A5587" s="11" t="s">
        <v>30249</v>
      </c>
      <c r="B5587" s="1" t="s">
        <v>30250</v>
      </c>
      <c r="C5587" s="11" t="s">
        <v>30251</v>
      </c>
      <c r="D5587" s="11" t="s">
        <v>30251</v>
      </c>
      <c r="E5587" s="11" t="s">
        <v>30252</v>
      </c>
      <c r="F5587" s="11" t="s">
        <v>30198</v>
      </c>
      <c r="G5587" s="11" t="s">
        <v>30253</v>
      </c>
      <c r="H5587" s="11" t="s">
        <v>30193</v>
      </c>
      <c r="I5587" s="11" t="str">
        <f>HYPERLINK("https://www.marzerimilano.com/","https://www.marzerimilano.com")</f>
        <v>https://www.marzerimilano.com</v>
      </c>
      <c r="J5587" s="14" t="s">
        <v>30159</v>
      </c>
      <c r="K5587" s="14" t="s">
        <v>30159</v>
      </c>
      <c r="L5587" s="16" t="s">
        <v>30159</v>
      </c>
      <c r="M5587" s="14" t="s">
        <v>30159</v>
      </c>
      <c r="N5587" s="14" t="s">
        <v>30159</v>
      </c>
      <c r="O5587" s="14" t="s">
        <v>30159</v>
      </c>
      <c r="P5587" s="14" t="s">
        <v>30159</v>
      </c>
      <c r="Q5587" s="14" t="s">
        <v>30159</v>
      </c>
      <c r="R5587" s="14" t="s">
        <v>30159</v>
      </c>
    </row>
    <row r="5588" spans="1:18" ht="17" customHeight="1" x14ac:dyDescent="0.15">
      <c r="A5588" s="8" t="s">
        <v>30254</v>
      </c>
      <c r="B5588" s="9" t="s">
        <v>30255</v>
      </c>
      <c r="C5588" s="8" t="s">
        <v>30256</v>
      </c>
      <c r="D5588" s="8" t="s">
        <v>30256</v>
      </c>
      <c r="E5588" s="8" t="s">
        <v>30257</v>
      </c>
      <c r="F5588" s="8" t="s">
        <v>30185</v>
      </c>
      <c r="G5588" s="8" t="s">
        <v>30253</v>
      </c>
      <c r="H5588" s="8" t="s">
        <v>30193</v>
      </c>
      <c r="I5588" s="8" t="str">
        <f>HYPERLINK("http://www.dicastello.it/","www.dicastello.it")</f>
        <v>www.dicastello.it</v>
      </c>
      <c r="J5588" s="15" t="s">
        <v>30159</v>
      </c>
      <c r="K5588" s="15" t="s">
        <v>30159</v>
      </c>
      <c r="L5588" s="15" t="s">
        <v>30159</v>
      </c>
      <c r="M5588" s="15" t="s">
        <v>30159</v>
      </c>
      <c r="N5588" s="15" t="s">
        <v>30159</v>
      </c>
      <c r="O5588" s="15" t="s">
        <v>30159</v>
      </c>
      <c r="P5588" s="15" t="s">
        <v>30159</v>
      </c>
      <c r="Q5588" s="15" t="s">
        <v>30159</v>
      </c>
      <c r="R5588" s="15" t="s">
        <v>30159</v>
      </c>
    </row>
    <row r="5589" spans="1:18" ht="17" customHeight="1" x14ac:dyDescent="0.15">
      <c r="A5589" s="11" t="s">
        <v>30258</v>
      </c>
      <c r="B5589" s="1" t="s">
        <v>30259</v>
      </c>
      <c r="C5589" s="11" t="s">
        <v>30260</v>
      </c>
      <c r="D5589" s="11" t="s">
        <v>30260</v>
      </c>
      <c r="E5589" s="11" t="s">
        <v>30261</v>
      </c>
      <c r="F5589" s="11" t="s">
        <v>30164</v>
      </c>
      <c r="G5589" s="11" t="s">
        <v>30253</v>
      </c>
      <c r="H5589" s="11" t="s">
        <v>30193</v>
      </c>
      <c r="I5589" s="11" t="str">
        <f>HYPERLINK("http://www.manifatturasaporiti.it/","www.manifatturasaporiti.it")</f>
        <v>www.manifatturasaporiti.it</v>
      </c>
      <c r="J5589" s="14" t="s">
        <v>30159</v>
      </c>
      <c r="K5589" s="14" t="s">
        <v>30159</v>
      </c>
      <c r="L5589" s="16" t="s">
        <v>30159</v>
      </c>
      <c r="M5589" s="14" t="s">
        <v>30159</v>
      </c>
      <c r="N5589" s="14" t="s">
        <v>30159</v>
      </c>
      <c r="O5589" s="14" t="s">
        <v>30159</v>
      </c>
      <c r="P5589" s="14" t="s">
        <v>30159</v>
      </c>
      <c r="Q5589" s="14" t="s">
        <v>30159</v>
      </c>
      <c r="R5589" s="14" t="s">
        <v>30159</v>
      </c>
    </row>
    <row r="5590" spans="1:18" ht="17" customHeight="1" x14ac:dyDescent="0.15">
      <c r="A5590" s="8" t="s">
        <v>30262</v>
      </c>
      <c r="B5590" s="9" t="s">
        <v>30263</v>
      </c>
      <c r="C5590" s="8" t="s">
        <v>30264</v>
      </c>
      <c r="D5590" s="8" t="s">
        <v>30264</v>
      </c>
      <c r="E5590" s="8" t="s">
        <v>30265</v>
      </c>
      <c r="F5590" s="8" t="s">
        <v>30171</v>
      </c>
      <c r="G5590" s="8" t="s">
        <v>30253</v>
      </c>
      <c r="H5590" s="8" t="s">
        <v>30193</v>
      </c>
      <c r="I5590" s="8" t="str">
        <f>HYPERLINK("http://pjequitation.com/","pjequitation.com")</f>
        <v>pjequitation.com</v>
      </c>
      <c r="J5590" s="15" t="s">
        <v>30159</v>
      </c>
      <c r="K5590" s="15" t="s">
        <v>30159</v>
      </c>
      <c r="L5590" s="15" t="s">
        <v>30159</v>
      </c>
      <c r="M5590" s="15" t="s">
        <v>30159</v>
      </c>
      <c r="N5590" s="15" t="s">
        <v>30159</v>
      </c>
      <c r="O5590" s="15" t="s">
        <v>30159</v>
      </c>
      <c r="P5590" s="15" t="s">
        <v>30159</v>
      </c>
      <c r="Q5590" s="15" t="s">
        <v>30159</v>
      </c>
      <c r="R5590" s="15" t="s">
        <v>30159</v>
      </c>
    </row>
    <row r="5591" spans="1:18" ht="17" customHeight="1" x14ac:dyDescent="0.15">
      <c r="A5591" s="11" t="s">
        <v>30266</v>
      </c>
      <c r="B5591" s="1" t="s">
        <v>30267</v>
      </c>
      <c r="C5591" s="11" t="s">
        <v>30268</v>
      </c>
      <c r="D5591" s="11" t="s">
        <v>30268</v>
      </c>
      <c r="E5591" s="11" t="s">
        <v>30269</v>
      </c>
      <c r="F5591" s="11" t="s">
        <v>30178</v>
      </c>
      <c r="G5591" s="11" t="s">
        <v>30270</v>
      </c>
      <c r="H5591" s="11" t="s">
        <v>30166</v>
      </c>
      <c r="I5591" s="11" t="str">
        <f>HYPERLINK("http://www.italtaglio.com/","www.italtaglio.com")</f>
        <v>www.italtaglio.com</v>
      </c>
      <c r="J5591" s="14" t="s">
        <v>30159</v>
      </c>
      <c r="K5591" s="14" t="s">
        <v>30159</v>
      </c>
      <c r="L5591" s="16" t="s">
        <v>30159</v>
      </c>
      <c r="M5591" s="14" t="s">
        <v>30159</v>
      </c>
      <c r="N5591" s="14" t="s">
        <v>30159</v>
      </c>
      <c r="O5591" s="14" t="s">
        <v>30159</v>
      </c>
      <c r="P5591" s="14" t="s">
        <v>30159</v>
      </c>
      <c r="Q5591" s="14" t="s">
        <v>30159</v>
      </c>
      <c r="R5591" s="14" t="s">
        <v>30159</v>
      </c>
    </row>
    <row r="5592" spans="1:18" ht="17" customHeight="1" x14ac:dyDescent="0.15">
      <c r="A5592" s="8" t="s">
        <v>30271</v>
      </c>
      <c r="B5592" s="9" t="s">
        <v>30272</v>
      </c>
      <c r="C5592" s="8" t="s">
        <v>30273</v>
      </c>
      <c r="D5592" s="8" t="s">
        <v>30273</v>
      </c>
      <c r="E5592" s="8" t="s">
        <v>30274</v>
      </c>
      <c r="F5592" s="8" t="s">
        <v>30178</v>
      </c>
      <c r="G5592" s="8" t="s">
        <v>30270</v>
      </c>
      <c r="H5592" s="8" t="s">
        <v>30166</v>
      </c>
      <c r="I5592" s="8" t="str">
        <f>HYPERLINK("http://loryca.it/","loryca.it")</f>
        <v>loryca.it</v>
      </c>
      <c r="J5592" s="15" t="s">
        <v>30159</v>
      </c>
      <c r="K5592" s="15" t="s">
        <v>30159</v>
      </c>
      <c r="L5592" s="15" t="s">
        <v>30159</v>
      </c>
      <c r="M5592" s="15" t="s">
        <v>30159</v>
      </c>
      <c r="N5592" s="15" t="s">
        <v>30159</v>
      </c>
      <c r="O5592" s="15" t="s">
        <v>30159</v>
      </c>
      <c r="P5592" s="15" t="s">
        <v>30159</v>
      </c>
      <c r="Q5592" s="15" t="s">
        <v>30159</v>
      </c>
      <c r="R5592" s="15" t="s">
        <v>30159</v>
      </c>
    </row>
    <row r="5593" spans="1:18" ht="17" customHeight="1" x14ac:dyDescent="0.15">
      <c r="A5593" s="11" t="s">
        <v>30275</v>
      </c>
      <c r="B5593" s="1" t="s">
        <v>30276</v>
      </c>
      <c r="C5593" s="11" t="s">
        <v>30277</v>
      </c>
      <c r="D5593" s="11" t="s">
        <v>30277</v>
      </c>
      <c r="E5593" s="11" t="s">
        <v>30278</v>
      </c>
      <c r="F5593" s="11" t="s">
        <v>30198</v>
      </c>
      <c r="G5593" s="11" t="s">
        <v>30270</v>
      </c>
      <c r="H5593" s="11" t="s">
        <v>30166</v>
      </c>
      <c r="I5593" s="11" t="str">
        <f>HYPERLINK("http://lamontelliana.it/","lamontelliana.it")</f>
        <v>lamontelliana.it</v>
      </c>
      <c r="J5593" s="14" t="s">
        <v>30159</v>
      </c>
      <c r="K5593" s="14" t="s">
        <v>30159</v>
      </c>
      <c r="L5593" s="16" t="s">
        <v>30159</v>
      </c>
      <c r="M5593" s="14" t="s">
        <v>30159</v>
      </c>
      <c r="N5593" s="14" t="s">
        <v>30159</v>
      </c>
      <c r="O5593" s="14" t="s">
        <v>30159</v>
      </c>
      <c r="P5593" s="14" t="s">
        <v>30159</v>
      </c>
      <c r="Q5593" s="14" t="s">
        <v>30159</v>
      </c>
      <c r="R5593" s="14" t="s">
        <v>30159</v>
      </c>
    </row>
    <row r="5594" spans="1:18" ht="17" customHeight="1" x14ac:dyDescent="0.15">
      <c r="A5594" s="8" t="s">
        <v>30279</v>
      </c>
      <c r="B5594" s="9" t="s">
        <v>30280</v>
      </c>
      <c r="C5594" s="8" t="s">
        <v>30281</v>
      </c>
      <c r="D5594" s="8" t="s">
        <v>30281</v>
      </c>
      <c r="E5594" s="8" t="s">
        <v>30282</v>
      </c>
      <c r="F5594" s="8" t="s">
        <v>30198</v>
      </c>
      <c r="G5594" s="8" t="s">
        <v>30270</v>
      </c>
      <c r="H5594" s="8" t="s">
        <v>30166</v>
      </c>
      <c r="I5594" s="8" t="str">
        <f>HYPERLINK("http://www.giacandpol.com/","www.giacandpol.com")</f>
        <v>www.giacandpol.com</v>
      </c>
      <c r="J5594" s="15" t="s">
        <v>30159</v>
      </c>
      <c r="K5594" s="15" t="s">
        <v>30159</v>
      </c>
      <c r="L5594" s="15" t="s">
        <v>30159</v>
      </c>
      <c r="M5594" s="15" t="s">
        <v>30159</v>
      </c>
      <c r="N5594" s="15" t="s">
        <v>30159</v>
      </c>
      <c r="O5594" s="15" t="s">
        <v>30159</v>
      </c>
      <c r="P5594" s="15" t="s">
        <v>30159</v>
      </c>
      <c r="Q5594" s="15" t="s">
        <v>30159</v>
      </c>
      <c r="R5594" s="15" t="s">
        <v>30159</v>
      </c>
    </row>
    <row r="5595" spans="1:18" ht="17" customHeight="1" x14ac:dyDescent="0.15">
      <c r="A5595" s="11" t="s">
        <v>30283</v>
      </c>
      <c r="B5595" s="1" t="s">
        <v>30284</v>
      </c>
      <c r="C5595" s="11" t="s">
        <v>30285</v>
      </c>
      <c r="D5595" s="11" t="s">
        <v>30285</v>
      </c>
      <c r="E5595" s="11" t="s">
        <v>30286</v>
      </c>
      <c r="F5595" s="11" t="s">
        <v>30204</v>
      </c>
      <c r="G5595" s="11" t="s">
        <v>30270</v>
      </c>
      <c r="H5595" s="11" t="s">
        <v>30166</v>
      </c>
      <c r="I5595" s="11" t="str">
        <f>HYPERLINK("http://www.johncampeld.it/","www.johncampeld.it")</f>
        <v>www.johncampeld.it</v>
      </c>
      <c r="J5595" s="12">
        <v>0</v>
      </c>
      <c r="K5595" s="14" t="s">
        <v>30159</v>
      </c>
      <c r="L5595" s="16" t="s">
        <v>30159</v>
      </c>
      <c r="M5595" s="12">
        <v>-15.817</v>
      </c>
      <c r="N5595" s="14" t="s">
        <v>30159</v>
      </c>
      <c r="O5595" s="14" t="s">
        <v>30159</v>
      </c>
      <c r="P5595" s="12">
        <v>0</v>
      </c>
      <c r="Q5595" s="14" t="s">
        <v>30159</v>
      </c>
      <c r="R5595" s="14" t="s">
        <v>30159</v>
      </c>
    </row>
    <row r="5596" spans="1:18" ht="17" customHeight="1" x14ac:dyDescent="0.15">
      <c r="A5596" s="8" t="s">
        <v>30287</v>
      </c>
      <c r="B5596" s="9" t="s">
        <v>30288</v>
      </c>
      <c r="C5596" s="8" t="s">
        <v>30289</v>
      </c>
      <c r="D5596" s="8" t="s">
        <v>30289</v>
      </c>
      <c r="E5596" s="8" t="s">
        <v>30290</v>
      </c>
      <c r="F5596" s="8" t="s">
        <v>30204</v>
      </c>
      <c r="G5596" s="8" t="s">
        <v>30270</v>
      </c>
      <c r="H5596" s="8" t="s">
        <v>30166</v>
      </c>
      <c r="I5596" s="8" t="str">
        <f>HYPERLINK("http://www.tinocosma.it/","http://www.tinocosma.it")</f>
        <v>http://www.tinocosma.it</v>
      </c>
      <c r="J5596" s="10">
        <v>0</v>
      </c>
      <c r="K5596" s="15" t="s">
        <v>30159</v>
      </c>
      <c r="L5596" s="15" t="s">
        <v>30159</v>
      </c>
      <c r="M5596" s="10">
        <v>-6.2539999999999996</v>
      </c>
      <c r="N5596" s="15" t="s">
        <v>30159</v>
      </c>
      <c r="O5596" s="15" t="s">
        <v>30159</v>
      </c>
      <c r="P5596" s="10">
        <v>0</v>
      </c>
      <c r="Q5596" s="15" t="s">
        <v>30159</v>
      </c>
      <c r="R5596" s="15" t="s">
        <v>30159</v>
      </c>
    </row>
    <row r="5597" spans="1:18" ht="17" customHeight="1" x14ac:dyDescent="0.15">
      <c r="A5597" s="11" t="s">
        <v>30291</v>
      </c>
      <c r="B5597" s="1" t="s">
        <v>30292</v>
      </c>
      <c r="C5597" s="11" t="s">
        <v>30293</v>
      </c>
      <c r="D5597" s="11" t="s">
        <v>30293</v>
      </c>
      <c r="E5597" s="11" t="s">
        <v>30294</v>
      </c>
      <c r="F5597" s="11" t="s">
        <v>30222</v>
      </c>
      <c r="G5597" s="11" t="s">
        <v>30295</v>
      </c>
      <c r="H5597" s="11" t="s">
        <v>30296</v>
      </c>
      <c r="I5597" s="11" t="str">
        <f>HYPERLINK("http://respira-shop.it/","respira-shop.it")</f>
        <v>respira-shop.it</v>
      </c>
      <c r="J5597" s="14" t="s">
        <v>30159</v>
      </c>
      <c r="K5597" s="14" t="s">
        <v>30159</v>
      </c>
      <c r="L5597" s="16" t="s">
        <v>30159</v>
      </c>
      <c r="M5597" s="14" t="s">
        <v>30159</v>
      </c>
      <c r="N5597" s="14" t="s">
        <v>30159</v>
      </c>
      <c r="O5597" s="14" t="s">
        <v>30159</v>
      </c>
      <c r="P5597" s="14" t="s">
        <v>30159</v>
      </c>
      <c r="Q5597" s="14" t="s">
        <v>30159</v>
      </c>
      <c r="R5597" s="14" t="s">
        <v>30159</v>
      </c>
    </row>
    <row r="5598" spans="1:18" ht="43" customHeight="1" x14ac:dyDescent="0.15">
      <c r="A5598" s="8" t="s">
        <v>30297</v>
      </c>
      <c r="B5598" s="9" t="s">
        <v>30298</v>
      </c>
      <c r="C5598" s="8" t="s">
        <v>30299</v>
      </c>
      <c r="D5598" s="8" t="s">
        <v>30299</v>
      </c>
      <c r="E5598" s="8" t="s">
        <v>30300</v>
      </c>
      <c r="F5598" s="8" t="s">
        <v>30185</v>
      </c>
      <c r="G5598" s="8" t="s">
        <v>30301</v>
      </c>
      <c r="H5598" s="8" t="s">
        <v>30302</v>
      </c>
      <c r="I5598" s="8" t="str">
        <f>HYPERLINK("http://www.arteinborse.it/","www.arteinborse.it")</f>
        <v>www.arteinborse.it</v>
      </c>
      <c r="J5598" s="15" t="s">
        <v>30159</v>
      </c>
      <c r="K5598" s="15" t="s">
        <v>30159</v>
      </c>
      <c r="L5598" s="15" t="s">
        <v>30159</v>
      </c>
      <c r="M5598" s="15" t="s">
        <v>30159</v>
      </c>
      <c r="N5598" s="15" t="s">
        <v>30159</v>
      </c>
      <c r="O5598" s="15" t="s">
        <v>30159</v>
      </c>
      <c r="P5598" s="15" t="s">
        <v>30159</v>
      </c>
      <c r="Q5598" s="15" t="s">
        <v>30159</v>
      </c>
      <c r="R5598" s="15" t="s">
        <v>30159</v>
      </c>
    </row>
    <row r="5599" spans="1:18" ht="17" customHeight="1" x14ac:dyDescent="0.15">
      <c r="A5599" s="11" t="s">
        <v>30303</v>
      </c>
      <c r="B5599" s="1" t="s">
        <v>30304</v>
      </c>
      <c r="C5599" s="11" t="s">
        <v>30305</v>
      </c>
      <c r="D5599" s="11" t="s">
        <v>30305</v>
      </c>
      <c r="E5599" s="11" t="s">
        <v>30306</v>
      </c>
      <c r="F5599" s="11" t="s">
        <v>30185</v>
      </c>
      <c r="G5599" s="11" t="s">
        <v>30307</v>
      </c>
      <c r="H5599" s="11" t="s">
        <v>30308</v>
      </c>
      <c r="I5599" s="11" t="str">
        <f>HYPERLINK("http://www.spiritnova.it/","www.spiritnova.it")</f>
        <v>www.spiritnova.it</v>
      </c>
      <c r="J5599" s="14" t="s">
        <v>30159</v>
      </c>
      <c r="K5599" s="14" t="s">
        <v>30159</v>
      </c>
      <c r="L5599" s="16" t="s">
        <v>30159</v>
      </c>
      <c r="M5599" s="14" t="s">
        <v>30159</v>
      </c>
      <c r="N5599" s="14" t="s">
        <v>30159</v>
      </c>
      <c r="O5599" s="14" t="s">
        <v>30159</v>
      </c>
      <c r="P5599" s="14" t="s">
        <v>30159</v>
      </c>
      <c r="Q5599" s="14" t="s">
        <v>30159</v>
      </c>
      <c r="R5599" s="14" t="s">
        <v>30159</v>
      </c>
    </row>
    <row r="5600" spans="1:18" ht="17" customHeight="1" x14ac:dyDescent="0.15">
      <c r="A5600" s="8" t="s">
        <v>30309</v>
      </c>
      <c r="B5600" s="9" t="s">
        <v>30310</v>
      </c>
      <c r="C5600" s="8" t="s">
        <v>30311</v>
      </c>
      <c r="D5600" s="8" t="s">
        <v>30311</v>
      </c>
      <c r="E5600" s="8" t="s">
        <v>30312</v>
      </c>
      <c r="F5600" s="8" t="s">
        <v>30178</v>
      </c>
      <c r="G5600" s="8" t="s">
        <v>30313</v>
      </c>
      <c r="H5600" s="8" t="s">
        <v>30314</v>
      </c>
      <c r="I5600" s="8" t="str">
        <f>HYPERLINK("http://www.greenbutton.it/","www.greenbutton.it")</f>
        <v>www.greenbutton.it</v>
      </c>
      <c r="J5600" s="15" t="s">
        <v>30159</v>
      </c>
      <c r="K5600" s="15" t="s">
        <v>30159</v>
      </c>
      <c r="L5600" s="15" t="s">
        <v>30159</v>
      </c>
      <c r="M5600" s="15" t="s">
        <v>30159</v>
      </c>
      <c r="N5600" s="15" t="s">
        <v>30159</v>
      </c>
      <c r="O5600" s="15" t="s">
        <v>30159</v>
      </c>
      <c r="P5600" s="15" t="s">
        <v>30159</v>
      </c>
      <c r="Q5600" s="15" t="s">
        <v>30159</v>
      </c>
      <c r="R5600" s="15" t="s">
        <v>30159</v>
      </c>
    </row>
    <row r="5601" spans="1:18" ht="55.75" customHeight="1" x14ac:dyDescent="0.15">
      <c r="A5601" s="11" t="s">
        <v>30315</v>
      </c>
      <c r="B5601" s="1" t="s">
        <v>30316</v>
      </c>
      <c r="C5601" s="11" t="s">
        <v>30317</v>
      </c>
      <c r="D5601" s="11" t="s">
        <v>30317</v>
      </c>
      <c r="E5601" s="11" t="s">
        <v>30318</v>
      </c>
      <c r="F5601" s="11" t="s">
        <v>30319</v>
      </c>
      <c r="G5601" s="11" t="s">
        <v>30320</v>
      </c>
      <c r="H5601" s="11" t="s">
        <v>30321</v>
      </c>
      <c r="I5601" s="11" t="str">
        <f>HYPERLINK("http://www.vomano.com/","www.vomano.com")</f>
        <v>www.vomano.com</v>
      </c>
      <c r="J5601" s="14" t="s">
        <v>30322</v>
      </c>
      <c r="K5601" s="14" t="s">
        <v>30322</v>
      </c>
      <c r="L5601" s="16" t="s">
        <v>30322</v>
      </c>
      <c r="M5601" s="14" t="s">
        <v>30322</v>
      </c>
      <c r="N5601" s="14" t="s">
        <v>30322</v>
      </c>
      <c r="O5601" s="14" t="s">
        <v>30322</v>
      </c>
      <c r="P5601" s="14" t="s">
        <v>30322</v>
      </c>
      <c r="Q5601" s="14" t="s">
        <v>30322</v>
      </c>
      <c r="R5601" s="14" t="s">
        <v>30322</v>
      </c>
    </row>
    <row r="5602" spans="1:18" ht="43" customHeight="1" x14ac:dyDescent="0.15">
      <c r="A5602" s="8" t="s">
        <v>30323</v>
      </c>
      <c r="B5602" s="9" t="s">
        <v>30324</v>
      </c>
      <c r="C5602" s="8" t="s">
        <v>30325</v>
      </c>
      <c r="D5602" s="8" t="s">
        <v>30325</v>
      </c>
      <c r="E5602" s="8" t="s">
        <v>30326</v>
      </c>
      <c r="F5602" s="8" t="s">
        <v>30327</v>
      </c>
      <c r="G5602" s="8" t="s">
        <v>30320</v>
      </c>
      <c r="H5602" s="8" t="s">
        <v>30321</v>
      </c>
      <c r="I5602" s="8" t="str">
        <f>HYPERLINK("http://www.antelo.it/","www.antelo.it")</f>
        <v>www.antelo.it</v>
      </c>
      <c r="J5602" s="10">
        <v>0</v>
      </c>
      <c r="K5602" s="15" t="s">
        <v>30322</v>
      </c>
      <c r="L5602" s="15" t="s">
        <v>30322</v>
      </c>
      <c r="M5602" s="10">
        <v>-0.84099999999999997</v>
      </c>
      <c r="N5602" s="15" t="s">
        <v>30322</v>
      </c>
      <c r="O5602" s="15" t="s">
        <v>30322</v>
      </c>
      <c r="P5602" s="10">
        <v>0</v>
      </c>
      <c r="Q5602" s="15" t="s">
        <v>30322</v>
      </c>
      <c r="R5602" s="15" t="s">
        <v>30322</v>
      </c>
    </row>
    <row r="5603" spans="1:18" ht="43" customHeight="1" x14ac:dyDescent="0.15">
      <c r="A5603" s="11" t="s">
        <v>30328</v>
      </c>
      <c r="B5603" s="1" t="s">
        <v>30329</v>
      </c>
      <c r="C5603" s="11" t="s">
        <v>30330</v>
      </c>
      <c r="D5603" s="11" t="s">
        <v>30330</v>
      </c>
      <c r="E5603" s="11" t="s">
        <v>30331</v>
      </c>
      <c r="F5603" s="11" t="s">
        <v>30327</v>
      </c>
      <c r="G5603" s="11" t="s">
        <v>30320</v>
      </c>
      <c r="H5603" s="11" t="s">
        <v>30321</v>
      </c>
      <c r="I5603" s="11" t="str">
        <f>HYPERLINK("http://filogigantebygiannimarozzi.it/","filogigantebygiannimarozzi.it")</f>
        <v>filogigantebygiannimarozzi.it</v>
      </c>
      <c r="J5603" s="14" t="s">
        <v>30322</v>
      </c>
      <c r="K5603" s="14" t="s">
        <v>30322</v>
      </c>
      <c r="L5603" s="16" t="s">
        <v>30322</v>
      </c>
      <c r="M5603" s="14" t="s">
        <v>30322</v>
      </c>
      <c r="N5603" s="14" t="s">
        <v>30322</v>
      </c>
      <c r="O5603" s="14" t="s">
        <v>30322</v>
      </c>
      <c r="P5603" s="14" t="s">
        <v>30322</v>
      </c>
      <c r="Q5603" s="14" t="s">
        <v>30322</v>
      </c>
      <c r="R5603" s="14" t="s">
        <v>30322</v>
      </c>
    </row>
    <row r="5604" spans="1:18" ht="68" customHeight="1" x14ac:dyDescent="0.15">
      <c r="A5604" s="8" t="s">
        <v>30332</v>
      </c>
      <c r="B5604" s="9" t="s">
        <v>30333</v>
      </c>
      <c r="C5604" s="8" t="s">
        <v>30334</v>
      </c>
      <c r="D5604" s="8" t="s">
        <v>30334</v>
      </c>
      <c r="E5604" s="8" t="s">
        <v>30335</v>
      </c>
      <c r="F5604" s="8" t="s">
        <v>30327</v>
      </c>
      <c r="G5604" s="8" t="s">
        <v>30320</v>
      </c>
      <c r="H5604" s="8" t="s">
        <v>30321</v>
      </c>
      <c r="I5604" s="8" t="str">
        <f>HYPERLINK("http://www.hicksproject.it/","www.hicksproject.it")</f>
        <v>www.hicksproject.it</v>
      </c>
      <c r="J5604" s="10">
        <v>0</v>
      </c>
      <c r="K5604" s="15" t="s">
        <v>30322</v>
      </c>
      <c r="L5604" s="15" t="s">
        <v>30322</v>
      </c>
      <c r="M5604" s="10">
        <v>1.383</v>
      </c>
      <c r="N5604" s="15" t="s">
        <v>30322</v>
      </c>
      <c r="O5604" s="15" t="s">
        <v>30322</v>
      </c>
      <c r="P5604" s="15" t="s">
        <v>30322</v>
      </c>
      <c r="Q5604" s="15" t="s">
        <v>30322</v>
      </c>
      <c r="R5604" s="15" t="s">
        <v>30322</v>
      </c>
    </row>
    <row r="5605" spans="1:18" ht="43" customHeight="1" x14ac:dyDescent="0.15">
      <c r="A5605" s="11" t="s">
        <v>30336</v>
      </c>
      <c r="B5605" s="1" t="s">
        <v>30337</v>
      </c>
      <c r="C5605" s="11" t="s">
        <v>30338</v>
      </c>
      <c r="D5605" s="11" t="s">
        <v>30338</v>
      </c>
      <c r="E5605" s="11" t="s">
        <v>30339</v>
      </c>
      <c r="F5605" s="11" t="s">
        <v>30340</v>
      </c>
      <c r="G5605" s="11" t="s">
        <v>30320</v>
      </c>
      <c r="H5605" s="11" t="s">
        <v>30321</v>
      </c>
      <c r="I5605" s="11" t="str">
        <f>HYPERLINK("http://www.paolinicamiceria.com/","www.paolinicamiceria.com")</f>
        <v>www.paolinicamiceria.com</v>
      </c>
      <c r="J5605" s="14" t="s">
        <v>30322</v>
      </c>
      <c r="K5605" s="14" t="s">
        <v>30322</v>
      </c>
      <c r="L5605" s="16" t="s">
        <v>30322</v>
      </c>
      <c r="M5605" s="14" t="s">
        <v>30322</v>
      </c>
      <c r="N5605" s="14" t="s">
        <v>30322</v>
      </c>
      <c r="O5605" s="14" t="s">
        <v>30322</v>
      </c>
      <c r="P5605" s="14" t="s">
        <v>30322</v>
      </c>
      <c r="Q5605" s="14" t="s">
        <v>30322</v>
      </c>
      <c r="R5605" s="14" t="s">
        <v>30322</v>
      </c>
    </row>
    <row r="5606" spans="1:18" ht="17" customHeight="1" x14ac:dyDescent="0.15">
      <c r="A5606" s="8" t="s">
        <v>30341</v>
      </c>
      <c r="B5606" s="9" t="s">
        <v>30342</v>
      </c>
      <c r="C5606" s="8" t="s">
        <v>30343</v>
      </c>
      <c r="D5606" s="8" t="s">
        <v>30343</v>
      </c>
      <c r="E5606" s="8" t="s">
        <v>30344</v>
      </c>
      <c r="F5606" s="8" t="s">
        <v>30345</v>
      </c>
      <c r="G5606" s="8" t="s">
        <v>30320</v>
      </c>
      <c r="H5606" s="8" t="s">
        <v>30321</v>
      </c>
      <c r="I5606" s="8" t="str">
        <f>HYPERLINK("http://www.nextworkgroup.it/","www.nextworkgroup.it")</f>
        <v>www.nextworkgroup.it</v>
      </c>
      <c r="J5606" s="10">
        <v>0</v>
      </c>
      <c r="K5606" s="15" t="s">
        <v>30322</v>
      </c>
      <c r="L5606" s="15" t="s">
        <v>30322</v>
      </c>
      <c r="M5606" s="10">
        <v>2.048</v>
      </c>
      <c r="N5606" s="15" t="s">
        <v>30322</v>
      </c>
      <c r="O5606" s="15" t="s">
        <v>30322</v>
      </c>
      <c r="P5606" s="10">
        <v>0</v>
      </c>
      <c r="Q5606" s="15" t="s">
        <v>30322</v>
      </c>
      <c r="R5606" s="15" t="s">
        <v>30322</v>
      </c>
    </row>
    <row r="5607" spans="1:18" ht="17" customHeight="1" x14ac:dyDescent="0.15">
      <c r="A5607" s="11" t="s">
        <v>30346</v>
      </c>
      <c r="B5607" s="1" t="s">
        <v>30347</v>
      </c>
      <c r="C5607" s="11" t="s">
        <v>30348</v>
      </c>
      <c r="D5607" s="11" t="s">
        <v>30348</v>
      </c>
      <c r="E5607" s="11" t="s">
        <v>30349</v>
      </c>
      <c r="F5607" s="11" t="s">
        <v>30327</v>
      </c>
      <c r="G5607" s="11" t="s">
        <v>30350</v>
      </c>
      <c r="H5607" s="11" t="s">
        <v>30351</v>
      </c>
      <c r="I5607" s="11" t="str">
        <f>HYPERLINK("http://www.lenociluxury.it/","www.lenociluxury.it")</f>
        <v>www.lenociluxury.it</v>
      </c>
      <c r="J5607" s="14" t="s">
        <v>30322</v>
      </c>
      <c r="K5607" s="14" t="s">
        <v>30322</v>
      </c>
      <c r="L5607" s="16" t="s">
        <v>30322</v>
      </c>
      <c r="M5607" s="14" t="s">
        <v>30322</v>
      </c>
      <c r="N5607" s="14" t="s">
        <v>30322</v>
      </c>
      <c r="O5607" s="14" t="s">
        <v>30322</v>
      </c>
      <c r="P5607" s="14" t="s">
        <v>30322</v>
      </c>
      <c r="Q5607" s="14" t="s">
        <v>30322</v>
      </c>
      <c r="R5607" s="14" t="s">
        <v>30322</v>
      </c>
    </row>
    <row r="5608" spans="1:18" ht="29.5" customHeight="1" x14ac:dyDescent="0.15">
      <c r="A5608" s="8" t="s">
        <v>30352</v>
      </c>
      <c r="B5608" s="9" t="s">
        <v>30353</v>
      </c>
      <c r="C5608" s="8" t="s">
        <v>30354</v>
      </c>
      <c r="D5608" s="8" t="s">
        <v>30354</v>
      </c>
      <c r="E5608" s="8" t="s">
        <v>30355</v>
      </c>
      <c r="F5608" s="8" t="s">
        <v>30345</v>
      </c>
      <c r="G5608" s="8" t="s">
        <v>30356</v>
      </c>
      <c r="H5608" s="8" t="s">
        <v>30357</v>
      </c>
      <c r="I5608" s="8" t="str">
        <f>HYPERLINK("http://www.lfservice.eu/","www.lfservice.eu")</f>
        <v>www.lfservice.eu</v>
      </c>
      <c r="J5608" s="15" t="s">
        <v>30322</v>
      </c>
      <c r="K5608" s="15" t="s">
        <v>30322</v>
      </c>
      <c r="L5608" s="15" t="s">
        <v>30322</v>
      </c>
      <c r="M5608" s="15" t="s">
        <v>30322</v>
      </c>
      <c r="N5608" s="15" t="s">
        <v>30322</v>
      </c>
      <c r="O5608" s="15" t="s">
        <v>30322</v>
      </c>
      <c r="P5608" s="15" t="s">
        <v>30322</v>
      </c>
      <c r="Q5608" s="15" t="s">
        <v>30322</v>
      </c>
      <c r="R5608" s="15" t="s">
        <v>30322</v>
      </c>
    </row>
    <row r="5609" spans="1:18" ht="29.5" customHeight="1" x14ac:dyDescent="0.15">
      <c r="A5609" s="11" t="s">
        <v>30358</v>
      </c>
      <c r="B5609" s="1" t="s">
        <v>30359</v>
      </c>
      <c r="C5609" s="11" t="s">
        <v>30360</v>
      </c>
      <c r="D5609" s="11" t="s">
        <v>30360</v>
      </c>
      <c r="E5609" s="11" t="s">
        <v>30361</v>
      </c>
      <c r="F5609" s="11" t="s">
        <v>30362</v>
      </c>
      <c r="G5609" s="11" t="s">
        <v>30356</v>
      </c>
      <c r="H5609" s="11" t="s">
        <v>30357</v>
      </c>
      <c r="I5609" s="11" t="str">
        <f>HYPERLINK("http://www.ondablubeachwear.com/","www.ondablubeachwear.com")</f>
        <v>www.ondablubeachwear.com</v>
      </c>
      <c r="J5609" s="14" t="s">
        <v>30322</v>
      </c>
      <c r="K5609" s="14" t="s">
        <v>30322</v>
      </c>
      <c r="L5609" s="16" t="s">
        <v>30322</v>
      </c>
      <c r="M5609" s="14" t="s">
        <v>30322</v>
      </c>
      <c r="N5609" s="14" t="s">
        <v>30322</v>
      </c>
      <c r="O5609" s="14" t="s">
        <v>30322</v>
      </c>
      <c r="P5609" s="14" t="s">
        <v>30322</v>
      </c>
      <c r="Q5609" s="14" t="s">
        <v>30322</v>
      </c>
      <c r="R5609" s="14" t="s">
        <v>30322</v>
      </c>
    </row>
    <row r="5610" spans="1:18" ht="17" customHeight="1" x14ac:dyDescent="0.15">
      <c r="A5610" s="8" t="s">
        <v>30363</v>
      </c>
      <c r="B5610" s="9" t="s">
        <v>30364</v>
      </c>
      <c r="C5610" s="8" t="s">
        <v>30365</v>
      </c>
      <c r="D5610" s="8" t="s">
        <v>30365</v>
      </c>
      <c r="E5610" s="8" t="s">
        <v>30366</v>
      </c>
      <c r="F5610" s="8" t="s">
        <v>30340</v>
      </c>
      <c r="G5610" s="8" t="s">
        <v>30367</v>
      </c>
      <c r="H5610" s="8" t="s">
        <v>30368</v>
      </c>
      <c r="I5610" s="8" t="str">
        <f>HYPERLINK("http://cooldesac.it/","cooldesac.it")</f>
        <v>cooldesac.it</v>
      </c>
      <c r="J5610" s="15" t="s">
        <v>30322</v>
      </c>
      <c r="K5610" s="15" t="s">
        <v>30322</v>
      </c>
      <c r="L5610" s="15" t="s">
        <v>30322</v>
      </c>
      <c r="M5610" s="15" t="s">
        <v>30322</v>
      </c>
      <c r="N5610" s="15" t="s">
        <v>30322</v>
      </c>
      <c r="O5610" s="15" t="s">
        <v>30322</v>
      </c>
      <c r="P5610" s="15" t="s">
        <v>30322</v>
      </c>
      <c r="Q5610" s="15" t="s">
        <v>30322</v>
      </c>
      <c r="R5610" s="15" t="s">
        <v>30322</v>
      </c>
    </row>
    <row r="5611" spans="1:18" ht="17" customHeight="1" x14ac:dyDescent="0.15">
      <c r="A5611" s="11" t="s">
        <v>30369</v>
      </c>
      <c r="B5611" s="1" t="s">
        <v>30370</v>
      </c>
      <c r="C5611" s="11" t="s">
        <v>30371</v>
      </c>
      <c r="D5611" s="11" t="s">
        <v>30371</v>
      </c>
      <c r="E5611" s="11" t="s">
        <v>30372</v>
      </c>
      <c r="F5611" s="11" t="s">
        <v>30373</v>
      </c>
      <c r="G5611" s="11" t="s">
        <v>30374</v>
      </c>
      <c r="H5611" s="11" t="s">
        <v>30375</v>
      </c>
      <c r="I5611" s="11" t="str">
        <f>HYPERLINK("http://pedu-original.com/","pedu-original.com")</f>
        <v>pedu-original.com</v>
      </c>
      <c r="J5611" s="14" t="s">
        <v>30322</v>
      </c>
      <c r="K5611" s="14" t="s">
        <v>30322</v>
      </c>
      <c r="L5611" s="16" t="s">
        <v>30322</v>
      </c>
      <c r="M5611" s="14" t="s">
        <v>30322</v>
      </c>
      <c r="N5611" s="14" t="s">
        <v>30322</v>
      </c>
      <c r="O5611" s="14" t="s">
        <v>30322</v>
      </c>
      <c r="P5611" s="14" t="s">
        <v>30322</v>
      </c>
      <c r="Q5611" s="14" t="s">
        <v>30322</v>
      </c>
      <c r="R5611" s="14" t="s">
        <v>30322</v>
      </c>
    </row>
    <row r="5612" spans="1:18" ht="29.5" customHeight="1" x14ac:dyDescent="0.15">
      <c r="A5612" s="8" t="s">
        <v>30376</v>
      </c>
      <c r="B5612" s="9" t="s">
        <v>30377</v>
      </c>
      <c r="C5612" s="8" t="s">
        <v>30378</v>
      </c>
      <c r="D5612" s="8" t="s">
        <v>30378</v>
      </c>
      <c r="E5612" s="8" t="s">
        <v>30379</v>
      </c>
      <c r="F5612" s="8" t="s">
        <v>30380</v>
      </c>
      <c r="G5612" s="8" t="s">
        <v>30374</v>
      </c>
      <c r="H5612" s="8" t="s">
        <v>30375</v>
      </c>
      <c r="I5612" s="8" t="str">
        <f>HYPERLINK("http://www.samas.it/","www.samas.it")</f>
        <v>www.samas.it</v>
      </c>
      <c r="J5612" s="10">
        <v>0</v>
      </c>
      <c r="K5612" s="15" t="s">
        <v>30322</v>
      </c>
      <c r="L5612" s="15" t="s">
        <v>30322</v>
      </c>
      <c r="M5612" s="10">
        <v>-1667.7729999999999</v>
      </c>
      <c r="N5612" s="15" t="s">
        <v>30322</v>
      </c>
      <c r="O5612" s="15" t="s">
        <v>30322</v>
      </c>
      <c r="P5612" s="10">
        <v>0</v>
      </c>
      <c r="Q5612" s="15" t="s">
        <v>30322</v>
      </c>
      <c r="R5612" s="15" t="s">
        <v>30322</v>
      </c>
    </row>
    <row r="5613" spans="1:18" ht="17" customHeight="1" x14ac:dyDescent="0.15">
      <c r="A5613" s="11" t="s">
        <v>30381</v>
      </c>
      <c r="B5613" s="1" t="s">
        <v>30382</v>
      </c>
      <c r="C5613" s="11" t="s">
        <v>30383</v>
      </c>
      <c r="D5613" s="11" t="s">
        <v>30383</v>
      </c>
      <c r="E5613" s="11" t="s">
        <v>30384</v>
      </c>
      <c r="F5613" s="11" t="s">
        <v>30327</v>
      </c>
      <c r="G5613" s="11" t="s">
        <v>30385</v>
      </c>
      <c r="H5613" s="11" t="s">
        <v>30386</v>
      </c>
      <c r="I5613" s="11" t="str">
        <f>HYPERLINK("http://www.artigianincamicia.it/","www.artigianincamicia.it")</f>
        <v>www.artigianincamicia.it</v>
      </c>
      <c r="J5613" s="12">
        <v>0</v>
      </c>
      <c r="K5613" s="12">
        <v>0</v>
      </c>
      <c r="L5613" s="16" t="s">
        <v>30322</v>
      </c>
      <c r="M5613" s="12">
        <v>-2.2309999999999999</v>
      </c>
      <c r="N5613" s="12">
        <v>-2.2309999999999999</v>
      </c>
      <c r="O5613" s="14" t="s">
        <v>30322</v>
      </c>
      <c r="P5613" s="12">
        <v>0</v>
      </c>
      <c r="Q5613" s="12">
        <v>0</v>
      </c>
      <c r="R5613" s="14" t="s">
        <v>30322</v>
      </c>
    </row>
    <row r="5614" spans="1:18" ht="43" customHeight="1" x14ac:dyDescent="0.15">
      <c r="A5614" s="8" t="s">
        <v>30387</v>
      </c>
      <c r="B5614" s="9" t="s">
        <v>30388</v>
      </c>
      <c r="C5614" s="8" t="s">
        <v>30389</v>
      </c>
      <c r="D5614" s="8" t="s">
        <v>30389</v>
      </c>
      <c r="E5614" s="8" t="s">
        <v>30390</v>
      </c>
      <c r="F5614" s="8" t="s">
        <v>30327</v>
      </c>
      <c r="G5614" s="8" t="s">
        <v>30385</v>
      </c>
      <c r="H5614" s="8" t="s">
        <v>30386</v>
      </c>
      <c r="I5614" s="8" t="str">
        <f>HYPERLINK("http://www.confav.com/","www.confav.com")</f>
        <v>www.confav.com</v>
      </c>
      <c r="J5614" s="10">
        <v>0</v>
      </c>
      <c r="K5614" s="10">
        <v>0</v>
      </c>
      <c r="L5614" s="15" t="s">
        <v>30322</v>
      </c>
      <c r="M5614" s="10">
        <v>-0.51500000000000001</v>
      </c>
      <c r="N5614" s="10">
        <v>-0.51500000000000001</v>
      </c>
      <c r="O5614" s="15" t="s">
        <v>30322</v>
      </c>
      <c r="P5614" s="10">
        <v>0</v>
      </c>
      <c r="Q5614" s="10">
        <v>0</v>
      </c>
      <c r="R5614" s="15" t="s">
        <v>30322</v>
      </c>
    </row>
    <row r="5615" spans="1:18" ht="17" customHeight="1" x14ac:dyDescent="0.15">
      <c r="A5615" s="11" t="s">
        <v>30391</v>
      </c>
      <c r="B5615" s="1" t="s">
        <v>30392</v>
      </c>
      <c r="C5615" s="11" t="s">
        <v>30393</v>
      </c>
      <c r="D5615" s="11" t="s">
        <v>30393</v>
      </c>
      <c r="E5615" s="11" t="s">
        <v>30394</v>
      </c>
      <c r="F5615" s="11" t="s">
        <v>30327</v>
      </c>
      <c r="G5615" s="11" t="s">
        <v>30395</v>
      </c>
      <c r="H5615" s="11" t="s">
        <v>30396</v>
      </c>
      <c r="I5615" s="11" t="str">
        <f>HYPERLINK("http://www.almic.it/","www.almic.it")</f>
        <v>www.almic.it</v>
      </c>
      <c r="J5615" s="14" t="s">
        <v>30322</v>
      </c>
      <c r="K5615" s="14" t="s">
        <v>30322</v>
      </c>
      <c r="L5615" s="16" t="s">
        <v>30322</v>
      </c>
      <c r="M5615" s="14" t="s">
        <v>30322</v>
      </c>
      <c r="N5615" s="14" t="s">
        <v>30322</v>
      </c>
      <c r="O5615" s="14" t="s">
        <v>30322</v>
      </c>
      <c r="P5615" s="14" t="s">
        <v>30322</v>
      </c>
      <c r="Q5615" s="14" t="s">
        <v>30322</v>
      </c>
      <c r="R5615" s="14" t="s">
        <v>30322</v>
      </c>
    </row>
    <row r="5616" spans="1:18" ht="29.5" customHeight="1" x14ac:dyDescent="0.15">
      <c r="A5616" s="8" t="s">
        <v>30397</v>
      </c>
      <c r="B5616" s="9" t="s">
        <v>30398</v>
      </c>
      <c r="C5616" s="8" t="s">
        <v>30399</v>
      </c>
      <c r="D5616" s="8" t="s">
        <v>30399</v>
      </c>
      <c r="E5616" s="8" t="s">
        <v>30400</v>
      </c>
      <c r="F5616" s="8" t="s">
        <v>30401</v>
      </c>
      <c r="G5616" s="8" t="s">
        <v>30395</v>
      </c>
      <c r="H5616" s="8" t="s">
        <v>30396</v>
      </c>
      <c r="I5616" s="8" t="str">
        <f>HYPERLINK("http://www.soleraintimo.com/","www.soleraintimo.com")</f>
        <v>www.soleraintimo.com</v>
      </c>
      <c r="J5616" s="10">
        <v>0</v>
      </c>
      <c r="K5616" s="15" t="s">
        <v>30322</v>
      </c>
      <c r="L5616" s="15" t="s">
        <v>30322</v>
      </c>
      <c r="M5616" s="10">
        <v>-36.454999999999998</v>
      </c>
      <c r="N5616" s="15" t="s">
        <v>30322</v>
      </c>
      <c r="O5616" s="15" t="s">
        <v>30322</v>
      </c>
      <c r="P5616" s="10">
        <v>0</v>
      </c>
      <c r="Q5616" s="15" t="s">
        <v>30322</v>
      </c>
      <c r="R5616" s="15" t="s">
        <v>30322</v>
      </c>
    </row>
    <row r="5617" spans="1:18" ht="29.5" customHeight="1" x14ac:dyDescent="0.15">
      <c r="A5617" s="11" t="s">
        <v>30402</v>
      </c>
      <c r="B5617" s="1" t="s">
        <v>30403</v>
      </c>
      <c r="C5617" s="11" t="s">
        <v>30404</v>
      </c>
      <c r="D5617" s="11" t="s">
        <v>30404</v>
      </c>
      <c r="E5617" s="11" t="s">
        <v>30405</v>
      </c>
      <c r="F5617" s="11" t="s">
        <v>30327</v>
      </c>
      <c r="G5617" s="11" t="s">
        <v>30395</v>
      </c>
      <c r="H5617" s="11" t="s">
        <v>30396</v>
      </c>
      <c r="I5617" s="11" t="str">
        <f>HYPERLINK("http://immobiliare-laurence-srl-00905180295.quantofattura.com/","immobiliare-laurence-srl-00905180295.quantofattura.com")</f>
        <v>immobiliare-laurence-srl-00905180295.quantofattura.com</v>
      </c>
      <c r="J5617" s="12">
        <v>0</v>
      </c>
      <c r="K5617" s="14" t="s">
        <v>30322</v>
      </c>
      <c r="L5617" s="16" t="s">
        <v>30322</v>
      </c>
      <c r="M5617" s="12">
        <v>-7.0000000000000001E-3</v>
      </c>
      <c r="N5617" s="14" t="s">
        <v>30322</v>
      </c>
      <c r="O5617" s="14" t="s">
        <v>30322</v>
      </c>
      <c r="P5617" s="12">
        <v>0</v>
      </c>
      <c r="Q5617" s="14" t="s">
        <v>30322</v>
      </c>
      <c r="R5617" s="14" t="s">
        <v>30322</v>
      </c>
    </row>
    <row r="5618" spans="1:18" ht="17" customHeight="1" x14ac:dyDescent="0.15">
      <c r="A5618" s="8" t="s">
        <v>30406</v>
      </c>
      <c r="B5618" s="9" t="s">
        <v>30407</v>
      </c>
      <c r="C5618" s="8" t="s">
        <v>30408</v>
      </c>
      <c r="D5618" s="8" t="s">
        <v>30408</v>
      </c>
      <c r="E5618" s="8" t="s">
        <v>30409</v>
      </c>
      <c r="F5618" s="8" t="s">
        <v>30362</v>
      </c>
      <c r="G5618" s="8" t="s">
        <v>30410</v>
      </c>
      <c r="H5618" s="8" t="s">
        <v>30411</v>
      </c>
      <c r="I5618" s="8" t="str">
        <f>HYPERLINK("http://www.bottegaprama.com/","www.bottegaprama.com")</f>
        <v>www.bottegaprama.com</v>
      </c>
      <c r="J5618" s="10">
        <v>0</v>
      </c>
      <c r="K5618" s="15" t="s">
        <v>30322</v>
      </c>
      <c r="L5618" s="15" t="s">
        <v>30322</v>
      </c>
      <c r="M5618" s="10">
        <v>-0.79900000000000004</v>
      </c>
      <c r="N5618" s="15" t="s">
        <v>30322</v>
      </c>
      <c r="O5618" s="15" t="s">
        <v>30322</v>
      </c>
      <c r="P5618" s="10">
        <v>0</v>
      </c>
      <c r="Q5618" s="15" t="s">
        <v>30322</v>
      </c>
      <c r="R5618" s="15" t="s">
        <v>30322</v>
      </c>
    </row>
    <row r="5619" spans="1:18" ht="17" customHeight="1" x14ac:dyDescent="0.15">
      <c r="A5619" s="11" t="s">
        <v>30412</v>
      </c>
      <c r="B5619" s="1" t="s">
        <v>30413</v>
      </c>
      <c r="C5619" s="11" t="s">
        <v>30414</v>
      </c>
      <c r="D5619" s="11" t="s">
        <v>30414</v>
      </c>
      <c r="E5619" s="11" t="s">
        <v>30415</v>
      </c>
      <c r="F5619" s="11" t="s">
        <v>30362</v>
      </c>
      <c r="G5619" s="11" t="s">
        <v>30416</v>
      </c>
      <c r="H5619" s="11" t="s">
        <v>30417</v>
      </c>
      <c r="I5619" s="11" t="str">
        <f>HYPERLINK("http://www.padeloutletstore.topimprese.com/","www.padeloutletstore.topimprese.com")</f>
        <v>www.padeloutletstore.topimprese.com</v>
      </c>
      <c r="J5619" s="14" t="s">
        <v>30322</v>
      </c>
      <c r="K5619" s="14" t="s">
        <v>30322</v>
      </c>
      <c r="L5619" s="16" t="s">
        <v>30322</v>
      </c>
      <c r="M5619" s="14" t="s">
        <v>30322</v>
      </c>
      <c r="N5619" s="14" t="s">
        <v>30322</v>
      </c>
      <c r="O5619" s="14" t="s">
        <v>30322</v>
      </c>
      <c r="P5619" s="14" t="s">
        <v>30322</v>
      </c>
      <c r="Q5619" s="14" t="s">
        <v>30322</v>
      </c>
      <c r="R5619" s="14" t="s">
        <v>30322</v>
      </c>
    </row>
    <row r="5620" spans="1:18" ht="43" customHeight="1" x14ac:dyDescent="0.15">
      <c r="A5620" s="8" t="s">
        <v>30418</v>
      </c>
      <c r="B5620" s="9" t="s">
        <v>30419</v>
      </c>
      <c r="C5620" s="8" t="s">
        <v>30420</v>
      </c>
      <c r="D5620" s="8" t="s">
        <v>30420</v>
      </c>
      <c r="E5620" s="8" t="s">
        <v>30421</v>
      </c>
      <c r="F5620" s="8" t="s">
        <v>30362</v>
      </c>
      <c r="G5620" s="8" t="s">
        <v>30416</v>
      </c>
      <c r="H5620" s="8" t="s">
        <v>30417</v>
      </c>
      <c r="I5620" s="8" t="str">
        <f>HYPERLINK("http://www.flashdance.it/","www.flashdance.it")</f>
        <v>www.flashdance.it</v>
      </c>
      <c r="J5620" s="15" t="s">
        <v>30322</v>
      </c>
      <c r="K5620" s="15" t="s">
        <v>30322</v>
      </c>
      <c r="L5620" s="15" t="s">
        <v>30322</v>
      </c>
      <c r="M5620" s="15" t="s">
        <v>30322</v>
      </c>
      <c r="N5620" s="15" t="s">
        <v>30322</v>
      </c>
      <c r="O5620" s="15" t="s">
        <v>30322</v>
      </c>
      <c r="P5620" s="15" t="s">
        <v>30322</v>
      </c>
      <c r="Q5620" s="15" t="s">
        <v>30322</v>
      </c>
      <c r="R5620" s="15" t="s">
        <v>30322</v>
      </c>
    </row>
    <row r="5621" spans="1:18" ht="29.5" customHeight="1" x14ac:dyDescent="0.15">
      <c r="A5621" s="11" t="s">
        <v>30422</v>
      </c>
      <c r="B5621" s="1" t="s">
        <v>30423</v>
      </c>
      <c r="C5621" s="11" t="s">
        <v>30424</v>
      </c>
      <c r="D5621" s="11" t="s">
        <v>30424</v>
      </c>
      <c r="E5621" s="11" t="s">
        <v>30425</v>
      </c>
      <c r="F5621" s="11" t="s">
        <v>30362</v>
      </c>
      <c r="G5621" s="11" t="s">
        <v>30416</v>
      </c>
      <c r="H5621" s="11" t="s">
        <v>30417</v>
      </c>
      <c r="I5621" s="11" t="str">
        <f>HYPERLINK("http://hollysportswear.com/","hollysportswear.com")</f>
        <v>hollysportswear.com</v>
      </c>
      <c r="J5621" s="14" t="s">
        <v>30322</v>
      </c>
      <c r="K5621" s="14" t="s">
        <v>30322</v>
      </c>
      <c r="L5621" s="16" t="s">
        <v>30322</v>
      </c>
      <c r="M5621" s="14" t="s">
        <v>30322</v>
      </c>
      <c r="N5621" s="14" t="s">
        <v>30322</v>
      </c>
      <c r="O5621" s="14" t="s">
        <v>30322</v>
      </c>
      <c r="P5621" s="14" t="s">
        <v>30322</v>
      </c>
      <c r="Q5621" s="14" t="s">
        <v>30322</v>
      </c>
      <c r="R5621" s="14" t="s">
        <v>30322</v>
      </c>
    </row>
    <row r="5622" spans="1:18" ht="43" customHeight="1" x14ac:dyDescent="0.15">
      <c r="A5622" s="8" t="s">
        <v>30426</v>
      </c>
      <c r="B5622" s="9" t="s">
        <v>30427</v>
      </c>
      <c r="C5622" s="8" t="s">
        <v>30428</v>
      </c>
      <c r="D5622" s="8" t="s">
        <v>30428</v>
      </c>
      <c r="E5622" s="8" t="s">
        <v>30429</v>
      </c>
      <c r="F5622" s="8" t="s">
        <v>30430</v>
      </c>
      <c r="G5622" s="8" t="s">
        <v>30416</v>
      </c>
      <c r="H5622" s="8" t="s">
        <v>30417</v>
      </c>
      <c r="I5622" s="8" t="str">
        <f>HYPERLINK("http://iris.unitn.it/","iris.unitn.it")</f>
        <v>iris.unitn.it</v>
      </c>
      <c r="J5622" s="15" t="s">
        <v>30322</v>
      </c>
      <c r="K5622" s="15" t="s">
        <v>30322</v>
      </c>
      <c r="L5622" s="15" t="s">
        <v>30322</v>
      </c>
      <c r="M5622" s="15" t="s">
        <v>30322</v>
      </c>
      <c r="N5622" s="15" t="s">
        <v>30322</v>
      </c>
      <c r="O5622" s="15" t="s">
        <v>30322</v>
      </c>
      <c r="P5622" s="15" t="s">
        <v>30322</v>
      </c>
      <c r="Q5622" s="15" t="s">
        <v>30322</v>
      </c>
      <c r="R5622" s="15" t="s">
        <v>30322</v>
      </c>
    </row>
    <row r="5623" spans="1:18" ht="29.5" customHeight="1" x14ac:dyDescent="0.15">
      <c r="A5623" s="11" t="s">
        <v>30431</v>
      </c>
      <c r="B5623" s="1" t="s">
        <v>30432</v>
      </c>
      <c r="C5623" s="11" t="s">
        <v>30433</v>
      </c>
      <c r="D5623" s="11" t="s">
        <v>30433</v>
      </c>
      <c r="E5623" s="11" t="s">
        <v>30434</v>
      </c>
      <c r="F5623" s="11" t="s">
        <v>30430</v>
      </c>
      <c r="G5623" s="11" t="s">
        <v>30416</v>
      </c>
      <c r="H5623" s="11" t="s">
        <v>30417</v>
      </c>
      <c r="I5623" s="11" t="str">
        <f>HYPERLINK("http://www.ateliersposaroma.rm.it/","www.ateliersposaroma.rm.it")</f>
        <v>www.ateliersposaroma.rm.it</v>
      </c>
      <c r="J5623" s="14" t="s">
        <v>30322</v>
      </c>
      <c r="K5623" s="14" t="s">
        <v>30322</v>
      </c>
      <c r="L5623" s="16" t="s">
        <v>30322</v>
      </c>
      <c r="M5623" s="14" t="s">
        <v>30322</v>
      </c>
      <c r="N5623" s="14" t="s">
        <v>30322</v>
      </c>
      <c r="O5623" s="14" t="s">
        <v>30322</v>
      </c>
      <c r="P5623" s="14" t="s">
        <v>30322</v>
      </c>
      <c r="Q5623" s="14" t="s">
        <v>30322</v>
      </c>
      <c r="R5623" s="14" t="s">
        <v>30322</v>
      </c>
    </row>
    <row r="5624" spans="1:18" ht="17" customHeight="1" x14ac:dyDescent="0.15">
      <c r="A5624" s="8" t="s">
        <v>30435</v>
      </c>
      <c r="B5624" s="9" t="s">
        <v>30436</v>
      </c>
      <c r="C5624" s="8" t="s">
        <v>30437</v>
      </c>
      <c r="D5624" s="8" t="s">
        <v>30437</v>
      </c>
      <c r="E5624" s="8" t="s">
        <v>30438</v>
      </c>
      <c r="F5624" s="8" t="s">
        <v>30327</v>
      </c>
      <c r="G5624" s="8" t="s">
        <v>30416</v>
      </c>
      <c r="H5624" s="8" t="s">
        <v>30417</v>
      </c>
      <c r="I5624" s="8" t="str">
        <f>HYPERLINK("http://www.df-group-italia.it/","www.df-group-italia.it")</f>
        <v>www.df-group-italia.it</v>
      </c>
      <c r="J5624" s="15" t="s">
        <v>30322</v>
      </c>
      <c r="K5624" s="15" t="s">
        <v>30322</v>
      </c>
      <c r="L5624" s="15" t="s">
        <v>30322</v>
      </c>
      <c r="M5624" s="15" t="s">
        <v>30322</v>
      </c>
      <c r="N5624" s="15" t="s">
        <v>30322</v>
      </c>
      <c r="O5624" s="15" t="s">
        <v>30322</v>
      </c>
      <c r="P5624" s="15" t="s">
        <v>30322</v>
      </c>
      <c r="Q5624" s="15" t="s">
        <v>30322</v>
      </c>
      <c r="R5624" s="15" t="s">
        <v>30322</v>
      </c>
    </row>
    <row r="5625" spans="1:18" ht="17" customHeight="1" x14ac:dyDescent="0.15">
      <c r="A5625" s="11" t="s">
        <v>30439</v>
      </c>
      <c r="B5625" s="1" t="s">
        <v>30440</v>
      </c>
      <c r="C5625" s="11" t="s">
        <v>30441</v>
      </c>
      <c r="D5625" s="11" t="s">
        <v>30441</v>
      </c>
      <c r="E5625" s="11" t="s">
        <v>30442</v>
      </c>
      <c r="F5625" s="11" t="s">
        <v>30340</v>
      </c>
      <c r="G5625" s="11" t="s">
        <v>30416</v>
      </c>
      <c r="H5625" s="11" t="s">
        <v>30417</v>
      </c>
      <c r="I5625" s="11" t="str">
        <f>HYPERLINK("http://www.10x7.it/","www.10x7.it")</f>
        <v>www.10x7.it</v>
      </c>
      <c r="J5625" s="12">
        <v>0</v>
      </c>
      <c r="K5625" s="14" t="s">
        <v>30322</v>
      </c>
      <c r="L5625" s="16" t="s">
        <v>30322</v>
      </c>
      <c r="M5625" s="12">
        <v>9.4969999999999999</v>
      </c>
      <c r="N5625" s="14" t="s">
        <v>30322</v>
      </c>
      <c r="O5625" s="14" t="s">
        <v>30322</v>
      </c>
      <c r="P5625" s="12">
        <v>0</v>
      </c>
      <c r="Q5625" s="14" t="s">
        <v>30322</v>
      </c>
      <c r="R5625" s="14" t="s">
        <v>30322</v>
      </c>
    </row>
    <row r="5626" spans="1:18" ht="17" customHeight="1" x14ac:dyDescent="0.15">
      <c r="A5626" s="8" t="s">
        <v>30443</v>
      </c>
      <c r="B5626" s="9" t="s">
        <v>30444</v>
      </c>
      <c r="C5626" s="8" t="s">
        <v>30445</v>
      </c>
      <c r="D5626" s="8" t="s">
        <v>30445</v>
      </c>
      <c r="E5626" s="8" t="s">
        <v>30446</v>
      </c>
      <c r="F5626" s="8" t="s">
        <v>30340</v>
      </c>
      <c r="G5626" s="17"/>
      <c r="H5626" s="17"/>
      <c r="I5626" s="8" t="str">
        <f>HYPERLINK("http://www.principefridolin.com/","www.principefridolin.com")</f>
        <v>www.principefridolin.com</v>
      </c>
      <c r="J5626" s="15" t="s">
        <v>30322</v>
      </c>
      <c r="K5626" s="15" t="s">
        <v>30322</v>
      </c>
      <c r="L5626" s="15" t="s">
        <v>30322</v>
      </c>
      <c r="M5626" s="15" t="s">
        <v>30322</v>
      </c>
      <c r="N5626" s="15" t="s">
        <v>30322</v>
      </c>
      <c r="O5626" s="15" t="s">
        <v>30322</v>
      </c>
      <c r="P5626" s="15" t="s">
        <v>30322</v>
      </c>
      <c r="Q5626" s="15" t="s">
        <v>30322</v>
      </c>
      <c r="R5626" s="15" t="s">
        <v>30322</v>
      </c>
    </row>
    <row r="5627" spans="1:18" ht="29.5" customHeight="1" x14ac:dyDescent="0.15">
      <c r="A5627" s="11" t="s">
        <v>30447</v>
      </c>
      <c r="B5627" s="1" t="s">
        <v>30448</v>
      </c>
      <c r="C5627" s="11" t="s">
        <v>30449</v>
      </c>
      <c r="D5627" s="11" t="s">
        <v>30450</v>
      </c>
      <c r="E5627" s="11" t="s">
        <v>30451</v>
      </c>
      <c r="F5627" s="11" t="s">
        <v>30452</v>
      </c>
      <c r="G5627" s="11" t="s">
        <v>30416</v>
      </c>
      <c r="H5627" s="11" t="s">
        <v>30417</v>
      </c>
      <c r="I5627" s="11" t="str">
        <f>HYPERLINK("http://selleriagranata.it/","selleriagranata.it")</f>
        <v>selleriagranata.it</v>
      </c>
      <c r="J5627" s="12">
        <v>0</v>
      </c>
      <c r="K5627" s="14" t="s">
        <v>30322</v>
      </c>
      <c r="L5627" s="16" t="s">
        <v>30322</v>
      </c>
      <c r="M5627" s="12">
        <v>-3.044</v>
      </c>
      <c r="N5627" s="14" t="s">
        <v>30322</v>
      </c>
      <c r="O5627" s="14" t="s">
        <v>30322</v>
      </c>
      <c r="P5627" s="12">
        <v>0</v>
      </c>
      <c r="Q5627" s="14" t="s">
        <v>30322</v>
      </c>
      <c r="R5627" s="14" t="s">
        <v>30322</v>
      </c>
    </row>
    <row r="5628" spans="1:18" ht="17" customHeight="1" x14ac:dyDescent="0.15">
      <c r="A5628" s="8" t="s">
        <v>30453</v>
      </c>
      <c r="B5628" s="9" t="s">
        <v>30454</v>
      </c>
      <c r="C5628" s="8" t="s">
        <v>30455</v>
      </c>
      <c r="D5628" s="8" t="s">
        <v>30455</v>
      </c>
      <c r="E5628" s="8" t="s">
        <v>30456</v>
      </c>
      <c r="F5628" s="8" t="s">
        <v>30319</v>
      </c>
      <c r="G5628" s="8" t="s">
        <v>30457</v>
      </c>
      <c r="H5628" s="8" t="s">
        <v>30368</v>
      </c>
      <c r="I5628" s="8" t="str">
        <f>HYPERLINK("http://www.daniemadeinsicily.com/","www.daniemadeinsicily.com")</f>
        <v>www.daniemadeinsicily.com</v>
      </c>
      <c r="J5628" s="15" t="s">
        <v>30322</v>
      </c>
      <c r="K5628" s="15" t="s">
        <v>30322</v>
      </c>
      <c r="L5628" s="15" t="s">
        <v>30322</v>
      </c>
      <c r="M5628" s="15" t="s">
        <v>30322</v>
      </c>
      <c r="N5628" s="15" t="s">
        <v>30322</v>
      </c>
      <c r="O5628" s="15" t="s">
        <v>30322</v>
      </c>
      <c r="P5628" s="15" t="s">
        <v>30322</v>
      </c>
      <c r="Q5628" s="15" t="s">
        <v>30322</v>
      </c>
      <c r="R5628" s="15" t="s">
        <v>30322</v>
      </c>
    </row>
    <row r="5629" spans="1:18" ht="17" customHeight="1" x14ac:dyDescent="0.15">
      <c r="A5629" s="11" t="s">
        <v>30458</v>
      </c>
      <c r="B5629" s="1" t="s">
        <v>30459</v>
      </c>
      <c r="C5629" s="11" t="s">
        <v>30460</v>
      </c>
      <c r="D5629" s="11" t="s">
        <v>30460</v>
      </c>
      <c r="E5629" s="11" t="s">
        <v>30461</v>
      </c>
      <c r="F5629" s="11" t="s">
        <v>30319</v>
      </c>
      <c r="G5629" s="11" t="s">
        <v>30457</v>
      </c>
      <c r="H5629" s="11" t="s">
        <v>30368</v>
      </c>
      <c r="I5629" s="11" t="str">
        <f>HYPERLINK("http://www.monyagrana.com/","www.monyagrana.com")</f>
        <v>www.monyagrana.com</v>
      </c>
      <c r="J5629" s="12">
        <v>0</v>
      </c>
      <c r="K5629" s="14" t="s">
        <v>30322</v>
      </c>
      <c r="L5629" s="16" t="s">
        <v>30322</v>
      </c>
      <c r="M5629" s="12">
        <v>-3.6230000000000002</v>
      </c>
      <c r="N5629" s="14" t="s">
        <v>30322</v>
      </c>
      <c r="O5629" s="14" t="s">
        <v>30322</v>
      </c>
      <c r="P5629" s="12">
        <v>0</v>
      </c>
      <c r="Q5629" s="14" t="s">
        <v>30322</v>
      </c>
      <c r="R5629" s="14" t="s">
        <v>30322</v>
      </c>
    </row>
    <row r="5630" spans="1:18" ht="17" customHeight="1" x14ac:dyDescent="0.15">
      <c r="A5630" s="8" t="s">
        <v>30462</v>
      </c>
      <c r="B5630" s="9" t="s">
        <v>30463</v>
      </c>
      <c r="C5630" s="8" t="s">
        <v>30464</v>
      </c>
      <c r="D5630" s="8" t="s">
        <v>30464</v>
      </c>
      <c r="E5630" s="8" t="s">
        <v>30465</v>
      </c>
      <c r="F5630" s="8" t="s">
        <v>30373</v>
      </c>
      <c r="G5630" s="8" t="s">
        <v>30466</v>
      </c>
      <c r="H5630" s="8" t="s">
        <v>30411</v>
      </c>
      <c r="I5630" s="8" t="str">
        <f>HYPERLINK("http://www.camminarebene.it/","www.camminarebene.it")</f>
        <v>www.camminarebene.it</v>
      </c>
      <c r="J5630" s="15" t="s">
        <v>30322</v>
      </c>
      <c r="K5630" s="15" t="s">
        <v>30322</v>
      </c>
      <c r="L5630" s="15" t="s">
        <v>30322</v>
      </c>
      <c r="M5630" s="15" t="s">
        <v>30322</v>
      </c>
      <c r="N5630" s="15" t="s">
        <v>30322</v>
      </c>
      <c r="O5630" s="15" t="s">
        <v>30322</v>
      </c>
      <c r="P5630" s="15" t="s">
        <v>30322</v>
      </c>
      <c r="Q5630" s="15" t="s">
        <v>30322</v>
      </c>
      <c r="R5630" s="15" t="s">
        <v>30322</v>
      </c>
    </row>
    <row r="5631" spans="1:18" ht="43" customHeight="1" x14ac:dyDescent="0.15">
      <c r="A5631" s="11" t="s">
        <v>30467</v>
      </c>
      <c r="B5631" s="1" t="s">
        <v>30468</v>
      </c>
      <c r="C5631" s="11" t="s">
        <v>30469</v>
      </c>
      <c r="D5631" s="11" t="s">
        <v>30469</v>
      </c>
      <c r="E5631" s="11" t="s">
        <v>30470</v>
      </c>
      <c r="F5631" s="11" t="s">
        <v>30471</v>
      </c>
      <c r="G5631" s="11" t="s">
        <v>30472</v>
      </c>
      <c r="H5631" s="11" t="s">
        <v>30473</v>
      </c>
      <c r="I5631" s="11" t="str">
        <f>HYPERLINK("http://www.ionium.it/","www.ionium.it")</f>
        <v>www.ionium.it</v>
      </c>
      <c r="J5631" s="14" t="s">
        <v>30322</v>
      </c>
      <c r="K5631" s="14" t="s">
        <v>30322</v>
      </c>
      <c r="L5631" s="16" t="s">
        <v>30322</v>
      </c>
      <c r="M5631" s="14" t="s">
        <v>30322</v>
      </c>
      <c r="N5631" s="14" t="s">
        <v>30322</v>
      </c>
      <c r="O5631" s="14" t="s">
        <v>30322</v>
      </c>
      <c r="P5631" s="14" t="s">
        <v>30322</v>
      </c>
      <c r="Q5631" s="14" t="s">
        <v>30322</v>
      </c>
      <c r="R5631" s="14" t="s">
        <v>30322</v>
      </c>
    </row>
    <row r="5632" spans="1:18" ht="17" customHeight="1" x14ac:dyDescent="0.15">
      <c r="A5632" s="8" t="s">
        <v>30474</v>
      </c>
      <c r="B5632" s="9" t="s">
        <v>30475</v>
      </c>
      <c r="C5632" s="8" t="s">
        <v>30476</v>
      </c>
      <c r="D5632" s="8" t="s">
        <v>30476</v>
      </c>
      <c r="E5632" s="8" t="s">
        <v>30477</v>
      </c>
      <c r="F5632" s="8" t="s">
        <v>30430</v>
      </c>
      <c r="G5632" s="8" t="s">
        <v>30478</v>
      </c>
      <c r="H5632" s="8" t="s">
        <v>30411</v>
      </c>
      <c r="I5632" s="8" t="str">
        <f>HYPERLINK("http://www.tirapani.it/","www.tirapani.it")</f>
        <v>www.tirapani.it</v>
      </c>
      <c r="J5632" s="15" t="s">
        <v>30322</v>
      </c>
      <c r="K5632" s="15" t="s">
        <v>30322</v>
      </c>
      <c r="L5632" s="15" t="s">
        <v>30322</v>
      </c>
      <c r="M5632" s="15" t="s">
        <v>30322</v>
      </c>
      <c r="N5632" s="15" t="s">
        <v>30322</v>
      </c>
      <c r="O5632" s="15" t="s">
        <v>30322</v>
      </c>
      <c r="P5632" s="15" t="s">
        <v>30322</v>
      </c>
      <c r="Q5632" s="15" t="s">
        <v>30322</v>
      </c>
      <c r="R5632" s="15" t="s">
        <v>30322</v>
      </c>
    </row>
    <row r="5633" spans="1:18" ht="29.5" customHeight="1" x14ac:dyDescent="0.15">
      <c r="A5633" s="11" t="s">
        <v>30479</v>
      </c>
      <c r="B5633" s="1" t="s">
        <v>30480</v>
      </c>
      <c r="C5633" s="11" t="s">
        <v>30481</v>
      </c>
      <c r="D5633" s="11" t="s">
        <v>30481</v>
      </c>
      <c r="E5633" s="11" t="s">
        <v>30482</v>
      </c>
      <c r="F5633" s="11" t="s">
        <v>30483</v>
      </c>
      <c r="G5633" s="11" t="s">
        <v>30484</v>
      </c>
      <c r="H5633" s="11" t="s">
        <v>30485</v>
      </c>
      <c r="I5633" s="11" t="str">
        <f>HYPERLINK("http://www.hache.com/","www.hache.com")</f>
        <v>www.hache.com</v>
      </c>
      <c r="J5633" s="12">
        <v>0</v>
      </c>
      <c r="K5633" s="14" t="s">
        <v>30486</v>
      </c>
      <c r="L5633" s="16" t="s">
        <v>30486</v>
      </c>
      <c r="M5633" s="12">
        <v>19.387</v>
      </c>
      <c r="N5633" s="14" t="s">
        <v>30486</v>
      </c>
      <c r="O5633" s="14" t="s">
        <v>30486</v>
      </c>
      <c r="P5633" s="12">
        <v>0</v>
      </c>
      <c r="Q5633" s="14" t="s">
        <v>30486</v>
      </c>
      <c r="R5633" s="14" t="s">
        <v>30486</v>
      </c>
    </row>
    <row r="5634" spans="1:18" ht="17" customHeight="1" x14ac:dyDescent="0.15">
      <c r="A5634" s="8" t="s">
        <v>30487</v>
      </c>
      <c r="B5634" s="9" t="s">
        <v>30488</v>
      </c>
      <c r="C5634" s="8" t="s">
        <v>30489</v>
      </c>
      <c r="D5634" s="8" t="s">
        <v>30489</v>
      </c>
      <c r="E5634" s="8" t="s">
        <v>30490</v>
      </c>
      <c r="F5634" s="8" t="s">
        <v>30491</v>
      </c>
      <c r="G5634" s="8" t="s">
        <v>30492</v>
      </c>
      <c r="H5634" s="8" t="s">
        <v>30493</v>
      </c>
      <c r="I5634" s="8" t="str">
        <f>HYPERLINK("http://www.tre-g-snc.it/","www.tre-g-snc.it")</f>
        <v>www.tre-g-snc.it</v>
      </c>
      <c r="J5634" s="15" t="s">
        <v>30486</v>
      </c>
      <c r="K5634" s="15" t="s">
        <v>30486</v>
      </c>
      <c r="L5634" s="15" t="s">
        <v>30486</v>
      </c>
      <c r="M5634" s="15" t="s">
        <v>30486</v>
      </c>
      <c r="N5634" s="15" t="s">
        <v>30486</v>
      </c>
      <c r="O5634" s="15" t="s">
        <v>30486</v>
      </c>
      <c r="P5634" s="15" t="s">
        <v>30486</v>
      </c>
      <c r="Q5634" s="15" t="s">
        <v>30486</v>
      </c>
      <c r="R5634" s="15" t="s">
        <v>30486</v>
      </c>
    </row>
    <row r="5635" spans="1:18" ht="43" customHeight="1" x14ac:dyDescent="0.15">
      <c r="A5635" s="11" t="s">
        <v>30494</v>
      </c>
      <c r="B5635" s="1" t="s">
        <v>30495</v>
      </c>
      <c r="C5635" s="11" t="s">
        <v>30496</v>
      </c>
      <c r="D5635" s="11" t="s">
        <v>30496</v>
      </c>
      <c r="E5635" s="11" t="s">
        <v>30497</v>
      </c>
      <c r="F5635" s="11" t="s">
        <v>30491</v>
      </c>
      <c r="G5635" s="11" t="s">
        <v>30492</v>
      </c>
      <c r="H5635" s="11" t="s">
        <v>30493</v>
      </c>
      <c r="I5635" s="11" t="str">
        <f>HYPERLINK("http://www.bellemarie.it/","www.bellemarie.it")</f>
        <v>www.bellemarie.it</v>
      </c>
      <c r="J5635" s="14" t="s">
        <v>30486</v>
      </c>
      <c r="K5635" s="14" t="s">
        <v>30486</v>
      </c>
      <c r="L5635" s="16" t="s">
        <v>30486</v>
      </c>
      <c r="M5635" s="14" t="s">
        <v>30486</v>
      </c>
      <c r="N5635" s="14" t="s">
        <v>30486</v>
      </c>
      <c r="O5635" s="14" t="s">
        <v>30486</v>
      </c>
      <c r="P5635" s="14" t="s">
        <v>30486</v>
      </c>
      <c r="Q5635" s="14" t="s">
        <v>30486</v>
      </c>
      <c r="R5635" s="14" t="s">
        <v>30486</v>
      </c>
    </row>
    <row r="5636" spans="1:18" ht="29.5" customHeight="1" x14ac:dyDescent="0.15">
      <c r="A5636" s="8" t="s">
        <v>30498</v>
      </c>
      <c r="B5636" s="9" t="s">
        <v>30499</v>
      </c>
      <c r="C5636" s="8" t="s">
        <v>30500</v>
      </c>
      <c r="D5636" s="8" t="s">
        <v>30500</v>
      </c>
      <c r="E5636" s="8" t="s">
        <v>30501</v>
      </c>
      <c r="F5636" s="8" t="s">
        <v>30502</v>
      </c>
      <c r="G5636" s="8" t="s">
        <v>30492</v>
      </c>
      <c r="H5636" s="8" t="s">
        <v>30493</v>
      </c>
      <c r="I5636" s="8" t="str">
        <f>HYPERLINK("http://www.divigevano.com/","http://www.divigevano.com")</f>
        <v>http://www.divigevano.com</v>
      </c>
      <c r="J5636" s="10">
        <v>0</v>
      </c>
      <c r="K5636" s="15" t="s">
        <v>30486</v>
      </c>
      <c r="L5636" s="15" t="s">
        <v>30486</v>
      </c>
      <c r="M5636" s="10">
        <v>0.56799999999999995</v>
      </c>
      <c r="N5636" s="15" t="s">
        <v>30486</v>
      </c>
      <c r="O5636" s="15" t="s">
        <v>30486</v>
      </c>
      <c r="P5636" s="10">
        <v>0</v>
      </c>
      <c r="Q5636" s="15" t="s">
        <v>30486</v>
      </c>
      <c r="R5636" s="15" t="s">
        <v>30486</v>
      </c>
    </row>
    <row r="5637" spans="1:18" ht="17" customHeight="1" x14ac:dyDescent="0.15">
      <c r="A5637" s="11" t="s">
        <v>30503</v>
      </c>
      <c r="B5637" s="1" t="s">
        <v>30504</v>
      </c>
      <c r="C5637" s="11" t="s">
        <v>30505</v>
      </c>
      <c r="D5637" s="11" t="s">
        <v>30505</v>
      </c>
      <c r="E5637" s="11" t="s">
        <v>30506</v>
      </c>
      <c r="F5637" s="11" t="s">
        <v>30507</v>
      </c>
      <c r="G5637" s="11" t="s">
        <v>30508</v>
      </c>
      <c r="H5637" s="11" t="s">
        <v>30509</v>
      </c>
      <c r="I5637" s="11" t="str">
        <f>HYPERLINK("http://www.manifatturacbm.it/","www.manifatturacbm.it")</f>
        <v>www.manifatturacbm.it</v>
      </c>
      <c r="J5637" s="14" t="s">
        <v>30486</v>
      </c>
      <c r="K5637" s="14" t="s">
        <v>30486</v>
      </c>
      <c r="L5637" s="16" t="s">
        <v>30486</v>
      </c>
      <c r="M5637" s="14" t="s">
        <v>30486</v>
      </c>
      <c r="N5637" s="14" t="s">
        <v>30486</v>
      </c>
      <c r="O5637" s="14" t="s">
        <v>30486</v>
      </c>
      <c r="P5637" s="14" t="s">
        <v>30486</v>
      </c>
      <c r="Q5637" s="14" t="s">
        <v>30486</v>
      </c>
      <c r="R5637" s="14" t="s">
        <v>30486</v>
      </c>
    </row>
    <row r="5638" spans="1:18" ht="43" customHeight="1" x14ac:dyDescent="0.15">
      <c r="A5638" s="8" t="s">
        <v>30510</v>
      </c>
      <c r="B5638" s="9" t="s">
        <v>30511</v>
      </c>
      <c r="C5638" s="8" t="s">
        <v>30512</v>
      </c>
      <c r="D5638" s="8" t="s">
        <v>30512</v>
      </c>
      <c r="E5638" s="8" t="s">
        <v>30513</v>
      </c>
      <c r="F5638" s="8" t="s">
        <v>30507</v>
      </c>
      <c r="G5638" s="8" t="s">
        <v>30514</v>
      </c>
      <c r="H5638" s="8" t="s">
        <v>30515</v>
      </c>
      <c r="I5638" s="8" t="str">
        <f>HYPERLINK("http://www.valeri1950.it/","www.valeri1950.it")</f>
        <v>www.valeri1950.it</v>
      </c>
      <c r="J5638" s="10">
        <v>0</v>
      </c>
      <c r="K5638" s="10">
        <v>0</v>
      </c>
      <c r="L5638" s="15" t="s">
        <v>30486</v>
      </c>
      <c r="M5638" s="10">
        <v>-0.69299999999999995</v>
      </c>
      <c r="N5638" s="10">
        <v>-0.69299999999999995</v>
      </c>
      <c r="O5638" s="15" t="s">
        <v>30486</v>
      </c>
      <c r="P5638" s="15" t="s">
        <v>30486</v>
      </c>
      <c r="Q5638" s="15" t="s">
        <v>30486</v>
      </c>
      <c r="R5638" s="15" t="s">
        <v>30486</v>
      </c>
    </row>
    <row r="5639" spans="1:18" ht="43" customHeight="1" x14ac:dyDescent="0.15">
      <c r="A5639" s="11" t="s">
        <v>30516</v>
      </c>
      <c r="B5639" s="1" t="s">
        <v>30517</v>
      </c>
      <c r="C5639" s="11" t="s">
        <v>30518</v>
      </c>
      <c r="D5639" s="11" t="s">
        <v>30518</v>
      </c>
      <c r="E5639" s="11" t="s">
        <v>30519</v>
      </c>
      <c r="F5639" s="11" t="s">
        <v>30520</v>
      </c>
      <c r="G5639" s="11" t="s">
        <v>30514</v>
      </c>
      <c r="H5639" s="11" t="s">
        <v>30515</v>
      </c>
      <c r="I5639" s="11" t="str">
        <f>HYPERLINK("http://lefrattesi.it/","lefrattesi.it")</f>
        <v>lefrattesi.it</v>
      </c>
      <c r="J5639" s="14" t="s">
        <v>30486</v>
      </c>
      <c r="K5639" s="14" t="s">
        <v>30486</v>
      </c>
      <c r="L5639" s="16" t="s">
        <v>30486</v>
      </c>
      <c r="M5639" s="14" t="s">
        <v>30486</v>
      </c>
      <c r="N5639" s="14" t="s">
        <v>30486</v>
      </c>
      <c r="O5639" s="14" t="s">
        <v>30486</v>
      </c>
      <c r="P5639" s="14" t="s">
        <v>30486</v>
      </c>
      <c r="Q5639" s="14" t="s">
        <v>30486</v>
      </c>
      <c r="R5639" s="14" t="s">
        <v>30486</v>
      </c>
    </row>
    <row r="5640" spans="1:18" ht="17" customHeight="1" x14ac:dyDescent="0.15">
      <c r="A5640" s="8" t="s">
        <v>30521</v>
      </c>
      <c r="B5640" s="9" t="s">
        <v>30522</v>
      </c>
      <c r="C5640" s="8" t="s">
        <v>30523</v>
      </c>
      <c r="D5640" s="8" t="s">
        <v>30523</v>
      </c>
      <c r="E5640" s="8" t="s">
        <v>30524</v>
      </c>
      <c r="F5640" s="8" t="s">
        <v>30525</v>
      </c>
      <c r="G5640" s="8" t="s">
        <v>30514</v>
      </c>
      <c r="H5640" s="8" t="s">
        <v>30515</v>
      </c>
      <c r="I5640" s="8" t="str">
        <f>HYPERLINK("http://www.bmhunting.it/","www.bmhunting.it")</f>
        <v>www.bmhunting.it</v>
      </c>
      <c r="J5640" s="15" t="s">
        <v>30486</v>
      </c>
      <c r="K5640" s="15" t="s">
        <v>30486</v>
      </c>
      <c r="L5640" s="15" t="s">
        <v>30486</v>
      </c>
      <c r="M5640" s="15" t="s">
        <v>30486</v>
      </c>
      <c r="N5640" s="15" t="s">
        <v>30486</v>
      </c>
      <c r="O5640" s="15" t="s">
        <v>30486</v>
      </c>
      <c r="P5640" s="15" t="s">
        <v>30486</v>
      </c>
      <c r="Q5640" s="15" t="s">
        <v>30486</v>
      </c>
      <c r="R5640" s="15" t="s">
        <v>30486</v>
      </c>
    </row>
    <row r="5641" spans="1:18" ht="17" customHeight="1" x14ac:dyDescent="0.15">
      <c r="A5641" s="11" t="s">
        <v>30526</v>
      </c>
      <c r="B5641" s="1" t="s">
        <v>30527</v>
      </c>
      <c r="C5641" s="11" t="s">
        <v>30528</v>
      </c>
      <c r="D5641" s="11" t="s">
        <v>30528</v>
      </c>
      <c r="E5641" s="11" t="s">
        <v>30529</v>
      </c>
      <c r="F5641" s="11" t="s">
        <v>30483</v>
      </c>
      <c r="G5641" s="11" t="s">
        <v>30514</v>
      </c>
      <c r="H5641" s="11" t="s">
        <v>30515</v>
      </c>
      <c r="I5641" s="11" t="str">
        <f>HYPERLINK("http://www.paen.it/","www.paen.it")</f>
        <v>www.paen.it</v>
      </c>
      <c r="J5641" s="12">
        <v>0</v>
      </c>
      <c r="K5641" s="14" t="s">
        <v>30486</v>
      </c>
      <c r="L5641" s="16" t="s">
        <v>30486</v>
      </c>
      <c r="M5641" s="12">
        <v>0</v>
      </c>
      <c r="N5641" s="14" t="s">
        <v>30486</v>
      </c>
      <c r="O5641" s="14" t="s">
        <v>30486</v>
      </c>
      <c r="P5641" s="12">
        <v>0</v>
      </c>
      <c r="Q5641" s="14" t="s">
        <v>30486</v>
      </c>
      <c r="R5641" s="14" t="s">
        <v>30486</v>
      </c>
    </row>
    <row r="5642" spans="1:18" ht="29.5" customHeight="1" x14ac:dyDescent="0.15">
      <c r="A5642" s="8" t="s">
        <v>30530</v>
      </c>
      <c r="B5642" s="9" t="s">
        <v>30531</v>
      </c>
      <c r="C5642" s="8" t="s">
        <v>30532</v>
      </c>
      <c r="D5642" s="8" t="s">
        <v>30532</v>
      </c>
      <c r="E5642" s="8" t="s">
        <v>30533</v>
      </c>
      <c r="F5642" s="8" t="s">
        <v>30483</v>
      </c>
      <c r="G5642" s="8" t="s">
        <v>30534</v>
      </c>
      <c r="H5642" s="8" t="s">
        <v>30509</v>
      </c>
      <c r="I5642" s="8" t="str">
        <f>HYPERLINK("http://noellmaggini.it/","noellmaggini.it")</f>
        <v>noellmaggini.it</v>
      </c>
      <c r="J5642" s="10">
        <v>0</v>
      </c>
      <c r="K5642" s="10">
        <v>0</v>
      </c>
      <c r="L5642" s="15" t="s">
        <v>30486</v>
      </c>
      <c r="M5642" s="10">
        <v>-3.7250000000000001</v>
      </c>
      <c r="N5642" s="10">
        <v>-3.7250000000000001</v>
      </c>
      <c r="O5642" s="15" t="s">
        <v>30486</v>
      </c>
      <c r="P5642" s="15" t="s">
        <v>30486</v>
      </c>
      <c r="Q5642" s="15" t="s">
        <v>30486</v>
      </c>
      <c r="R5642" s="15" t="s">
        <v>30486</v>
      </c>
    </row>
    <row r="5643" spans="1:18" ht="17" customHeight="1" x14ac:dyDescent="0.15">
      <c r="A5643" s="11" t="s">
        <v>30535</v>
      </c>
      <c r="B5643" s="1" t="s">
        <v>30536</v>
      </c>
      <c r="C5643" s="11" t="s">
        <v>30537</v>
      </c>
      <c r="D5643" s="11" t="s">
        <v>30537</v>
      </c>
      <c r="E5643" s="11" t="s">
        <v>30538</v>
      </c>
      <c r="F5643" s="11" t="s">
        <v>30483</v>
      </c>
      <c r="G5643" s="11" t="s">
        <v>30534</v>
      </c>
      <c r="H5643" s="11" t="s">
        <v>30509</v>
      </c>
      <c r="I5643" s="11" t="str">
        <f>HYPERLINK("http://monobistudio.com/","monobistudio.com")</f>
        <v>monobistudio.com</v>
      </c>
      <c r="J5643" s="12">
        <v>0</v>
      </c>
      <c r="K5643" s="12">
        <v>0</v>
      </c>
      <c r="L5643" s="16" t="s">
        <v>30486</v>
      </c>
      <c r="M5643" s="12">
        <v>-10.048</v>
      </c>
      <c r="N5643" s="12">
        <v>-10.048</v>
      </c>
      <c r="O5643" s="14" t="s">
        <v>30486</v>
      </c>
      <c r="P5643" s="12">
        <v>0</v>
      </c>
      <c r="Q5643" s="12">
        <v>0</v>
      </c>
      <c r="R5643" s="14" t="s">
        <v>30486</v>
      </c>
    </row>
    <row r="5644" spans="1:18" ht="17" customHeight="1" x14ac:dyDescent="0.15">
      <c r="A5644" s="8" t="s">
        <v>30539</v>
      </c>
      <c r="B5644" s="9" t="s">
        <v>30540</v>
      </c>
      <c r="C5644" s="8" t="s">
        <v>30541</v>
      </c>
      <c r="D5644" s="8" t="s">
        <v>30541</v>
      </c>
      <c r="E5644" s="8" t="s">
        <v>30542</v>
      </c>
      <c r="F5644" s="8" t="s">
        <v>30543</v>
      </c>
      <c r="G5644" s="8" t="s">
        <v>30534</v>
      </c>
      <c r="H5644" s="8" t="s">
        <v>30509</v>
      </c>
      <c r="I5644" s="8" t="str">
        <f>HYPERLINK("http://www.studiorew.it/","www.studiorew.it")</f>
        <v>www.studiorew.it</v>
      </c>
      <c r="J5644" s="10">
        <v>0</v>
      </c>
      <c r="K5644" s="15" t="s">
        <v>30486</v>
      </c>
      <c r="L5644" s="15" t="s">
        <v>30486</v>
      </c>
      <c r="M5644" s="10">
        <v>-1.6779999999999999</v>
      </c>
      <c r="N5644" s="15" t="s">
        <v>30486</v>
      </c>
      <c r="O5644" s="15" t="s">
        <v>30486</v>
      </c>
      <c r="P5644" s="10">
        <v>0</v>
      </c>
      <c r="Q5644" s="15" t="s">
        <v>30486</v>
      </c>
      <c r="R5644" s="15" t="s">
        <v>30486</v>
      </c>
    </row>
    <row r="5645" spans="1:18" ht="17" customHeight="1" x14ac:dyDescent="0.15">
      <c r="A5645" s="11" t="s">
        <v>30544</v>
      </c>
      <c r="B5645" s="1" t="s">
        <v>30545</v>
      </c>
      <c r="C5645" s="11" t="s">
        <v>30546</v>
      </c>
      <c r="D5645" s="11" t="s">
        <v>30546</v>
      </c>
      <c r="E5645" s="11" t="s">
        <v>30547</v>
      </c>
      <c r="F5645" s="11" t="s">
        <v>30520</v>
      </c>
      <c r="G5645" s="11" t="s">
        <v>30548</v>
      </c>
      <c r="H5645" s="11" t="s">
        <v>30509</v>
      </c>
      <c r="I5645" s="11" t="str">
        <f>HYPERLINK("http://www.danimarc.it/","www.danimarc.it")</f>
        <v>www.danimarc.it</v>
      </c>
      <c r="J5645" s="14" t="s">
        <v>30486</v>
      </c>
      <c r="K5645" s="14" t="s">
        <v>30486</v>
      </c>
      <c r="L5645" s="16" t="s">
        <v>30486</v>
      </c>
      <c r="M5645" s="14" t="s">
        <v>30486</v>
      </c>
      <c r="N5645" s="14" t="s">
        <v>30486</v>
      </c>
      <c r="O5645" s="14" t="s">
        <v>30486</v>
      </c>
      <c r="P5645" s="14" t="s">
        <v>30486</v>
      </c>
      <c r="Q5645" s="14" t="s">
        <v>30486</v>
      </c>
      <c r="R5645" s="14" t="s">
        <v>30486</v>
      </c>
    </row>
    <row r="5646" spans="1:18" ht="29.5" customHeight="1" x14ac:dyDescent="0.15">
      <c r="A5646" s="8" t="s">
        <v>30549</v>
      </c>
      <c r="B5646" s="9" t="s">
        <v>30550</v>
      </c>
      <c r="C5646" s="8" t="s">
        <v>30551</v>
      </c>
      <c r="D5646" s="8" t="s">
        <v>30551</v>
      </c>
      <c r="E5646" s="8" t="s">
        <v>30552</v>
      </c>
      <c r="F5646" s="8" t="s">
        <v>30520</v>
      </c>
      <c r="G5646" s="8" t="s">
        <v>30548</v>
      </c>
      <c r="H5646" s="8" t="s">
        <v>30509</v>
      </c>
      <c r="I5646" s="8" t="str">
        <f>HYPERLINK("http://www.maruska.it/","www.maruska.it")</f>
        <v>www.maruska.it</v>
      </c>
      <c r="J5646" s="15" t="s">
        <v>30486</v>
      </c>
      <c r="K5646" s="15" t="s">
        <v>30486</v>
      </c>
      <c r="L5646" s="15" t="s">
        <v>30486</v>
      </c>
      <c r="M5646" s="15" t="s">
        <v>30486</v>
      </c>
      <c r="N5646" s="15" t="s">
        <v>30486</v>
      </c>
      <c r="O5646" s="15" t="s">
        <v>30486</v>
      </c>
      <c r="P5646" s="15" t="s">
        <v>30486</v>
      </c>
      <c r="Q5646" s="15" t="s">
        <v>30486</v>
      </c>
      <c r="R5646" s="15" t="s">
        <v>30486</v>
      </c>
    </row>
    <row r="5647" spans="1:18" ht="43" customHeight="1" x14ac:dyDescent="0.15">
      <c r="A5647" s="11" t="s">
        <v>30553</v>
      </c>
      <c r="B5647" s="1" t="s">
        <v>30554</v>
      </c>
      <c r="C5647" s="2"/>
      <c r="D5647" s="11" t="s">
        <v>30555</v>
      </c>
      <c r="E5647" s="11" t="s">
        <v>30556</v>
      </c>
      <c r="F5647" s="11" t="s">
        <v>30502</v>
      </c>
      <c r="G5647" s="2"/>
      <c r="H5647" s="2"/>
      <c r="I5647" s="11" t="str">
        <f>HYPERLINK("http://charlesjourdan.com/","charlesjourdan.com")</f>
        <v>charlesjourdan.com</v>
      </c>
      <c r="J5647" s="14" t="s">
        <v>30486</v>
      </c>
      <c r="K5647" s="14" t="s">
        <v>30486</v>
      </c>
      <c r="L5647" s="16" t="s">
        <v>30486</v>
      </c>
      <c r="M5647" s="14" t="s">
        <v>30486</v>
      </c>
      <c r="N5647" s="14" t="s">
        <v>30486</v>
      </c>
      <c r="O5647" s="14" t="s">
        <v>30486</v>
      </c>
      <c r="P5647" s="14" t="s">
        <v>30486</v>
      </c>
      <c r="Q5647" s="14" t="s">
        <v>30486</v>
      </c>
      <c r="R5647" s="14" t="s">
        <v>30486</v>
      </c>
    </row>
    <row r="5648" spans="1:18" ht="17" customHeight="1" x14ac:dyDescent="0.15">
      <c r="A5648" s="8" t="s">
        <v>30557</v>
      </c>
      <c r="B5648" s="9" t="s">
        <v>30558</v>
      </c>
      <c r="C5648" s="8" t="s">
        <v>30559</v>
      </c>
      <c r="D5648" s="8" t="s">
        <v>30559</v>
      </c>
      <c r="E5648" s="8" t="s">
        <v>30560</v>
      </c>
      <c r="F5648" s="8" t="s">
        <v>30561</v>
      </c>
      <c r="G5648" s="8" t="s">
        <v>30562</v>
      </c>
      <c r="H5648" s="8" t="s">
        <v>30563</v>
      </c>
      <c r="I5648" s="8" t="str">
        <f>HYPERLINK("http://popbyalessandro.com/","popbyalessandro.com")</f>
        <v>popbyalessandro.com</v>
      </c>
      <c r="J5648" s="15" t="s">
        <v>30486</v>
      </c>
      <c r="K5648" s="15" t="s">
        <v>30486</v>
      </c>
      <c r="L5648" s="15" t="s">
        <v>30486</v>
      </c>
      <c r="M5648" s="15" t="s">
        <v>30486</v>
      </c>
      <c r="N5648" s="15" t="s">
        <v>30486</v>
      </c>
      <c r="O5648" s="15" t="s">
        <v>30486</v>
      </c>
      <c r="P5648" s="15" t="s">
        <v>30486</v>
      </c>
      <c r="Q5648" s="15" t="s">
        <v>30486</v>
      </c>
      <c r="R5648" s="15" t="s">
        <v>30486</v>
      </c>
    </row>
    <row r="5649" spans="1:18" ht="17" customHeight="1" x14ac:dyDescent="0.15">
      <c r="A5649" s="11" t="s">
        <v>30564</v>
      </c>
      <c r="B5649" s="1" t="s">
        <v>30565</v>
      </c>
      <c r="C5649" s="11" t="s">
        <v>30566</v>
      </c>
      <c r="D5649" s="11" t="s">
        <v>30566</v>
      </c>
      <c r="E5649" s="11" t="s">
        <v>30567</v>
      </c>
      <c r="F5649" s="11" t="s">
        <v>30507</v>
      </c>
      <c r="G5649" s="11" t="s">
        <v>30562</v>
      </c>
      <c r="H5649" s="11" t="s">
        <v>30563</v>
      </c>
      <c r="I5649" s="11" t="str">
        <f>HYPERLINK("http://www.hemmond.com/","www.hemmond.com")</f>
        <v>www.hemmond.com</v>
      </c>
      <c r="J5649" s="12">
        <v>0</v>
      </c>
      <c r="K5649" s="14" t="s">
        <v>30486</v>
      </c>
      <c r="L5649" s="16" t="s">
        <v>30486</v>
      </c>
      <c r="M5649" s="12">
        <v>0.55400000000000005</v>
      </c>
      <c r="N5649" s="14" t="s">
        <v>30486</v>
      </c>
      <c r="O5649" s="14" t="s">
        <v>30486</v>
      </c>
      <c r="P5649" s="12">
        <v>0</v>
      </c>
      <c r="Q5649" s="14" t="s">
        <v>30486</v>
      </c>
      <c r="R5649" s="14" t="s">
        <v>30486</v>
      </c>
    </row>
    <row r="5650" spans="1:18" ht="17" customHeight="1" x14ac:dyDescent="0.15">
      <c r="A5650" s="8" t="s">
        <v>30568</v>
      </c>
      <c r="B5650" s="9" t="s">
        <v>30569</v>
      </c>
      <c r="C5650" s="8" t="s">
        <v>30570</v>
      </c>
      <c r="D5650" s="8" t="s">
        <v>30570</v>
      </c>
      <c r="E5650" s="8" t="s">
        <v>30571</v>
      </c>
      <c r="F5650" s="8" t="s">
        <v>30572</v>
      </c>
      <c r="G5650" s="8" t="s">
        <v>30562</v>
      </c>
      <c r="H5650" s="8" t="s">
        <v>30563</v>
      </c>
      <c r="I5650" s="8" t="str">
        <f>HYPERLINK("http://www.maglieriacashmereumbria.it/","www.maglieriacashmereumbria.it")</f>
        <v>www.maglieriacashmereumbria.it</v>
      </c>
      <c r="J5650" s="10">
        <v>0</v>
      </c>
      <c r="K5650" s="15" t="s">
        <v>30486</v>
      </c>
      <c r="L5650" s="15" t="s">
        <v>30486</v>
      </c>
      <c r="M5650" s="10">
        <v>-8.782</v>
      </c>
      <c r="N5650" s="15" t="s">
        <v>30486</v>
      </c>
      <c r="O5650" s="15" t="s">
        <v>30486</v>
      </c>
      <c r="P5650" s="10">
        <v>0</v>
      </c>
      <c r="Q5650" s="15" t="s">
        <v>30486</v>
      </c>
      <c r="R5650" s="15" t="s">
        <v>30486</v>
      </c>
    </row>
    <row r="5651" spans="1:18" ht="17" customHeight="1" x14ac:dyDescent="0.15">
      <c r="A5651" s="11" t="s">
        <v>30573</v>
      </c>
      <c r="B5651" s="1" t="s">
        <v>30574</v>
      </c>
      <c r="C5651" s="11" t="s">
        <v>30575</v>
      </c>
      <c r="D5651" s="11" t="s">
        <v>30575</v>
      </c>
      <c r="E5651" s="11" t="s">
        <v>30576</v>
      </c>
      <c r="F5651" s="11" t="s">
        <v>30577</v>
      </c>
      <c r="G5651" s="11" t="s">
        <v>30578</v>
      </c>
      <c r="H5651" s="11" t="s">
        <v>30579</v>
      </c>
      <c r="I5651" s="11" t="str">
        <f>HYPERLINK("http://www.cagiabitidalavoro.it/","www.cagiabitidalavoro.it")</f>
        <v>www.cagiabitidalavoro.it</v>
      </c>
      <c r="J5651" s="14" t="s">
        <v>30486</v>
      </c>
      <c r="K5651" s="14" t="s">
        <v>30486</v>
      </c>
      <c r="L5651" s="16" t="s">
        <v>30486</v>
      </c>
      <c r="M5651" s="14" t="s">
        <v>30486</v>
      </c>
      <c r="N5651" s="14" t="s">
        <v>30486</v>
      </c>
      <c r="O5651" s="14" t="s">
        <v>30486</v>
      </c>
      <c r="P5651" s="14" t="s">
        <v>30486</v>
      </c>
      <c r="Q5651" s="14" t="s">
        <v>30486</v>
      </c>
      <c r="R5651" s="14" t="s">
        <v>30486</v>
      </c>
    </row>
    <row r="5652" spans="1:18" ht="43" customHeight="1" x14ac:dyDescent="0.15">
      <c r="A5652" s="8" t="s">
        <v>30580</v>
      </c>
      <c r="B5652" s="9" t="s">
        <v>30581</v>
      </c>
      <c r="C5652" s="8" t="s">
        <v>30582</v>
      </c>
      <c r="D5652" s="8" t="s">
        <v>30582</v>
      </c>
      <c r="E5652" s="8" t="s">
        <v>30583</v>
      </c>
      <c r="F5652" s="8" t="s">
        <v>30561</v>
      </c>
      <c r="G5652" s="8" t="s">
        <v>30578</v>
      </c>
      <c r="H5652" s="8" t="s">
        <v>30579</v>
      </c>
      <c r="I5652" s="8" t="str">
        <f>HYPERLINK("http://www.shirtes.com/","www.shirtes.com")</f>
        <v>www.shirtes.com</v>
      </c>
      <c r="J5652" s="10">
        <v>0</v>
      </c>
      <c r="K5652" s="15" t="s">
        <v>30486</v>
      </c>
      <c r="L5652" s="15" t="s">
        <v>30486</v>
      </c>
      <c r="M5652" s="10">
        <v>-3.1320000000000001</v>
      </c>
      <c r="N5652" s="15" t="s">
        <v>30486</v>
      </c>
      <c r="O5652" s="15" t="s">
        <v>30486</v>
      </c>
      <c r="P5652" s="10">
        <v>0</v>
      </c>
      <c r="Q5652" s="15" t="s">
        <v>30486</v>
      </c>
      <c r="R5652" s="15" t="s">
        <v>30486</v>
      </c>
    </row>
    <row r="5653" spans="1:18" ht="17" customHeight="1" x14ac:dyDescent="0.15">
      <c r="A5653" s="11" t="s">
        <v>30584</v>
      </c>
      <c r="B5653" s="1" t="s">
        <v>30585</v>
      </c>
      <c r="C5653" s="11" t="s">
        <v>30586</v>
      </c>
      <c r="D5653" s="11" t="s">
        <v>30586</v>
      </c>
      <c r="E5653" s="11" t="s">
        <v>30587</v>
      </c>
      <c r="F5653" s="11" t="s">
        <v>30491</v>
      </c>
      <c r="G5653" s="11" t="s">
        <v>30588</v>
      </c>
      <c r="H5653" s="11" t="s">
        <v>30589</v>
      </c>
      <c r="I5653" s="11" t="str">
        <f>HYPERLINK("http://my-bagsrl.onweb.it/","my-bagsrl.onweb.it")</f>
        <v>my-bagsrl.onweb.it</v>
      </c>
      <c r="J5653" s="12">
        <v>0</v>
      </c>
      <c r="K5653" s="14" t="s">
        <v>30486</v>
      </c>
      <c r="L5653" s="16" t="s">
        <v>30486</v>
      </c>
      <c r="M5653" s="12">
        <v>-1.7310000000000001</v>
      </c>
      <c r="N5653" s="14" t="s">
        <v>30486</v>
      </c>
      <c r="O5653" s="14" t="s">
        <v>30486</v>
      </c>
      <c r="P5653" s="12">
        <v>0</v>
      </c>
      <c r="Q5653" s="14" t="s">
        <v>30486</v>
      </c>
      <c r="R5653" s="14" t="s">
        <v>30486</v>
      </c>
    </row>
    <row r="5654" spans="1:18" ht="17" customHeight="1" x14ac:dyDescent="0.15">
      <c r="A5654" s="8" t="s">
        <v>30590</v>
      </c>
      <c r="B5654" s="9" t="s">
        <v>30591</v>
      </c>
      <c r="C5654" s="8" t="s">
        <v>30592</v>
      </c>
      <c r="D5654" s="8" t="s">
        <v>30592</v>
      </c>
      <c r="E5654" s="8" t="s">
        <v>30593</v>
      </c>
      <c r="F5654" s="8" t="s">
        <v>30543</v>
      </c>
      <c r="G5654" s="8" t="s">
        <v>30588</v>
      </c>
      <c r="H5654" s="8" t="s">
        <v>30589</v>
      </c>
      <c r="I5654" s="8" t="str">
        <f>HYPERLINK("http://www.pratodellavalle.eu/","www.pratodellavalle.eu")</f>
        <v>www.pratodellavalle.eu</v>
      </c>
      <c r="J5654" s="15" t="s">
        <v>30486</v>
      </c>
      <c r="K5654" s="15" t="s">
        <v>30486</v>
      </c>
      <c r="L5654" s="15" t="s">
        <v>30486</v>
      </c>
      <c r="M5654" s="15" t="s">
        <v>30486</v>
      </c>
      <c r="N5654" s="15" t="s">
        <v>30486</v>
      </c>
      <c r="O5654" s="15" t="s">
        <v>30486</v>
      </c>
      <c r="P5654" s="15" t="s">
        <v>30486</v>
      </c>
      <c r="Q5654" s="15" t="s">
        <v>30486</v>
      </c>
      <c r="R5654" s="15" t="s">
        <v>30486</v>
      </c>
    </row>
    <row r="5655" spans="1:18" ht="29.5" customHeight="1" x14ac:dyDescent="0.15">
      <c r="A5655" s="11" t="s">
        <v>30594</v>
      </c>
      <c r="B5655" s="1" t="s">
        <v>30595</v>
      </c>
      <c r="C5655" s="11" t="s">
        <v>30596</v>
      </c>
      <c r="D5655" s="11" t="s">
        <v>30596</v>
      </c>
      <c r="E5655" s="11" t="s">
        <v>30597</v>
      </c>
      <c r="F5655" s="11" t="s">
        <v>30483</v>
      </c>
      <c r="G5655" s="11" t="s">
        <v>30588</v>
      </c>
      <c r="H5655" s="11" t="s">
        <v>30589</v>
      </c>
      <c r="I5655" s="11" t="str">
        <f>HYPERLINK("http://www.creazionibrigitte.it/","http://www.creazionibrigitte.it")</f>
        <v>http://www.creazionibrigitte.it</v>
      </c>
      <c r="J5655" s="12">
        <v>0</v>
      </c>
      <c r="K5655" s="14" t="s">
        <v>30486</v>
      </c>
      <c r="L5655" s="16" t="s">
        <v>30486</v>
      </c>
      <c r="M5655" s="12">
        <v>593.01499999999999</v>
      </c>
      <c r="N5655" s="14" t="s">
        <v>30486</v>
      </c>
      <c r="O5655" s="14" t="s">
        <v>30486</v>
      </c>
      <c r="P5655" s="12">
        <v>0</v>
      </c>
      <c r="Q5655" s="14" t="s">
        <v>30486</v>
      </c>
      <c r="R5655" s="14" t="s">
        <v>30486</v>
      </c>
    </row>
    <row r="5656" spans="1:18" ht="29.5" customHeight="1" x14ac:dyDescent="0.15">
      <c r="A5656" s="8" t="s">
        <v>30598</v>
      </c>
      <c r="B5656" s="9" t="s">
        <v>30599</v>
      </c>
      <c r="C5656" s="8" t="s">
        <v>30600</v>
      </c>
      <c r="D5656" s="8" t="s">
        <v>30600</v>
      </c>
      <c r="E5656" s="8" t="s">
        <v>30601</v>
      </c>
      <c r="F5656" s="8" t="s">
        <v>30525</v>
      </c>
      <c r="G5656" s="8" t="s">
        <v>30602</v>
      </c>
      <c r="H5656" s="8" t="s">
        <v>30602</v>
      </c>
      <c r="I5656" s="8" t="str">
        <f>HYPERLINK("http://www.castellanasrl.it/","www.castellanasrl.it")</f>
        <v>www.castellanasrl.it</v>
      </c>
      <c r="J5656" s="10">
        <v>0</v>
      </c>
      <c r="K5656" s="15" t="s">
        <v>30486</v>
      </c>
      <c r="L5656" s="15" t="s">
        <v>30486</v>
      </c>
      <c r="M5656" s="10">
        <v>-0.39600000000000002</v>
      </c>
      <c r="N5656" s="15" t="s">
        <v>30486</v>
      </c>
      <c r="O5656" s="15" t="s">
        <v>30486</v>
      </c>
      <c r="P5656" s="10">
        <v>0</v>
      </c>
      <c r="Q5656" s="15" t="s">
        <v>30486</v>
      </c>
      <c r="R5656" s="15" t="s">
        <v>30486</v>
      </c>
    </row>
    <row r="5657" spans="1:18" ht="17" customHeight="1" x14ac:dyDescent="0.15">
      <c r="A5657" s="11" t="s">
        <v>30603</v>
      </c>
      <c r="B5657" s="1" t="s">
        <v>30604</v>
      </c>
      <c r="C5657" s="11" t="s">
        <v>30605</v>
      </c>
      <c r="D5657" s="11" t="s">
        <v>30605</v>
      </c>
      <c r="E5657" s="11" t="s">
        <v>30606</v>
      </c>
      <c r="F5657" s="11" t="s">
        <v>30607</v>
      </c>
      <c r="G5657" s="11" t="s">
        <v>30608</v>
      </c>
      <c r="H5657" s="11" t="s">
        <v>30609</v>
      </c>
      <c r="I5657" s="11" t="str">
        <f>HYPERLINK("http://www.eternonapoli.com/","www.eternonapoli.com")</f>
        <v>www.eternonapoli.com</v>
      </c>
      <c r="J5657" s="14" t="s">
        <v>30486</v>
      </c>
      <c r="K5657" s="14" t="s">
        <v>30486</v>
      </c>
      <c r="L5657" s="16" t="s">
        <v>30486</v>
      </c>
      <c r="M5657" s="14" t="s">
        <v>30486</v>
      </c>
      <c r="N5657" s="14" t="s">
        <v>30486</v>
      </c>
      <c r="O5657" s="14" t="s">
        <v>30486</v>
      </c>
      <c r="P5657" s="14" t="s">
        <v>30486</v>
      </c>
      <c r="Q5657" s="14" t="s">
        <v>30486</v>
      </c>
      <c r="R5657" s="14" t="s">
        <v>30486</v>
      </c>
    </row>
    <row r="5658" spans="1:18" ht="17" customHeight="1" x14ac:dyDescent="0.15">
      <c r="A5658" s="8" t="s">
        <v>30610</v>
      </c>
      <c r="B5658" s="9" t="s">
        <v>30611</v>
      </c>
      <c r="C5658" s="8" t="s">
        <v>30612</v>
      </c>
      <c r="D5658" s="8" t="s">
        <v>30612</v>
      </c>
      <c r="E5658" s="8" t="s">
        <v>30613</v>
      </c>
      <c r="F5658" s="8" t="s">
        <v>30483</v>
      </c>
      <c r="G5658" s="8" t="s">
        <v>30608</v>
      </c>
      <c r="H5658" s="8" t="s">
        <v>30609</v>
      </c>
      <c r="I5658" s="8" t="str">
        <f>HYPERLINK("http://www.rosettamodapositano.com/","www.rosettamodapositano.com")</f>
        <v>www.rosettamodapositano.com</v>
      </c>
      <c r="J5658" s="15" t="s">
        <v>30486</v>
      </c>
      <c r="K5658" s="15" t="s">
        <v>30486</v>
      </c>
      <c r="L5658" s="15" t="s">
        <v>30486</v>
      </c>
      <c r="M5658" s="15" t="s">
        <v>30486</v>
      </c>
      <c r="N5658" s="15" t="s">
        <v>30486</v>
      </c>
      <c r="O5658" s="15" t="s">
        <v>30486</v>
      </c>
      <c r="P5658" s="15" t="s">
        <v>30486</v>
      </c>
      <c r="Q5658" s="15" t="s">
        <v>30486</v>
      </c>
      <c r="R5658" s="15" t="s">
        <v>30486</v>
      </c>
    </row>
    <row r="5659" spans="1:18" ht="17" customHeight="1" x14ac:dyDescent="0.15">
      <c r="A5659" s="11" t="s">
        <v>30614</v>
      </c>
      <c r="B5659" s="1" t="s">
        <v>30615</v>
      </c>
      <c r="C5659" s="11" t="s">
        <v>30616</v>
      </c>
      <c r="D5659" s="11" t="s">
        <v>30616</v>
      </c>
      <c r="E5659" s="11" t="s">
        <v>30617</v>
      </c>
      <c r="F5659" s="11" t="s">
        <v>30520</v>
      </c>
      <c r="G5659" s="11" t="s">
        <v>30608</v>
      </c>
      <c r="H5659" s="11" t="s">
        <v>30609</v>
      </c>
      <c r="I5659" s="11" t="str">
        <f>HYPERLINK("http://switchitstyle.com/","switchitstyle.com")</f>
        <v>switchitstyle.com</v>
      </c>
      <c r="J5659" s="12">
        <v>0</v>
      </c>
      <c r="K5659" s="14" t="s">
        <v>30486</v>
      </c>
      <c r="L5659" s="16" t="s">
        <v>30486</v>
      </c>
      <c r="M5659" s="12">
        <v>-0.88800000000000001</v>
      </c>
      <c r="N5659" s="14" t="s">
        <v>30486</v>
      </c>
      <c r="O5659" s="14" t="s">
        <v>30486</v>
      </c>
      <c r="P5659" s="12">
        <v>0</v>
      </c>
      <c r="Q5659" s="14" t="s">
        <v>30486</v>
      </c>
      <c r="R5659" s="14" t="s">
        <v>30486</v>
      </c>
    </row>
    <row r="5660" spans="1:18" ht="17" customHeight="1" x14ac:dyDescent="0.15">
      <c r="A5660" s="8" t="s">
        <v>30618</v>
      </c>
      <c r="B5660" s="9" t="s">
        <v>30619</v>
      </c>
      <c r="C5660" s="8" t="s">
        <v>30620</v>
      </c>
      <c r="D5660" s="8" t="s">
        <v>30620</v>
      </c>
      <c r="E5660" s="8" t="s">
        <v>30621</v>
      </c>
      <c r="F5660" s="8" t="s">
        <v>30507</v>
      </c>
      <c r="G5660" s="17"/>
      <c r="H5660" s="17"/>
      <c r="I5660" s="8" t="str">
        <f>HYPERLINK("http://chabadabada.com/","chabadabada.com")</f>
        <v>chabadabada.com</v>
      </c>
      <c r="J5660" s="15" t="s">
        <v>30486</v>
      </c>
      <c r="K5660" s="15" t="s">
        <v>30486</v>
      </c>
      <c r="L5660" s="15" t="s">
        <v>30486</v>
      </c>
      <c r="M5660" s="15" t="s">
        <v>30486</v>
      </c>
      <c r="N5660" s="15" t="s">
        <v>30486</v>
      </c>
      <c r="O5660" s="15" t="s">
        <v>30486</v>
      </c>
      <c r="P5660" s="15" t="s">
        <v>30486</v>
      </c>
      <c r="Q5660" s="15" t="s">
        <v>30486</v>
      </c>
      <c r="R5660" s="15" t="s">
        <v>30486</v>
      </c>
    </row>
    <row r="5661" spans="1:18" ht="17" customHeight="1" x14ac:dyDescent="0.15">
      <c r="A5661" s="11" t="s">
        <v>30622</v>
      </c>
      <c r="B5661" s="1" t="s">
        <v>30623</v>
      </c>
      <c r="C5661" s="11" t="s">
        <v>30624</v>
      </c>
      <c r="D5661" s="11" t="s">
        <v>30624</v>
      </c>
      <c r="E5661" s="11" t="s">
        <v>30625</v>
      </c>
      <c r="F5661" s="11" t="s">
        <v>30483</v>
      </c>
      <c r="G5661" s="11" t="s">
        <v>30608</v>
      </c>
      <c r="H5661" s="11" t="s">
        <v>30609</v>
      </c>
      <c r="I5661" s="11" t="str">
        <f>HYPERLINK("http://sartoriapelliccia.it/","sartoriapelliccia.it")</f>
        <v>sartoriapelliccia.it</v>
      </c>
      <c r="J5661" s="14" t="s">
        <v>30486</v>
      </c>
      <c r="K5661" s="14" t="s">
        <v>30486</v>
      </c>
      <c r="L5661" s="16" t="s">
        <v>30486</v>
      </c>
      <c r="M5661" s="14" t="s">
        <v>30486</v>
      </c>
      <c r="N5661" s="14" t="s">
        <v>30486</v>
      </c>
      <c r="O5661" s="14" t="s">
        <v>30486</v>
      </c>
      <c r="P5661" s="14" t="s">
        <v>30486</v>
      </c>
      <c r="Q5661" s="14" t="s">
        <v>30486</v>
      </c>
      <c r="R5661" s="14" t="s">
        <v>30486</v>
      </c>
    </row>
    <row r="5662" spans="1:18" ht="17" customHeight="1" x14ac:dyDescent="0.15">
      <c r="A5662" s="8" t="s">
        <v>30626</v>
      </c>
      <c r="B5662" s="9" t="s">
        <v>30627</v>
      </c>
      <c r="C5662" s="8" t="s">
        <v>30628</v>
      </c>
      <c r="D5662" s="8" t="s">
        <v>30628</v>
      </c>
      <c r="E5662" s="8" t="s">
        <v>30629</v>
      </c>
      <c r="F5662" s="8" t="s">
        <v>30607</v>
      </c>
      <c r="G5662" s="8" t="s">
        <v>30608</v>
      </c>
      <c r="H5662" s="8" t="s">
        <v>30609</v>
      </c>
      <c r="I5662" s="8" t="str">
        <f>HYPERLINK("http://www.sartoriavisone.it/","www.sartoriavisone.it")</f>
        <v>www.sartoriavisone.it</v>
      </c>
      <c r="J5662" s="15" t="s">
        <v>30486</v>
      </c>
      <c r="K5662" s="15" t="s">
        <v>30486</v>
      </c>
      <c r="L5662" s="15" t="s">
        <v>30486</v>
      </c>
      <c r="M5662" s="15" t="s">
        <v>30486</v>
      </c>
      <c r="N5662" s="15" t="s">
        <v>30486</v>
      </c>
      <c r="O5662" s="15" t="s">
        <v>30486</v>
      </c>
      <c r="P5662" s="15" t="s">
        <v>30486</v>
      </c>
      <c r="Q5662" s="15" t="s">
        <v>30486</v>
      </c>
      <c r="R5662" s="15" t="s">
        <v>30486</v>
      </c>
    </row>
    <row r="5663" spans="1:18" ht="43" customHeight="1" x14ac:dyDescent="0.15">
      <c r="A5663" s="11" t="s">
        <v>30630</v>
      </c>
      <c r="B5663" s="1" t="s">
        <v>30631</v>
      </c>
      <c r="C5663" s="11" t="s">
        <v>30632</v>
      </c>
      <c r="D5663" s="11" t="s">
        <v>30632</v>
      </c>
      <c r="E5663" s="11" t="s">
        <v>30633</v>
      </c>
      <c r="F5663" s="11" t="s">
        <v>30491</v>
      </c>
      <c r="G5663" s="11" t="s">
        <v>30608</v>
      </c>
      <c r="H5663" s="11" t="s">
        <v>30609</v>
      </c>
      <c r="I5663" s="11" t="str">
        <f>HYPERLINK("http://www.barattolorappresentanze.it/","www.barattolorappresentanze.it")</f>
        <v>www.barattolorappresentanze.it</v>
      </c>
      <c r="J5663" s="14" t="s">
        <v>30486</v>
      </c>
      <c r="K5663" s="14" t="s">
        <v>30486</v>
      </c>
      <c r="L5663" s="16" t="s">
        <v>30486</v>
      </c>
      <c r="M5663" s="14" t="s">
        <v>30486</v>
      </c>
      <c r="N5663" s="14" t="s">
        <v>30486</v>
      </c>
      <c r="O5663" s="14" t="s">
        <v>30486</v>
      </c>
      <c r="P5663" s="14" t="s">
        <v>30486</v>
      </c>
      <c r="Q5663" s="14" t="s">
        <v>30486</v>
      </c>
      <c r="R5663" s="14" t="s">
        <v>30486</v>
      </c>
    </row>
    <row r="5664" spans="1:18" ht="17" customHeight="1" x14ac:dyDescent="0.15">
      <c r="A5664" s="8" t="s">
        <v>30634</v>
      </c>
      <c r="B5664" s="9" t="s">
        <v>30635</v>
      </c>
      <c r="C5664" s="8" t="s">
        <v>30636</v>
      </c>
      <c r="D5664" s="8" t="s">
        <v>30636</v>
      </c>
      <c r="E5664" s="8" t="s">
        <v>30637</v>
      </c>
      <c r="F5664" s="8" t="s">
        <v>30507</v>
      </c>
      <c r="G5664" s="8" t="s">
        <v>30608</v>
      </c>
      <c r="H5664" s="8" t="s">
        <v>30609</v>
      </c>
      <c r="I5664" s="8" t="str">
        <f>HYPERLINK("http://valeriamazza.it/","valeriamazza.it")</f>
        <v>valeriamazza.it</v>
      </c>
      <c r="J5664" s="15" t="s">
        <v>30486</v>
      </c>
      <c r="K5664" s="15" t="s">
        <v>30486</v>
      </c>
      <c r="L5664" s="15" t="s">
        <v>30486</v>
      </c>
      <c r="M5664" s="15" t="s">
        <v>30486</v>
      </c>
      <c r="N5664" s="15" t="s">
        <v>30486</v>
      </c>
      <c r="O5664" s="15" t="s">
        <v>30486</v>
      </c>
      <c r="P5664" s="15" t="s">
        <v>30486</v>
      </c>
      <c r="Q5664" s="15" t="s">
        <v>30486</v>
      </c>
      <c r="R5664" s="15" t="s">
        <v>30486</v>
      </c>
    </row>
    <row r="5665" spans="1:18" ht="17" customHeight="1" x14ac:dyDescent="0.15">
      <c r="A5665" s="11" t="s">
        <v>30638</v>
      </c>
      <c r="B5665" s="1" t="s">
        <v>30639</v>
      </c>
      <c r="C5665" s="11" t="s">
        <v>30640</v>
      </c>
      <c r="D5665" s="11" t="s">
        <v>30640</v>
      </c>
      <c r="E5665" s="11" t="s">
        <v>30641</v>
      </c>
      <c r="F5665" s="11" t="s">
        <v>30642</v>
      </c>
      <c r="G5665" s="11" t="s">
        <v>30643</v>
      </c>
      <c r="H5665" s="11" t="s">
        <v>30644</v>
      </c>
      <c r="I5665" s="11" t="str">
        <f>HYPERLINK("http://www.massimolaporta.it/","www.massimolaporta.it")</f>
        <v>www.massimolaporta.it</v>
      </c>
      <c r="J5665" s="12">
        <v>0</v>
      </c>
      <c r="K5665" s="14" t="s">
        <v>30645</v>
      </c>
      <c r="L5665" s="16" t="s">
        <v>30645</v>
      </c>
      <c r="M5665" s="12">
        <v>-0.18099999999999999</v>
      </c>
      <c r="N5665" s="14" t="s">
        <v>30645</v>
      </c>
      <c r="O5665" s="14" t="s">
        <v>30645</v>
      </c>
      <c r="P5665" s="12">
        <v>0</v>
      </c>
      <c r="Q5665" s="14" t="s">
        <v>30645</v>
      </c>
      <c r="R5665" s="14" t="s">
        <v>30645</v>
      </c>
    </row>
    <row r="5666" spans="1:18" ht="17" customHeight="1" x14ac:dyDescent="0.15">
      <c r="A5666" s="8" t="s">
        <v>30646</v>
      </c>
      <c r="B5666" s="9" t="s">
        <v>30647</v>
      </c>
      <c r="C5666" s="8" t="s">
        <v>30648</v>
      </c>
      <c r="D5666" s="8" t="s">
        <v>30648</v>
      </c>
      <c r="E5666" s="8" t="s">
        <v>30649</v>
      </c>
      <c r="F5666" s="8" t="s">
        <v>30650</v>
      </c>
      <c r="G5666" s="8" t="s">
        <v>30643</v>
      </c>
      <c r="H5666" s="8" t="s">
        <v>30644</v>
      </c>
      <c r="I5666" s="8" t="str">
        <f>HYPERLINK("http://www.paolo-rinaldi.com/","www.paolo-rinaldi.com")</f>
        <v>www.paolo-rinaldi.com</v>
      </c>
      <c r="J5666" s="15" t="s">
        <v>30645</v>
      </c>
      <c r="K5666" s="15" t="s">
        <v>30645</v>
      </c>
      <c r="L5666" s="15" t="s">
        <v>30645</v>
      </c>
      <c r="M5666" s="15" t="s">
        <v>30645</v>
      </c>
      <c r="N5666" s="15" t="s">
        <v>30645</v>
      </c>
      <c r="O5666" s="15" t="s">
        <v>30645</v>
      </c>
      <c r="P5666" s="15" t="s">
        <v>30645</v>
      </c>
      <c r="Q5666" s="15" t="s">
        <v>30645</v>
      </c>
      <c r="R5666" s="15" t="s">
        <v>30645</v>
      </c>
    </row>
    <row r="5667" spans="1:18" ht="29.5" customHeight="1" x14ac:dyDescent="0.15">
      <c r="A5667" s="11" t="s">
        <v>30651</v>
      </c>
      <c r="B5667" s="1" t="s">
        <v>30652</v>
      </c>
      <c r="C5667" s="11" t="s">
        <v>30653</v>
      </c>
      <c r="D5667" s="11" t="s">
        <v>30653</v>
      </c>
      <c r="E5667" s="11" t="s">
        <v>30654</v>
      </c>
      <c r="F5667" s="11" t="s">
        <v>30650</v>
      </c>
      <c r="G5667" s="11" t="s">
        <v>30643</v>
      </c>
      <c r="H5667" s="11" t="s">
        <v>30644</v>
      </c>
      <c r="I5667" s="11" t="str">
        <f>HYPERLINK("http://www.scanumaddalena.com/","www.scanumaddalena.com")</f>
        <v>www.scanumaddalena.com</v>
      </c>
      <c r="J5667" s="12">
        <v>0</v>
      </c>
      <c r="K5667" s="12">
        <v>0</v>
      </c>
      <c r="L5667" s="16" t="s">
        <v>30645</v>
      </c>
      <c r="M5667" s="12">
        <v>-1.083</v>
      </c>
      <c r="N5667" s="12">
        <v>-1.083</v>
      </c>
      <c r="O5667" s="14" t="s">
        <v>30645</v>
      </c>
      <c r="P5667" s="12">
        <v>0</v>
      </c>
      <c r="Q5667" s="12">
        <v>0</v>
      </c>
      <c r="R5667" s="14" t="s">
        <v>30645</v>
      </c>
    </row>
    <row r="5668" spans="1:18" ht="17" customHeight="1" x14ac:dyDescent="0.15">
      <c r="A5668" s="8" t="s">
        <v>30655</v>
      </c>
      <c r="B5668" s="9" t="s">
        <v>30656</v>
      </c>
      <c r="C5668" s="8" t="s">
        <v>30657</v>
      </c>
      <c r="D5668" s="8" t="s">
        <v>30657</v>
      </c>
      <c r="E5668" s="8" t="s">
        <v>30658</v>
      </c>
      <c r="F5668" s="8" t="s">
        <v>30642</v>
      </c>
      <c r="G5668" s="8" t="s">
        <v>30643</v>
      </c>
      <c r="H5668" s="8" t="s">
        <v>30644</v>
      </c>
      <c r="I5668" s="8" t="str">
        <f>HYPERLINK("http://www.criggi.com/","http://www.criggi.com")</f>
        <v>http://www.criggi.com</v>
      </c>
      <c r="J5668" s="10">
        <v>0</v>
      </c>
      <c r="K5668" s="15" t="s">
        <v>30645</v>
      </c>
      <c r="L5668" s="15" t="s">
        <v>30645</v>
      </c>
      <c r="M5668" s="10">
        <v>-1.6020000000000001</v>
      </c>
      <c r="N5668" s="15" t="s">
        <v>30645</v>
      </c>
      <c r="O5668" s="15" t="s">
        <v>30645</v>
      </c>
      <c r="P5668" s="10">
        <v>0</v>
      </c>
      <c r="Q5668" s="15" t="s">
        <v>30645</v>
      </c>
      <c r="R5668" s="15" t="s">
        <v>30645</v>
      </c>
    </row>
    <row r="5669" spans="1:18" ht="29.5" customHeight="1" x14ac:dyDescent="0.15">
      <c r="A5669" s="11" t="s">
        <v>30659</v>
      </c>
      <c r="B5669" s="1" t="s">
        <v>30660</v>
      </c>
      <c r="C5669" s="11" t="s">
        <v>30661</v>
      </c>
      <c r="D5669" s="11" t="s">
        <v>30661</v>
      </c>
      <c r="E5669" s="11" t="s">
        <v>30662</v>
      </c>
      <c r="F5669" s="11" t="s">
        <v>30642</v>
      </c>
      <c r="G5669" s="11" t="s">
        <v>30663</v>
      </c>
      <c r="H5669" s="11" t="s">
        <v>30664</v>
      </c>
      <c r="I5669" s="11" t="str">
        <f>HYPERLINK("http://www.mymylingerie.com/","www.mymylingerie.com")</f>
        <v>www.mymylingerie.com</v>
      </c>
      <c r="J5669" s="12">
        <v>0</v>
      </c>
      <c r="K5669" s="14" t="s">
        <v>30645</v>
      </c>
      <c r="L5669" s="16" t="s">
        <v>30645</v>
      </c>
      <c r="M5669" s="12">
        <v>-0.376</v>
      </c>
      <c r="N5669" s="14" t="s">
        <v>30645</v>
      </c>
      <c r="O5669" s="14" t="s">
        <v>30645</v>
      </c>
      <c r="P5669" s="12">
        <v>0</v>
      </c>
      <c r="Q5669" s="14" t="s">
        <v>30645</v>
      </c>
      <c r="R5669" s="14" t="s">
        <v>30645</v>
      </c>
    </row>
    <row r="5670" spans="1:18" ht="17" customHeight="1" x14ac:dyDescent="0.15">
      <c r="A5670" s="8" t="s">
        <v>30665</v>
      </c>
      <c r="B5670" s="9" t="s">
        <v>30666</v>
      </c>
      <c r="C5670" s="8" t="s">
        <v>30667</v>
      </c>
      <c r="D5670" s="8" t="s">
        <v>30667</v>
      </c>
      <c r="E5670" s="8" t="s">
        <v>30668</v>
      </c>
      <c r="F5670" s="8" t="s">
        <v>30669</v>
      </c>
      <c r="G5670" s="8" t="s">
        <v>30670</v>
      </c>
      <c r="H5670" s="8" t="s">
        <v>30671</v>
      </c>
      <c r="I5670" s="8" t="str">
        <f>HYPERLINK("http://www.greenlightstore.it/","www.greenlightstore.it")</f>
        <v>www.greenlightstore.it</v>
      </c>
      <c r="J5670" s="10">
        <v>0</v>
      </c>
      <c r="K5670" s="10">
        <v>0</v>
      </c>
      <c r="L5670" s="15" t="s">
        <v>30645</v>
      </c>
      <c r="M5670" s="10">
        <v>-1.135</v>
      </c>
      <c r="N5670" s="10">
        <v>-1.135</v>
      </c>
      <c r="O5670" s="15" t="s">
        <v>30645</v>
      </c>
      <c r="P5670" s="10">
        <v>0</v>
      </c>
      <c r="Q5670" s="10">
        <v>0</v>
      </c>
      <c r="R5670" s="15" t="s">
        <v>30645</v>
      </c>
    </row>
    <row r="5671" spans="1:18" ht="17" customHeight="1" x14ac:dyDescent="0.15">
      <c r="A5671" s="11" t="s">
        <v>30672</v>
      </c>
      <c r="B5671" s="1" t="s">
        <v>30673</v>
      </c>
      <c r="C5671" s="11" t="s">
        <v>30674</v>
      </c>
      <c r="D5671" s="11" t="s">
        <v>30674</v>
      </c>
      <c r="E5671" s="11" t="s">
        <v>30675</v>
      </c>
      <c r="F5671" s="11" t="s">
        <v>30669</v>
      </c>
      <c r="G5671" s="11" t="s">
        <v>30670</v>
      </c>
      <c r="H5671" s="11" t="s">
        <v>30671</v>
      </c>
      <c r="I5671" s="11" t="str">
        <f>HYPERLINK("http://e4you.it/","e4you.it")</f>
        <v>e4you.it</v>
      </c>
      <c r="J5671" s="14" t="s">
        <v>30645</v>
      </c>
      <c r="K5671" s="14" t="s">
        <v>30645</v>
      </c>
      <c r="L5671" s="16" t="s">
        <v>30645</v>
      </c>
      <c r="M5671" s="14" t="s">
        <v>30645</v>
      </c>
      <c r="N5671" s="14" t="s">
        <v>30645</v>
      </c>
      <c r="O5671" s="14" t="s">
        <v>30645</v>
      </c>
      <c r="P5671" s="14" t="s">
        <v>30645</v>
      </c>
      <c r="Q5671" s="14" t="s">
        <v>30645</v>
      </c>
      <c r="R5671" s="14" t="s">
        <v>30645</v>
      </c>
    </row>
    <row r="5672" spans="1:18" ht="29.5" customHeight="1" x14ac:dyDescent="0.15">
      <c r="A5672" s="8" t="s">
        <v>30676</v>
      </c>
      <c r="B5672" s="9" t="s">
        <v>30677</v>
      </c>
      <c r="C5672" s="8" t="s">
        <v>30678</v>
      </c>
      <c r="D5672" s="8" t="s">
        <v>30678</v>
      </c>
      <c r="E5672" s="8" t="s">
        <v>30679</v>
      </c>
      <c r="F5672" s="8" t="s">
        <v>30680</v>
      </c>
      <c r="G5672" s="8" t="s">
        <v>30670</v>
      </c>
      <c r="H5672" s="8" t="s">
        <v>30671</v>
      </c>
      <c r="I5672" s="8" t="str">
        <f>HYPERLINK("http://www.aurelispa.com/","http://www.aurelispa.com")</f>
        <v>http://www.aurelispa.com</v>
      </c>
      <c r="J5672" s="10">
        <v>0</v>
      </c>
      <c r="K5672" s="15" t="s">
        <v>30645</v>
      </c>
      <c r="L5672" s="15" t="s">
        <v>30645</v>
      </c>
      <c r="M5672" s="10">
        <v>86.210999999999999</v>
      </c>
      <c r="N5672" s="15" t="s">
        <v>30645</v>
      </c>
      <c r="O5672" s="15" t="s">
        <v>30645</v>
      </c>
      <c r="P5672" s="10">
        <v>0</v>
      </c>
      <c r="Q5672" s="15" t="s">
        <v>30645</v>
      </c>
      <c r="R5672" s="15" t="s">
        <v>30645</v>
      </c>
    </row>
    <row r="5673" spans="1:18" ht="29.5" customHeight="1" x14ac:dyDescent="0.15">
      <c r="A5673" s="11" t="s">
        <v>30681</v>
      </c>
      <c r="B5673" s="1" t="s">
        <v>30682</v>
      </c>
      <c r="C5673" s="11" t="s">
        <v>30683</v>
      </c>
      <c r="D5673" s="11" t="s">
        <v>30683</v>
      </c>
      <c r="E5673" s="11" t="s">
        <v>30684</v>
      </c>
      <c r="F5673" s="11" t="s">
        <v>30685</v>
      </c>
      <c r="G5673" s="11" t="s">
        <v>30670</v>
      </c>
      <c r="H5673" s="11" t="s">
        <v>30671</v>
      </c>
      <c r="I5673" s="11" t="str">
        <f>HYPERLINK("http://www.nuovaromy.it/","www.nuovaromy.it")</f>
        <v>www.nuovaromy.it</v>
      </c>
      <c r="J5673" s="12">
        <v>0</v>
      </c>
      <c r="K5673" s="14" t="s">
        <v>30645</v>
      </c>
      <c r="L5673" s="16" t="s">
        <v>30645</v>
      </c>
      <c r="M5673" s="12">
        <v>-129.16</v>
      </c>
      <c r="N5673" s="14" t="s">
        <v>30645</v>
      </c>
      <c r="O5673" s="14" t="s">
        <v>30645</v>
      </c>
      <c r="P5673" s="12">
        <v>0</v>
      </c>
      <c r="Q5673" s="14" t="s">
        <v>30645</v>
      </c>
      <c r="R5673" s="14" t="s">
        <v>30645</v>
      </c>
    </row>
    <row r="5674" spans="1:18" ht="29.5" customHeight="1" x14ac:dyDescent="0.15">
      <c r="A5674" s="8" t="s">
        <v>30686</v>
      </c>
      <c r="B5674" s="9" t="s">
        <v>30687</v>
      </c>
      <c r="C5674" s="8" t="s">
        <v>30688</v>
      </c>
      <c r="D5674" s="8" t="s">
        <v>30688</v>
      </c>
      <c r="E5674" s="8" t="s">
        <v>30689</v>
      </c>
      <c r="F5674" s="8" t="s">
        <v>30669</v>
      </c>
      <c r="G5674" s="8" t="s">
        <v>30670</v>
      </c>
      <c r="H5674" s="8" t="s">
        <v>30671</v>
      </c>
      <c r="I5674" s="8" t="str">
        <f>HYPERLINK("http://www.creola.it/","www.creola.it")</f>
        <v>www.creola.it</v>
      </c>
      <c r="J5674" s="10">
        <v>0</v>
      </c>
      <c r="K5674" s="15" t="s">
        <v>30645</v>
      </c>
      <c r="L5674" s="15" t="s">
        <v>30645</v>
      </c>
      <c r="M5674" s="10">
        <v>-8.15</v>
      </c>
      <c r="N5674" s="15" t="s">
        <v>30645</v>
      </c>
      <c r="O5674" s="15" t="s">
        <v>30645</v>
      </c>
      <c r="P5674" s="10">
        <v>0</v>
      </c>
      <c r="Q5674" s="15" t="s">
        <v>30645</v>
      </c>
      <c r="R5674" s="15" t="s">
        <v>30645</v>
      </c>
    </row>
    <row r="5675" spans="1:18" ht="17" customHeight="1" x14ac:dyDescent="0.15">
      <c r="A5675" s="11" t="s">
        <v>30690</v>
      </c>
      <c r="B5675" s="1" t="s">
        <v>30691</v>
      </c>
      <c r="C5675" s="11" t="s">
        <v>30692</v>
      </c>
      <c r="D5675" s="11" t="s">
        <v>30692</v>
      </c>
      <c r="E5675" s="11" t="s">
        <v>30693</v>
      </c>
      <c r="F5675" s="11" t="s">
        <v>30694</v>
      </c>
      <c r="G5675" s="11" t="s">
        <v>30695</v>
      </c>
      <c r="H5675" s="11" t="s">
        <v>30696</v>
      </c>
      <c r="I5675" s="11" t="str">
        <f>HYPERLINK("http://www.studio7creazioni.it/","www.studio7creazioni.it")</f>
        <v>www.studio7creazioni.it</v>
      </c>
      <c r="J5675" s="14" t="s">
        <v>30645</v>
      </c>
      <c r="K5675" s="14" t="s">
        <v>30645</v>
      </c>
      <c r="L5675" s="16" t="s">
        <v>30645</v>
      </c>
      <c r="M5675" s="14" t="s">
        <v>30645</v>
      </c>
      <c r="N5675" s="14" t="s">
        <v>30645</v>
      </c>
      <c r="O5675" s="14" t="s">
        <v>30645</v>
      </c>
      <c r="P5675" s="14" t="s">
        <v>30645</v>
      </c>
      <c r="Q5675" s="14" t="s">
        <v>30645</v>
      </c>
      <c r="R5675" s="14" t="s">
        <v>30645</v>
      </c>
    </row>
    <row r="5676" spans="1:18" ht="17" customHeight="1" x14ac:dyDescent="0.15">
      <c r="A5676" s="8" t="s">
        <v>30697</v>
      </c>
      <c r="B5676" s="9" t="s">
        <v>30698</v>
      </c>
      <c r="C5676" s="8" t="s">
        <v>30699</v>
      </c>
      <c r="D5676" s="8" t="s">
        <v>30699</v>
      </c>
      <c r="E5676" s="8" t="s">
        <v>30700</v>
      </c>
      <c r="F5676" s="8" t="s">
        <v>30650</v>
      </c>
      <c r="G5676" s="8" t="s">
        <v>30701</v>
      </c>
      <c r="H5676" s="8" t="s">
        <v>30696</v>
      </c>
      <c r="I5676" s="8" t="str">
        <f>HYPERLINK("http://www.richardsmilano.com/","www.richardsmilano.com")</f>
        <v>www.richardsmilano.com</v>
      </c>
      <c r="J5676" s="15" t="s">
        <v>30645</v>
      </c>
      <c r="K5676" s="15" t="s">
        <v>30645</v>
      </c>
      <c r="L5676" s="15" t="s">
        <v>30645</v>
      </c>
      <c r="M5676" s="15" t="s">
        <v>30645</v>
      </c>
      <c r="N5676" s="15" t="s">
        <v>30645</v>
      </c>
      <c r="O5676" s="15" t="s">
        <v>30645</v>
      </c>
      <c r="P5676" s="15" t="s">
        <v>30645</v>
      </c>
      <c r="Q5676" s="15" t="s">
        <v>30645</v>
      </c>
      <c r="R5676" s="15" t="s">
        <v>30645</v>
      </c>
    </row>
    <row r="5677" spans="1:18" ht="17" customHeight="1" x14ac:dyDescent="0.15">
      <c r="A5677" s="11" t="s">
        <v>30702</v>
      </c>
      <c r="B5677" s="1" t="s">
        <v>30703</v>
      </c>
      <c r="C5677" s="11" t="s">
        <v>30704</v>
      </c>
      <c r="D5677" s="11" t="s">
        <v>30704</v>
      </c>
      <c r="E5677" s="11" t="s">
        <v>30705</v>
      </c>
      <c r="F5677" s="11" t="s">
        <v>30706</v>
      </c>
      <c r="G5677" s="11" t="s">
        <v>30701</v>
      </c>
      <c r="H5677" s="11" t="s">
        <v>30696</v>
      </c>
      <c r="I5677" s="11" t="str">
        <f>HYPERLINK("http://www.thierryrabotin.com/","www.thierryrabotin.com")</f>
        <v>www.thierryrabotin.com</v>
      </c>
      <c r="J5677" s="14" t="s">
        <v>30645</v>
      </c>
      <c r="K5677" s="14" t="s">
        <v>30645</v>
      </c>
      <c r="L5677" s="16" t="s">
        <v>30645</v>
      </c>
      <c r="M5677" s="14" t="s">
        <v>30645</v>
      </c>
      <c r="N5677" s="14" t="s">
        <v>30645</v>
      </c>
      <c r="O5677" s="14" t="s">
        <v>30645</v>
      </c>
      <c r="P5677" s="14" t="s">
        <v>30645</v>
      </c>
      <c r="Q5677" s="14" t="s">
        <v>30645</v>
      </c>
      <c r="R5677" s="14" t="s">
        <v>30645</v>
      </c>
    </row>
    <row r="5678" spans="1:18" ht="17" customHeight="1" x14ac:dyDescent="0.15">
      <c r="A5678" s="8" t="s">
        <v>30707</v>
      </c>
      <c r="B5678" s="9" t="s">
        <v>30708</v>
      </c>
      <c r="C5678" s="8" t="s">
        <v>30709</v>
      </c>
      <c r="D5678" s="8" t="s">
        <v>30709</v>
      </c>
      <c r="E5678" s="8" t="s">
        <v>30710</v>
      </c>
      <c r="F5678" s="8" t="s">
        <v>30711</v>
      </c>
      <c r="G5678" s="17"/>
      <c r="H5678" s="17"/>
      <c r="I5678" s="8" t="str">
        <f>HYPERLINK("http://www.booalamode.com/","www.booalamode.com")</f>
        <v>www.booalamode.com</v>
      </c>
      <c r="J5678" s="15" t="s">
        <v>30645</v>
      </c>
      <c r="K5678" s="15" t="s">
        <v>30645</v>
      </c>
      <c r="L5678" s="15" t="s">
        <v>30645</v>
      </c>
      <c r="M5678" s="15" t="s">
        <v>30645</v>
      </c>
      <c r="N5678" s="15" t="s">
        <v>30645</v>
      </c>
      <c r="O5678" s="15" t="s">
        <v>30645</v>
      </c>
      <c r="P5678" s="15" t="s">
        <v>30645</v>
      </c>
      <c r="Q5678" s="15" t="s">
        <v>30645</v>
      </c>
      <c r="R5678" s="15" t="s">
        <v>30645</v>
      </c>
    </row>
    <row r="5679" spans="1:18" ht="17" customHeight="1" x14ac:dyDescent="0.15">
      <c r="A5679" s="11" t="s">
        <v>30712</v>
      </c>
      <c r="B5679" s="1" t="s">
        <v>30713</v>
      </c>
      <c r="C5679" s="11" t="s">
        <v>30714</v>
      </c>
      <c r="D5679" s="11" t="s">
        <v>30714</v>
      </c>
      <c r="E5679" s="11" t="s">
        <v>30715</v>
      </c>
      <c r="F5679" s="11" t="s">
        <v>30716</v>
      </c>
      <c r="G5679" s="11" t="s">
        <v>30701</v>
      </c>
      <c r="H5679" s="11" t="s">
        <v>30696</v>
      </c>
      <c r="I5679" s="11" t="str">
        <f>HYPERLINK("http://www.nestmilano.it/","www.nestmilano.it")</f>
        <v>www.nestmilano.it</v>
      </c>
      <c r="J5679" s="14" t="s">
        <v>30645</v>
      </c>
      <c r="K5679" s="14" t="s">
        <v>30645</v>
      </c>
      <c r="L5679" s="16" t="s">
        <v>30645</v>
      </c>
      <c r="M5679" s="14" t="s">
        <v>30645</v>
      </c>
      <c r="N5679" s="14" t="s">
        <v>30645</v>
      </c>
      <c r="O5679" s="14" t="s">
        <v>30645</v>
      </c>
      <c r="P5679" s="14" t="s">
        <v>30645</v>
      </c>
      <c r="Q5679" s="14" t="s">
        <v>30645</v>
      </c>
      <c r="R5679" s="14" t="s">
        <v>30645</v>
      </c>
    </row>
    <row r="5680" spans="1:18" ht="17" customHeight="1" x14ac:dyDescent="0.15">
      <c r="A5680" s="8" t="s">
        <v>30717</v>
      </c>
      <c r="B5680" s="9" t="s">
        <v>30718</v>
      </c>
      <c r="C5680" s="8" t="s">
        <v>30719</v>
      </c>
      <c r="D5680" s="8" t="s">
        <v>30719</v>
      </c>
      <c r="E5680" s="8" t="s">
        <v>30720</v>
      </c>
      <c r="F5680" s="8" t="s">
        <v>30669</v>
      </c>
      <c r="G5680" s="8" t="s">
        <v>30701</v>
      </c>
      <c r="H5680" s="8" t="s">
        <v>30696</v>
      </c>
      <c r="I5680" s="8" t="str">
        <f>HYPERLINK("http://www.an-aim.it/","www.an-aim.it")</f>
        <v>www.an-aim.it</v>
      </c>
      <c r="J5680" s="15" t="s">
        <v>30645</v>
      </c>
      <c r="K5680" s="15" t="s">
        <v>30645</v>
      </c>
      <c r="L5680" s="15" t="s">
        <v>30645</v>
      </c>
      <c r="M5680" s="15" t="s">
        <v>30645</v>
      </c>
      <c r="N5680" s="15" t="s">
        <v>30645</v>
      </c>
      <c r="O5680" s="15" t="s">
        <v>30645</v>
      </c>
      <c r="P5680" s="15" t="s">
        <v>30645</v>
      </c>
      <c r="Q5680" s="15" t="s">
        <v>30645</v>
      </c>
      <c r="R5680" s="15" t="s">
        <v>30645</v>
      </c>
    </row>
    <row r="5681" spans="1:18" ht="29.5" customHeight="1" x14ac:dyDescent="0.15">
      <c r="A5681" s="11" t="s">
        <v>30721</v>
      </c>
      <c r="B5681" s="1" t="s">
        <v>30722</v>
      </c>
      <c r="C5681" s="11" t="s">
        <v>30723</v>
      </c>
      <c r="D5681" s="11" t="s">
        <v>30723</v>
      </c>
      <c r="E5681" s="11" t="s">
        <v>30724</v>
      </c>
      <c r="F5681" s="11" t="s">
        <v>30725</v>
      </c>
      <c r="G5681" s="11" t="s">
        <v>30701</v>
      </c>
      <c r="H5681" s="11" t="s">
        <v>30696</v>
      </c>
      <c r="I5681" s="11" t="str">
        <f>HYPERLINK("http://karaleather.it/","karaleather.it")</f>
        <v>karaleather.it</v>
      </c>
      <c r="J5681" s="14" t="s">
        <v>30645</v>
      </c>
      <c r="K5681" s="14" t="s">
        <v>30645</v>
      </c>
      <c r="L5681" s="16" t="s">
        <v>30645</v>
      </c>
      <c r="M5681" s="14" t="s">
        <v>30645</v>
      </c>
      <c r="N5681" s="14" t="s">
        <v>30645</v>
      </c>
      <c r="O5681" s="14" t="s">
        <v>30645</v>
      </c>
      <c r="P5681" s="14" t="s">
        <v>30645</v>
      </c>
      <c r="Q5681" s="14" t="s">
        <v>30645</v>
      </c>
      <c r="R5681" s="14" t="s">
        <v>30645</v>
      </c>
    </row>
    <row r="5682" spans="1:18" ht="17" customHeight="1" x14ac:dyDescent="0.15">
      <c r="A5682" s="8" t="s">
        <v>30726</v>
      </c>
      <c r="B5682" s="9" t="s">
        <v>30727</v>
      </c>
      <c r="C5682" s="8" t="s">
        <v>30728</v>
      </c>
      <c r="D5682" s="8" t="s">
        <v>30728</v>
      </c>
      <c r="E5682" s="8" t="s">
        <v>30729</v>
      </c>
      <c r="F5682" s="8" t="s">
        <v>30725</v>
      </c>
      <c r="G5682" s="8" t="s">
        <v>30701</v>
      </c>
      <c r="H5682" s="8" t="s">
        <v>30696</v>
      </c>
      <c r="I5682" s="8" t="str">
        <f>HYPERLINK("http://cnibusinesscenter.com/","cnibusinesscenter.com")</f>
        <v>cnibusinesscenter.com</v>
      </c>
      <c r="J5682" s="15" t="s">
        <v>30645</v>
      </c>
      <c r="K5682" s="15" t="s">
        <v>30645</v>
      </c>
      <c r="L5682" s="15" t="s">
        <v>30645</v>
      </c>
      <c r="M5682" s="15" t="s">
        <v>30645</v>
      </c>
      <c r="N5682" s="15" t="s">
        <v>30645</v>
      </c>
      <c r="O5682" s="15" t="s">
        <v>30645</v>
      </c>
      <c r="P5682" s="15" t="s">
        <v>30645</v>
      </c>
      <c r="Q5682" s="15" t="s">
        <v>30645</v>
      </c>
      <c r="R5682" s="15" t="s">
        <v>30645</v>
      </c>
    </row>
    <row r="5683" spans="1:18" ht="17" customHeight="1" x14ac:dyDescent="0.15">
      <c r="A5683" s="11" t="s">
        <v>30730</v>
      </c>
      <c r="B5683" s="1" t="s">
        <v>30731</v>
      </c>
      <c r="C5683" s="11" t="s">
        <v>30732</v>
      </c>
      <c r="D5683" s="11" t="s">
        <v>30732</v>
      </c>
      <c r="E5683" s="11" t="s">
        <v>30733</v>
      </c>
      <c r="F5683" s="11" t="s">
        <v>30734</v>
      </c>
      <c r="G5683" s="11" t="s">
        <v>30701</v>
      </c>
      <c r="H5683" s="11" t="s">
        <v>30696</v>
      </c>
      <c r="I5683" s="11" t="str">
        <f>HYPERLINK("http://www.fabishoes.it/","www.fabishoes.it")</f>
        <v>www.fabishoes.it</v>
      </c>
      <c r="J5683" s="12">
        <v>0</v>
      </c>
      <c r="K5683" s="12">
        <v>0</v>
      </c>
      <c r="L5683" s="16" t="s">
        <v>30645</v>
      </c>
      <c r="M5683" s="12">
        <v>-1.6339999999999999</v>
      </c>
      <c r="N5683" s="12">
        <v>-1.6339999999999999</v>
      </c>
      <c r="O5683" s="14" t="s">
        <v>30645</v>
      </c>
      <c r="P5683" s="12">
        <v>0</v>
      </c>
      <c r="Q5683" s="12">
        <v>0</v>
      </c>
      <c r="R5683" s="14" t="s">
        <v>30645</v>
      </c>
    </row>
    <row r="5684" spans="1:18" ht="29.5" customHeight="1" x14ac:dyDescent="0.15">
      <c r="A5684" s="8" t="s">
        <v>30735</v>
      </c>
      <c r="B5684" s="9" t="s">
        <v>30736</v>
      </c>
      <c r="C5684" s="8" t="s">
        <v>30737</v>
      </c>
      <c r="D5684" s="8" t="s">
        <v>30737</v>
      </c>
      <c r="E5684" s="8" t="s">
        <v>30738</v>
      </c>
      <c r="F5684" s="8" t="s">
        <v>30680</v>
      </c>
      <c r="G5684" s="8" t="s">
        <v>30701</v>
      </c>
      <c r="H5684" s="8" t="s">
        <v>30696</v>
      </c>
      <c r="I5684" s="8" t="str">
        <f>HYPERLINK("http://de.louisvuitton.com/","de.louisvuitton.com")</f>
        <v>de.louisvuitton.com</v>
      </c>
      <c r="J5684" s="10">
        <v>0</v>
      </c>
      <c r="K5684" s="10">
        <v>0</v>
      </c>
      <c r="L5684" s="15" t="s">
        <v>30645</v>
      </c>
      <c r="M5684" s="10">
        <v>-282.54700000000003</v>
      </c>
      <c r="N5684" s="10">
        <v>-282.54700000000003</v>
      </c>
      <c r="O5684" s="15" t="s">
        <v>30645</v>
      </c>
      <c r="P5684" s="10">
        <v>0</v>
      </c>
      <c r="Q5684" s="10">
        <v>0</v>
      </c>
      <c r="R5684" s="15" t="s">
        <v>30645</v>
      </c>
    </row>
    <row r="5685" spans="1:18" ht="17" customHeight="1" x14ac:dyDescent="0.15">
      <c r="A5685" s="11" t="s">
        <v>30739</v>
      </c>
      <c r="B5685" s="1" t="s">
        <v>30740</v>
      </c>
      <c r="C5685" s="11" t="s">
        <v>30741</v>
      </c>
      <c r="D5685" s="11" t="s">
        <v>30741</v>
      </c>
      <c r="E5685" s="11" t="s">
        <v>30742</v>
      </c>
      <c r="F5685" s="11" t="s">
        <v>30669</v>
      </c>
      <c r="G5685" s="11" t="s">
        <v>30701</v>
      </c>
      <c r="H5685" s="11" t="s">
        <v>30696</v>
      </c>
      <c r="I5685" s="11" t="str">
        <f>HYPERLINK("http://zenconfezioni.com/","zenconfezioni.com")</f>
        <v>zenconfezioni.com</v>
      </c>
      <c r="J5685" s="14" t="s">
        <v>30645</v>
      </c>
      <c r="K5685" s="14" t="s">
        <v>30645</v>
      </c>
      <c r="L5685" s="16" t="s">
        <v>30645</v>
      </c>
      <c r="M5685" s="14" t="s">
        <v>30645</v>
      </c>
      <c r="N5685" s="14" t="s">
        <v>30645</v>
      </c>
      <c r="O5685" s="14" t="s">
        <v>30645</v>
      </c>
      <c r="P5685" s="14" t="s">
        <v>30645</v>
      </c>
      <c r="Q5685" s="14" t="s">
        <v>30645</v>
      </c>
      <c r="R5685" s="14" t="s">
        <v>30645</v>
      </c>
    </row>
    <row r="5686" spans="1:18" ht="43" customHeight="1" x14ac:dyDescent="0.15">
      <c r="A5686" s="8" t="s">
        <v>30743</v>
      </c>
      <c r="B5686" s="9" t="s">
        <v>30744</v>
      </c>
      <c r="C5686" s="8" t="s">
        <v>30745</v>
      </c>
      <c r="D5686" s="8" t="s">
        <v>30745</v>
      </c>
      <c r="E5686" s="8" t="s">
        <v>30746</v>
      </c>
      <c r="F5686" s="8" t="s">
        <v>30716</v>
      </c>
      <c r="G5686" s="8" t="s">
        <v>30701</v>
      </c>
      <c r="H5686" s="8" t="s">
        <v>30696</v>
      </c>
      <c r="I5686" s="8" t="str">
        <f>HYPERLINK("http://giancarlobe.com/","giancarlobe.com")</f>
        <v>giancarlobe.com</v>
      </c>
      <c r="J5686" s="10">
        <v>0</v>
      </c>
      <c r="K5686" s="15" t="s">
        <v>30645</v>
      </c>
      <c r="L5686" s="15" t="s">
        <v>30645</v>
      </c>
      <c r="M5686" s="10">
        <v>-0.86899999999999999</v>
      </c>
      <c r="N5686" s="15" t="s">
        <v>30645</v>
      </c>
      <c r="O5686" s="15" t="s">
        <v>30645</v>
      </c>
      <c r="P5686" s="10">
        <v>0</v>
      </c>
      <c r="Q5686" s="15" t="s">
        <v>30645</v>
      </c>
      <c r="R5686" s="15" t="s">
        <v>30645</v>
      </c>
    </row>
    <row r="5687" spans="1:18" ht="17" customHeight="1" x14ac:dyDescent="0.15">
      <c r="A5687" s="11" t="s">
        <v>30747</v>
      </c>
      <c r="B5687" s="1" t="s">
        <v>30748</v>
      </c>
      <c r="C5687" s="11" t="s">
        <v>30749</v>
      </c>
      <c r="D5687" s="11" t="s">
        <v>30749</v>
      </c>
      <c r="E5687" s="11" t="s">
        <v>30750</v>
      </c>
      <c r="F5687" s="11" t="s">
        <v>30650</v>
      </c>
      <c r="G5687" s="11" t="s">
        <v>30701</v>
      </c>
      <c r="H5687" s="11" t="s">
        <v>30696</v>
      </c>
      <c r="I5687" s="11" t="str">
        <f>HYPERLINK("http://www.aniani.it/","www.aniani.it")</f>
        <v>www.aniani.it</v>
      </c>
      <c r="J5687" s="14" t="s">
        <v>30645</v>
      </c>
      <c r="K5687" s="14" t="s">
        <v>30645</v>
      </c>
      <c r="L5687" s="16" t="s">
        <v>30645</v>
      </c>
      <c r="M5687" s="14" t="s">
        <v>30645</v>
      </c>
      <c r="N5687" s="14" t="s">
        <v>30645</v>
      </c>
      <c r="O5687" s="14" t="s">
        <v>30645</v>
      </c>
      <c r="P5687" s="12">
        <v>0</v>
      </c>
      <c r="Q5687" s="14" t="s">
        <v>30645</v>
      </c>
      <c r="R5687" s="14" t="s">
        <v>30645</v>
      </c>
    </row>
    <row r="5688" spans="1:18" ht="55.75" customHeight="1" x14ac:dyDescent="0.15">
      <c r="A5688" s="8" t="s">
        <v>30751</v>
      </c>
      <c r="B5688" s="9" t="s">
        <v>30752</v>
      </c>
      <c r="C5688" s="8" t="s">
        <v>30753</v>
      </c>
      <c r="D5688" s="8" t="s">
        <v>30753</v>
      </c>
      <c r="E5688" s="8" t="s">
        <v>30754</v>
      </c>
      <c r="F5688" s="8" t="s">
        <v>30734</v>
      </c>
      <c r="G5688" s="8" t="s">
        <v>30755</v>
      </c>
      <c r="H5688" s="8" t="s">
        <v>30756</v>
      </c>
      <c r="I5688" s="8" t="str">
        <f>HYPERLINK("http://www.longstone.it/","www.longstone.it")</f>
        <v>www.longstone.it</v>
      </c>
      <c r="J5688" s="15" t="s">
        <v>30645</v>
      </c>
      <c r="K5688" s="15" t="s">
        <v>30645</v>
      </c>
      <c r="L5688" s="15" t="s">
        <v>30645</v>
      </c>
      <c r="M5688" s="15" t="s">
        <v>30645</v>
      </c>
      <c r="N5688" s="15" t="s">
        <v>30645</v>
      </c>
      <c r="O5688" s="15" t="s">
        <v>30645</v>
      </c>
      <c r="P5688" s="15" t="s">
        <v>30645</v>
      </c>
      <c r="Q5688" s="15" t="s">
        <v>30645</v>
      </c>
      <c r="R5688" s="15" t="s">
        <v>30645</v>
      </c>
    </row>
    <row r="5689" spans="1:18" ht="17" customHeight="1" x14ac:dyDescent="0.15">
      <c r="A5689" s="11" t="s">
        <v>30757</v>
      </c>
      <c r="B5689" s="1" t="s">
        <v>30758</v>
      </c>
      <c r="C5689" s="11" t="s">
        <v>30759</v>
      </c>
      <c r="D5689" s="11" t="s">
        <v>30759</v>
      </c>
      <c r="E5689" s="11" t="s">
        <v>30760</v>
      </c>
      <c r="F5689" s="11" t="s">
        <v>30761</v>
      </c>
      <c r="G5689" s="11" t="s">
        <v>30762</v>
      </c>
      <c r="H5689" s="11" t="s">
        <v>30763</v>
      </c>
      <c r="I5689" s="11" t="str">
        <f>HYPERLINK("http://www.futurclimasrl.it/","www.futurclimasrl.it")</f>
        <v>www.futurclimasrl.it</v>
      </c>
      <c r="J5689" s="14" t="s">
        <v>30645</v>
      </c>
      <c r="K5689" s="14" t="s">
        <v>30645</v>
      </c>
      <c r="L5689" s="16" t="s">
        <v>30645</v>
      </c>
      <c r="M5689" s="14" t="s">
        <v>30645</v>
      </c>
      <c r="N5689" s="14" t="s">
        <v>30645</v>
      </c>
      <c r="O5689" s="14" t="s">
        <v>30645</v>
      </c>
      <c r="P5689" s="14" t="s">
        <v>30645</v>
      </c>
      <c r="Q5689" s="14" t="s">
        <v>30645</v>
      </c>
      <c r="R5689" s="14" t="s">
        <v>30645</v>
      </c>
    </row>
    <row r="5690" spans="1:18" ht="17" customHeight="1" x14ac:dyDescent="0.15">
      <c r="A5690" s="8" t="s">
        <v>30764</v>
      </c>
      <c r="B5690" s="9" t="s">
        <v>30765</v>
      </c>
      <c r="C5690" s="8" t="s">
        <v>30766</v>
      </c>
      <c r="D5690" s="8" t="s">
        <v>30766</v>
      </c>
      <c r="E5690" s="8" t="s">
        <v>30767</v>
      </c>
      <c r="F5690" s="8" t="s">
        <v>30669</v>
      </c>
      <c r="G5690" s="8" t="s">
        <v>30762</v>
      </c>
      <c r="H5690" s="8" t="s">
        <v>30763</v>
      </c>
      <c r="I5690" s="8" t="str">
        <f>HYPERLINK("http://www.mattwaymw.com/","www.mattwaymw.com")</f>
        <v>www.mattwaymw.com</v>
      </c>
      <c r="J5690" s="15" t="s">
        <v>30645</v>
      </c>
      <c r="K5690" s="15" t="s">
        <v>30645</v>
      </c>
      <c r="L5690" s="15" t="s">
        <v>30645</v>
      </c>
      <c r="M5690" s="15" t="s">
        <v>30645</v>
      </c>
      <c r="N5690" s="15" t="s">
        <v>30645</v>
      </c>
      <c r="O5690" s="15" t="s">
        <v>30645</v>
      </c>
      <c r="P5690" s="15" t="s">
        <v>30645</v>
      </c>
      <c r="Q5690" s="15" t="s">
        <v>30645</v>
      </c>
      <c r="R5690" s="15" t="s">
        <v>30645</v>
      </c>
    </row>
    <row r="5691" spans="1:18" ht="17" customHeight="1" x14ac:dyDescent="0.15">
      <c r="A5691" s="11" t="s">
        <v>30768</v>
      </c>
      <c r="B5691" s="1" t="s">
        <v>30769</v>
      </c>
      <c r="C5691" s="11" t="s">
        <v>30770</v>
      </c>
      <c r="D5691" s="11" t="s">
        <v>30770</v>
      </c>
      <c r="E5691" s="11" t="s">
        <v>30771</v>
      </c>
      <c r="F5691" s="11" t="s">
        <v>30669</v>
      </c>
      <c r="G5691" s="11" t="s">
        <v>30762</v>
      </c>
      <c r="H5691" s="11" t="s">
        <v>30763</v>
      </c>
      <c r="I5691" s="11" t="str">
        <f>HYPERLINK("http://simonabonacci.com/","simonabonacci.com")</f>
        <v>simonabonacci.com</v>
      </c>
      <c r="J5691" s="14" t="s">
        <v>30645</v>
      </c>
      <c r="K5691" s="14" t="s">
        <v>30645</v>
      </c>
      <c r="L5691" s="16" t="s">
        <v>30645</v>
      </c>
      <c r="M5691" s="14" t="s">
        <v>30645</v>
      </c>
      <c r="N5691" s="14" t="s">
        <v>30645</v>
      </c>
      <c r="O5691" s="14" t="s">
        <v>30645</v>
      </c>
      <c r="P5691" s="14" t="s">
        <v>30645</v>
      </c>
      <c r="Q5691" s="14" t="s">
        <v>30645</v>
      </c>
      <c r="R5691" s="14" t="s">
        <v>30645</v>
      </c>
    </row>
    <row r="5692" spans="1:18" ht="17" customHeight="1" x14ac:dyDescent="0.15">
      <c r="A5692" s="8" t="s">
        <v>30772</v>
      </c>
      <c r="B5692" s="9" t="s">
        <v>30773</v>
      </c>
      <c r="C5692" s="8" t="s">
        <v>30774</v>
      </c>
      <c r="D5692" s="8" t="s">
        <v>30774</v>
      </c>
      <c r="E5692" s="8" t="s">
        <v>30775</v>
      </c>
      <c r="F5692" s="8" t="s">
        <v>30669</v>
      </c>
      <c r="G5692" s="8" t="s">
        <v>30762</v>
      </c>
      <c r="H5692" s="8" t="s">
        <v>30763</v>
      </c>
      <c r="I5692" s="8" t="str">
        <f>HYPERLINK("http://www.homand.it/","www.homand.it")</f>
        <v>www.homand.it</v>
      </c>
      <c r="J5692" s="15" t="s">
        <v>30645</v>
      </c>
      <c r="K5692" s="15" t="s">
        <v>30645</v>
      </c>
      <c r="L5692" s="15" t="s">
        <v>30645</v>
      </c>
      <c r="M5692" s="15" t="s">
        <v>30645</v>
      </c>
      <c r="N5692" s="15" t="s">
        <v>30645</v>
      </c>
      <c r="O5692" s="15" t="s">
        <v>30645</v>
      </c>
      <c r="P5692" s="15" t="s">
        <v>30645</v>
      </c>
      <c r="Q5692" s="15" t="s">
        <v>30645</v>
      </c>
      <c r="R5692" s="15" t="s">
        <v>30645</v>
      </c>
    </row>
    <row r="5693" spans="1:18" ht="17" customHeight="1" x14ac:dyDescent="0.15">
      <c r="A5693" s="11" t="s">
        <v>30776</v>
      </c>
      <c r="B5693" s="1" t="s">
        <v>30777</v>
      </c>
      <c r="C5693" s="11" t="s">
        <v>30778</v>
      </c>
      <c r="D5693" s="11" t="s">
        <v>30778</v>
      </c>
      <c r="E5693" s="11" t="s">
        <v>30779</v>
      </c>
      <c r="F5693" s="11" t="s">
        <v>30669</v>
      </c>
      <c r="G5693" s="11" t="s">
        <v>30780</v>
      </c>
      <c r="H5693" s="11" t="s">
        <v>30696</v>
      </c>
      <c r="I5693" s="11" t="str">
        <f>HYPERLINK("http://lunaticamilano.com/","lunaticamilano.com")</f>
        <v>lunaticamilano.com</v>
      </c>
      <c r="J5693" s="14" t="s">
        <v>30645</v>
      </c>
      <c r="K5693" s="14" t="s">
        <v>30645</v>
      </c>
      <c r="L5693" s="16" t="s">
        <v>30645</v>
      </c>
      <c r="M5693" s="14" t="s">
        <v>30645</v>
      </c>
      <c r="N5693" s="14" t="s">
        <v>30645</v>
      </c>
      <c r="O5693" s="14" t="s">
        <v>30645</v>
      </c>
      <c r="P5693" s="14" t="s">
        <v>30645</v>
      </c>
      <c r="Q5693" s="14" t="s">
        <v>30645</v>
      </c>
      <c r="R5693" s="14" t="s">
        <v>30645</v>
      </c>
    </row>
    <row r="5694" spans="1:18" ht="17" customHeight="1" x14ac:dyDescent="0.15">
      <c r="A5694" s="8" t="s">
        <v>30781</v>
      </c>
      <c r="B5694" s="9" t="s">
        <v>30782</v>
      </c>
      <c r="C5694" s="8" t="s">
        <v>30783</v>
      </c>
      <c r="D5694" s="8" t="s">
        <v>30783</v>
      </c>
      <c r="E5694" s="8" t="s">
        <v>30784</v>
      </c>
      <c r="F5694" s="8" t="s">
        <v>30785</v>
      </c>
      <c r="G5694" s="8" t="s">
        <v>30780</v>
      </c>
      <c r="H5694" s="8" t="s">
        <v>30696</v>
      </c>
      <c r="I5694" s="8" t="str">
        <f>HYPERLINK("http://aptyca.com/","aptyca.com")</f>
        <v>aptyca.com</v>
      </c>
      <c r="J5694" s="15" t="s">
        <v>30645</v>
      </c>
      <c r="K5694" s="15" t="s">
        <v>30645</v>
      </c>
      <c r="L5694" s="15" t="s">
        <v>30645</v>
      </c>
      <c r="M5694" s="15" t="s">
        <v>30645</v>
      </c>
      <c r="N5694" s="15" t="s">
        <v>30645</v>
      </c>
      <c r="O5694" s="15" t="s">
        <v>30645</v>
      </c>
      <c r="P5694" s="15" t="s">
        <v>30645</v>
      </c>
      <c r="Q5694" s="15" t="s">
        <v>30645</v>
      </c>
      <c r="R5694" s="15" t="s">
        <v>30645</v>
      </c>
    </row>
    <row r="5695" spans="1:18" ht="17" customHeight="1" x14ac:dyDescent="0.15">
      <c r="A5695" s="11" t="s">
        <v>30786</v>
      </c>
      <c r="B5695" s="1" t="s">
        <v>30787</v>
      </c>
      <c r="C5695" s="11" t="s">
        <v>30788</v>
      </c>
      <c r="D5695" s="11" t="s">
        <v>30788</v>
      </c>
      <c r="E5695" s="11" t="s">
        <v>30789</v>
      </c>
      <c r="F5695" s="11" t="s">
        <v>30650</v>
      </c>
      <c r="G5695" s="11" t="s">
        <v>30780</v>
      </c>
      <c r="H5695" s="11" t="s">
        <v>30696</v>
      </c>
      <c r="I5695" s="11" t="str">
        <f>HYPERLINK("http://www.longsrl.it/","www.longsrl.it")</f>
        <v>www.longsrl.it</v>
      </c>
      <c r="J5695" s="14" t="s">
        <v>30645</v>
      </c>
      <c r="K5695" s="14" t="s">
        <v>30645</v>
      </c>
      <c r="L5695" s="16" t="s">
        <v>30645</v>
      </c>
      <c r="M5695" s="14" t="s">
        <v>30645</v>
      </c>
      <c r="N5695" s="14" t="s">
        <v>30645</v>
      </c>
      <c r="O5695" s="14" t="s">
        <v>30645</v>
      </c>
      <c r="P5695" s="14" t="s">
        <v>30645</v>
      </c>
      <c r="Q5695" s="14" t="s">
        <v>30645</v>
      </c>
      <c r="R5695" s="14" t="s">
        <v>30645</v>
      </c>
    </row>
    <row r="5696" spans="1:18" ht="17" customHeight="1" x14ac:dyDescent="0.15">
      <c r="A5696" s="8" t="s">
        <v>30790</v>
      </c>
      <c r="B5696" s="9" t="s">
        <v>30791</v>
      </c>
      <c r="C5696" s="8" t="s">
        <v>30792</v>
      </c>
      <c r="D5696" s="8" t="s">
        <v>30792</v>
      </c>
      <c r="E5696" s="8" t="s">
        <v>30793</v>
      </c>
      <c r="F5696" s="8" t="s">
        <v>30785</v>
      </c>
      <c r="G5696" s="8" t="s">
        <v>30794</v>
      </c>
      <c r="H5696" s="8" t="s">
        <v>30795</v>
      </c>
      <c r="I5696" s="8" t="str">
        <f>HYPERLINK("http://parnisarisrls.it/","parnisarisrls.it")</f>
        <v>parnisarisrls.it</v>
      </c>
      <c r="J5696" s="15" t="s">
        <v>30645</v>
      </c>
      <c r="K5696" s="15" t="s">
        <v>30645</v>
      </c>
      <c r="L5696" s="15" t="s">
        <v>30645</v>
      </c>
      <c r="M5696" s="15" t="s">
        <v>30645</v>
      </c>
      <c r="N5696" s="15" t="s">
        <v>30645</v>
      </c>
      <c r="O5696" s="15" t="s">
        <v>30645</v>
      </c>
      <c r="P5696" s="15" t="s">
        <v>30645</v>
      </c>
      <c r="Q5696" s="15" t="s">
        <v>30645</v>
      </c>
      <c r="R5696" s="15" t="s">
        <v>30645</v>
      </c>
    </row>
    <row r="5697" spans="1:18" ht="29.5" customHeight="1" x14ac:dyDescent="0.15">
      <c r="A5697" s="11" t="s">
        <v>30796</v>
      </c>
      <c r="B5697" s="1" t="s">
        <v>30797</v>
      </c>
      <c r="C5697" s="11" t="s">
        <v>30798</v>
      </c>
      <c r="D5697" s="11" t="s">
        <v>30798</v>
      </c>
      <c r="E5697" s="11" t="s">
        <v>30799</v>
      </c>
      <c r="F5697" s="11" t="s">
        <v>30800</v>
      </c>
      <c r="G5697" s="11" t="s">
        <v>30801</v>
      </c>
      <c r="H5697" s="11" t="s">
        <v>30802</v>
      </c>
      <c r="I5697" s="11" t="str">
        <f>HYPERLINK("http://www.giellefashion.com/","www.giellefashion.com")</f>
        <v>www.giellefashion.com</v>
      </c>
      <c r="J5697" s="12">
        <v>0</v>
      </c>
      <c r="K5697" s="14" t="s">
        <v>30803</v>
      </c>
      <c r="L5697" s="16" t="s">
        <v>30803</v>
      </c>
      <c r="M5697" s="12">
        <v>-1040.2159999999999</v>
      </c>
      <c r="N5697" s="14" t="s">
        <v>30803</v>
      </c>
      <c r="O5697" s="14" t="s">
        <v>30803</v>
      </c>
      <c r="P5697" s="12">
        <v>9</v>
      </c>
      <c r="Q5697" s="14" t="s">
        <v>30803</v>
      </c>
      <c r="R5697" s="14" t="s">
        <v>30803</v>
      </c>
    </row>
    <row r="5698" spans="1:18" ht="17" customHeight="1" x14ac:dyDescent="0.15">
      <c r="A5698" s="8" t="s">
        <v>30804</v>
      </c>
      <c r="B5698" s="9" t="s">
        <v>30805</v>
      </c>
      <c r="C5698" s="8" t="s">
        <v>30806</v>
      </c>
      <c r="D5698" s="8" t="s">
        <v>30806</v>
      </c>
      <c r="E5698" s="8" t="s">
        <v>30807</v>
      </c>
      <c r="F5698" s="8" t="s">
        <v>30808</v>
      </c>
      <c r="G5698" s="8" t="s">
        <v>30809</v>
      </c>
      <c r="H5698" s="8" t="s">
        <v>30810</v>
      </c>
      <c r="I5698" s="8" t="str">
        <f>HYPERLINK("http://www.servati.it/","www.servati.it")</f>
        <v>www.servati.it</v>
      </c>
      <c r="J5698" s="10">
        <v>0</v>
      </c>
      <c r="K5698" s="10">
        <v>0</v>
      </c>
      <c r="L5698" s="15" t="s">
        <v>30803</v>
      </c>
      <c r="M5698" s="10">
        <v>4.7309999999999999</v>
      </c>
      <c r="N5698" s="10">
        <v>4.7309999999999999</v>
      </c>
      <c r="O5698" s="15" t="s">
        <v>30803</v>
      </c>
      <c r="P5698" s="10">
        <v>0</v>
      </c>
      <c r="Q5698" s="10">
        <v>0</v>
      </c>
      <c r="R5698" s="15" t="s">
        <v>30803</v>
      </c>
    </row>
    <row r="5699" spans="1:18" ht="17" customHeight="1" x14ac:dyDescent="0.15">
      <c r="A5699" s="11" t="s">
        <v>30811</v>
      </c>
      <c r="B5699" s="1" t="s">
        <v>30812</v>
      </c>
      <c r="C5699" s="11" t="s">
        <v>30813</v>
      </c>
      <c r="D5699" s="11" t="s">
        <v>30813</v>
      </c>
      <c r="E5699" s="11" t="s">
        <v>30814</v>
      </c>
      <c r="F5699" s="11" t="s">
        <v>30815</v>
      </c>
      <c r="G5699" s="11" t="s">
        <v>30809</v>
      </c>
      <c r="H5699" s="11" t="s">
        <v>30810</v>
      </c>
      <c r="I5699" s="11" t="str">
        <f>HYPERLINK("http://www.lonbag.com/","www.lonbag.com")</f>
        <v>www.lonbag.com</v>
      </c>
      <c r="J5699" s="12">
        <v>0</v>
      </c>
      <c r="K5699" s="14" t="s">
        <v>30803</v>
      </c>
      <c r="L5699" s="16" t="s">
        <v>30803</v>
      </c>
      <c r="M5699" s="12">
        <v>-7.6050000000000004</v>
      </c>
      <c r="N5699" s="14" t="s">
        <v>30803</v>
      </c>
      <c r="O5699" s="14" t="s">
        <v>30803</v>
      </c>
      <c r="P5699" s="12">
        <v>0</v>
      </c>
      <c r="Q5699" s="14" t="s">
        <v>30803</v>
      </c>
      <c r="R5699" s="14" t="s">
        <v>30803</v>
      </c>
    </row>
    <row r="5700" spans="1:18" ht="17" customHeight="1" x14ac:dyDescent="0.15">
      <c r="A5700" s="8" t="s">
        <v>30816</v>
      </c>
      <c r="B5700" s="9" t="s">
        <v>30817</v>
      </c>
      <c r="C5700" s="8" t="s">
        <v>30818</v>
      </c>
      <c r="D5700" s="8" t="s">
        <v>30818</v>
      </c>
      <c r="E5700" s="8" t="s">
        <v>30819</v>
      </c>
      <c r="F5700" s="8" t="s">
        <v>30820</v>
      </c>
      <c r="G5700" s="8" t="s">
        <v>30821</v>
      </c>
      <c r="H5700" s="8" t="s">
        <v>30822</v>
      </c>
      <c r="I5700" s="8" t="str">
        <f>HYPERLINK("http://www.cashmerefolie.com/","www.cashmerefolie.com")</f>
        <v>www.cashmerefolie.com</v>
      </c>
      <c r="J5700" s="15" t="s">
        <v>30803</v>
      </c>
      <c r="K5700" s="15" t="s">
        <v>30803</v>
      </c>
      <c r="L5700" s="15" t="s">
        <v>30803</v>
      </c>
      <c r="M5700" s="15" t="s">
        <v>30803</v>
      </c>
      <c r="N5700" s="15" t="s">
        <v>30803</v>
      </c>
      <c r="O5700" s="15" t="s">
        <v>30803</v>
      </c>
      <c r="P5700" s="15" t="s">
        <v>30803</v>
      </c>
      <c r="Q5700" s="15" t="s">
        <v>30803</v>
      </c>
      <c r="R5700" s="15" t="s">
        <v>30803</v>
      </c>
    </row>
    <row r="5701" spans="1:18" ht="55.75" customHeight="1" x14ac:dyDescent="0.15">
      <c r="A5701" s="11" t="s">
        <v>30823</v>
      </c>
      <c r="B5701" s="1" t="s">
        <v>30824</v>
      </c>
      <c r="C5701" s="11" t="s">
        <v>30825</v>
      </c>
      <c r="D5701" s="11" t="s">
        <v>30825</v>
      </c>
      <c r="E5701" s="11" t="s">
        <v>30826</v>
      </c>
      <c r="F5701" s="11" t="s">
        <v>30815</v>
      </c>
      <c r="G5701" s="11" t="s">
        <v>30821</v>
      </c>
      <c r="H5701" s="11" t="s">
        <v>30822</v>
      </c>
      <c r="I5701" s="11" t="str">
        <f>HYPERLINK("http://www.noemiisrael.com/","www.noemiisrael.com")</f>
        <v>www.noemiisrael.com</v>
      </c>
      <c r="J5701" s="14" t="s">
        <v>30803</v>
      </c>
      <c r="K5701" s="14" t="s">
        <v>30803</v>
      </c>
      <c r="L5701" s="16" t="s">
        <v>30803</v>
      </c>
      <c r="M5701" s="14" t="s">
        <v>30803</v>
      </c>
      <c r="N5701" s="14" t="s">
        <v>30803</v>
      </c>
      <c r="O5701" s="14" t="s">
        <v>30803</v>
      </c>
      <c r="P5701" s="14" t="s">
        <v>30803</v>
      </c>
      <c r="Q5701" s="14" t="s">
        <v>30803</v>
      </c>
      <c r="R5701" s="14" t="s">
        <v>30803</v>
      </c>
    </row>
    <row r="5702" spans="1:18" ht="17" customHeight="1" x14ac:dyDescent="0.15">
      <c r="A5702" s="8" t="s">
        <v>30827</v>
      </c>
      <c r="B5702" s="9" t="s">
        <v>30828</v>
      </c>
      <c r="C5702" s="8" t="s">
        <v>30829</v>
      </c>
      <c r="D5702" s="8" t="s">
        <v>30829</v>
      </c>
      <c r="E5702" s="8" t="s">
        <v>30830</v>
      </c>
      <c r="F5702" s="8" t="s">
        <v>30815</v>
      </c>
      <c r="G5702" s="8" t="s">
        <v>30821</v>
      </c>
      <c r="H5702" s="8" t="s">
        <v>30822</v>
      </c>
      <c r="I5702" s="8" t="str">
        <f>HYPERLINK("http://www.bymood.eu/","www.bymood.eu")</f>
        <v>www.bymood.eu</v>
      </c>
      <c r="J5702" s="15" t="s">
        <v>30803</v>
      </c>
      <c r="K5702" s="15" t="s">
        <v>30803</v>
      </c>
      <c r="L5702" s="15" t="s">
        <v>30803</v>
      </c>
      <c r="M5702" s="15" t="s">
        <v>30803</v>
      </c>
      <c r="N5702" s="15" t="s">
        <v>30803</v>
      </c>
      <c r="O5702" s="15" t="s">
        <v>30803</v>
      </c>
      <c r="P5702" s="15" t="s">
        <v>30803</v>
      </c>
      <c r="Q5702" s="15" t="s">
        <v>30803</v>
      </c>
      <c r="R5702" s="15" t="s">
        <v>30803</v>
      </c>
    </row>
    <row r="5703" spans="1:18" ht="29.5" customHeight="1" x14ac:dyDescent="0.15">
      <c r="A5703" s="11" t="s">
        <v>30831</v>
      </c>
      <c r="B5703" s="1" t="s">
        <v>30832</v>
      </c>
      <c r="C5703" s="11" t="s">
        <v>30833</v>
      </c>
      <c r="D5703" s="11" t="s">
        <v>30833</v>
      </c>
      <c r="E5703" s="11" t="s">
        <v>30834</v>
      </c>
      <c r="F5703" s="11" t="s">
        <v>30835</v>
      </c>
      <c r="G5703" s="11" t="s">
        <v>30836</v>
      </c>
      <c r="H5703" s="11" t="s">
        <v>30837</v>
      </c>
      <c r="I5703" s="11" t="str">
        <f>HYPERLINK("http://www.apparelnetwork.com/","www.apparelnetwork.com")</f>
        <v>www.apparelnetwork.com</v>
      </c>
      <c r="J5703" s="12">
        <v>0</v>
      </c>
      <c r="K5703" s="14" t="s">
        <v>30803</v>
      </c>
      <c r="L5703" s="16" t="s">
        <v>30803</v>
      </c>
      <c r="M5703" s="12">
        <v>-0.63900000000000001</v>
      </c>
      <c r="N5703" s="14" t="s">
        <v>30803</v>
      </c>
      <c r="O5703" s="14" t="s">
        <v>30803</v>
      </c>
      <c r="P5703" s="12">
        <v>0</v>
      </c>
      <c r="Q5703" s="14" t="s">
        <v>30803</v>
      </c>
      <c r="R5703" s="14" t="s">
        <v>30803</v>
      </c>
    </row>
    <row r="5704" spans="1:18" ht="17" customHeight="1" x14ac:dyDescent="0.15">
      <c r="A5704" s="8" t="s">
        <v>30838</v>
      </c>
      <c r="B5704" s="9" t="s">
        <v>30839</v>
      </c>
      <c r="C5704" s="8" t="s">
        <v>30840</v>
      </c>
      <c r="D5704" s="8" t="s">
        <v>30840</v>
      </c>
      <c r="E5704" s="8" t="s">
        <v>30841</v>
      </c>
      <c r="F5704" s="8" t="s">
        <v>30842</v>
      </c>
      <c r="G5704" s="8" t="s">
        <v>30843</v>
      </c>
      <c r="H5704" s="8" t="s">
        <v>30802</v>
      </c>
      <c r="I5704" s="8" t="str">
        <f>HYPERLINK("http://www.ledasport.it/","www.ledasport.it")</f>
        <v>www.ledasport.it</v>
      </c>
      <c r="J5704" s="15" t="s">
        <v>30803</v>
      </c>
      <c r="K5704" s="15" t="s">
        <v>30803</v>
      </c>
      <c r="L5704" s="15" t="s">
        <v>30803</v>
      </c>
      <c r="M5704" s="15" t="s">
        <v>30803</v>
      </c>
      <c r="N5704" s="15" t="s">
        <v>30803</v>
      </c>
      <c r="O5704" s="15" t="s">
        <v>30803</v>
      </c>
      <c r="P5704" s="15" t="s">
        <v>30803</v>
      </c>
      <c r="Q5704" s="15" t="s">
        <v>30803</v>
      </c>
      <c r="R5704" s="15" t="s">
        <v>30803</v>
      </c>
    </row>
    <row r="5705" spans="1:18" ht="17" customHeight="1" x14ac:dyDescent="0.15">
      <c r="A5705" s="11" t="s">
        <v>30844</v>
      </c>
      <c r="B5705" s="1" t="s">
        <v>30845</v>
      </c>
      <c r="C5705" s="11" t="s">
        <v>30846</v>
      </c>
      <c r="D5705" s="11" t="s">
        <v>30846</v>
      </c>
      <c r="E5705" s="11" t="s">
        <v>30847</v>
      </c>
      <c r="F5705" s="11" t="s">
        <v>30848</v>
      </c>
      <c r="G5705" s="11" t="s">
        <v>30849</v>
      </c>
      <c r="H5705" s="11" t="s">
        <v>30850</v>
      </c>
      <c r="I5705" s="11" t="str">
        <f>HYPERLINK("http://www.morgansrl.com/","www.morgansrl.com")</f>
        <v>www.morgansrl.com</v>
      </c>
      <c r="J5705" s="14" t="s">
        <v>30803</v>
      </c>
      <c r="K5705" s="14" t="s">
        <v>30803</v>
      </c>
      <c r="L5705" s="16" t="s">
        <v>30803</v>
      </c>
      <c r="M5705" s="14" t="s">
        <v>30803</v>
      </c>
      <c r="N5705" s="14" t="s">
        <v>30803</v>
      </c>
      <c r="O5705" s="14" t="s">
        <v>30803</v>
      </c>
      <c r="P5705" s="14" t="s">
        <v>30803</v>
      </c>
      <c r="Q5705" s="14" t="s">
        <v>30803</v>
      </c>
      <c r="R5705" s="14" t="s">
        <v>30803</v>
      </c>
    </row>
    <row r="5706" spans="1:18" ht="17" customHeight="1" x14ac:dyDescent="0.15">
      <c r="A5706" s="8" t="s">
        <v>30851</v>
      </c>
      <c r="B5706" s="9" t="s">
        <v>30852</v>
      </c>
      <c r="C5706" s="8" t="s">
        <v>30853</v>
      </c>
      <c r="D5706" s="8" t="s">
        <v>30853</v>
      </c>
      <c r="E5706" s="8" t="s">
        <v>30854</v>
      </c>
      <c r="F5706" s="8" t="s">
        <v>30800</v>
      </c>
      <c r="G5706" s="17"/>
      <c r="H5706" s="17"/>
      <c r="I5706" s="8" t="str">
        <f>HYPERLINK("http://www.modacreativa.it/","www.modacreativa.it")</f>
        <v>www.modacreativa.it</v>
      </c>
      <c r="J5706" s="15" t="s">
        <v>30803</v>
      </c>
      <c r="K5706" s="15" t="s">
        <v>30803</v>
      </c>
      <c r="L5706" s="15" t="s">
        <v>30803</v>
      </c>
      <c r="M5706" s="15" t="s">
        <v>30803</v>
      </c>
      <c r="N5706" s="15" t="s">
        <v>30803</v>
      </c>
      <c r="O5706" s="15" t="s">
        <v>30803</v>
      </c>
      <c r="P5706" s="15" t="s">
        <v>30803</v>
      </c>
      <c r="Q5706" s="15" t="s">
        <v>30803</v>
      </c>
      <c r="R5706" s="15" t="s">
        <v>30803</v>
      </c>
    </row>
    <row r="5707" spans="1:18" ht="17" customHeight="1" x14ac:dyDescent="0.15">
      <c r="A5707" s="11" t="s">
        <v>30855</v>
      </c>
      <c r="B5707" s="1" t="s">
        <v>30856</v>
      </c>
      <c r="C5707" s="11" t="s">
        <v>30857</v>
      </c>
      <c r="D5707" s="11" t="s">
        <v>30857</v>
      </c>
      <c r="E5707" s="11" t="s">
        <v>30858</v>
      </c>
      <c r="F5707" s="11" t="s">
        <v>30859</v>
      </c>
      <c r="G5707" s="11" t="s">
        <v>30860</v>
      </c>
      <c r="H5707" s="11" t="s">
        <v>30861</v>
      </c>
      <c r="I5707" s="11" t="str">
        <f>HYPERLINK("http://www.solvafra.it/","www.solvafra.it")</f>
        <v>www.solvafra.it</v>
      </c>
      <c r="J5707" s="14" t="s">
        <v>30803</v>
      </c>
      <c r="K5707" s="14" t="s">
        <v>30803</v>
      </c>
      <c r="L5707" s="16" t="s">
        <v>30803</v>
      </c>
      <c r="M5707" s="14" t="s">
        <v>30803</v>
      </c>
      <c r="N5707" s="14" t="s">
        <v>30803</v>
      </c>
      <c r="O5707" s="14" t="s">
        <v>30803</v>
      </c>
      <c r="P5707" s="14" t="s">
        <v>30803</v>
      </c>
      <c r="Q5707" s="14" t="s">
        <v>30803</v>
      </c>
      <c r="R5707" s="14" t="s">
        <v>30803</v>
      </c>
    </row>
    <row r="5708" spans="1:18" ht="17" customHeight="1" x14ac:dyDescent="0.15">
      <c r="A5708" s="8" t="s">
        <v>30862</v>
      </c>
      <c r="B5708" s="9" t="s">
        <v>30863</v>
      </c>
      <c r="C5708" s="8" t="s">
        <v>30864</v>
      </c>
      <c r="D5708" s="8" t="s">
        <v>30864</v>
      </c>
      <c r="E5708" s="8" t="s">
        <v>30865</v>
      </c>
      <c r="F5708" s="8" t="s">
        <v>30808</v>
      </c>
      <c r="G5708" s="8" t="s">
        <v>30860</v>
      </c>
      <c r="H5708" s="8" t="s">
        <v>30861</v>
      </c>
      <c r="I5708" s="8" t="str">
        <f>HYPERLINK("http://p448xt.com/","p448xt.com")</f>
        <v>p448xt.com</v>
      </c>
      <c r="J5708" s="15" t="s">
        <v>30803</v>
      </c>
      <c r="K5708" s="15" t="s">
        <v>30803</v>
      </c>
      <c r="L5708" s="15" t="s">
        <v>30803</v>
      </c>
      <c r="M5708" s="15" t="s">
        <v>30803</v>
      </c>
      <c r="N5708" s="15" t="s">
        <v>30803</v>
      </c>
      <c r="O5708" s="15" t="s">
        <v>30803</v>
      </c>
      <c r="P5708" s="15" t="s">
        <v>30803</v>
      </c>
      <c r="Q5708" s="15" t="s">
        <v>30803</v>
      </c>
      <c r="R5708" s="15" t="s">
        <v>30803</v>
      </c>
    </row>
    <row r="5709" spans="1:18" ht="17" customHeight="1" x14ac:dyDescent="0.15">
      <c r="A5709" s="11" t="s">
        <v>30866</v>
      </c>
      <c r="B5709" s="1" t="s">
        <v>30867</v>
      </c>
      <c r="C5709" s="11" t="s">
        <v>30868</v>
      </c>
      <c r="D5709" s="11" t="s">
        <v>30868</v>
      </c>
      <c r="E5709" s="11" t="s">
        <v>30869</v>
      </c>
      <c r="F5709" s="11" t="s">
        <v>30808</v>
      </c>
      <c r="G5709" s="11" t="s">
        <v>30860</v>
      </c>
      <c r="H5709" s="11" t="s">
        <v>30861</v>
      </c>
      <c r="I5709" s="11" t="str">
        <f>HYPERLINK("http://www.aldobrue.com/","www.aldobrue.com")</f>
        <v>www.aldobrue.com</v>
      </c>
      <c r="J5709" s="12">
        <v>0</v>
      </c>
      <c r="K5709" s="14" t="s">
        <v>30803</v>
      </c>
      <c r="L5709" s="16" t="s">
        <v>30803</v>
      </c>
      <c r="M5709" s="12">
        <v>-48.095999999999997</v>
      </c>
      <c r="N5709" s="14" t="s">
        <v>30803</v>
      </c>
      <c r="O5709" s="14" t="s">
        <v>30803</v>
      </c>
      <c r="P5709" s="12">
        <v>0</v>
      </c>
      <c r="Q5709" s="14" t="s">
        <v>30803</v>
      </c>
      <c r="R5709" s="14" t="s">
        <v>30803</v>
      </c>
    </row>
    <row r="5710" spans="1:18" ht="29.5" customHeight="1" x14ac:dyDescent="0.15">
      <c r="A5710" s="8" t="s">
        <v>30870</v>
      </c>
      <c r="B5710" s="9" t="s">
        <v>30871</v>
      </c>
      <c r="C5710" s="8" t="s">
        <v>30872</v>
      </c>
      <c r="D5710" s="8" t="s">
        <v>30872</v>
      </c>
      <c r="E5710" s="8" t="s">
        <v>30873</v>
      </c>
      <c r="F5710" s="8" t="s">
        <v>30842</v>
      </c>
      <c r="G5710" s="8" t="s">
        <v>30874</v>
      </c>
      <c r="H5710" s="8" t="s">
        <v>30875</v>
      </c>
      <c r="I5710" s="8" t="str">
        <f>HYPERLINK("http://appenninoactivewear.com/","appenninoactivewear.com")</f>
        <v>appenninoactivewear.com</v>
      </c>
      <c r="J5710" s="15" t="s">
        <v>30803</v>
      </c>
      <c r="K5710" s="15" t="s">
        <v>30803</v>
      </c>
      <c r="L5710" s="15" t="s">
        <v>30803</v>
      </c>
      <c r="M5710" s="15" t="s">
        <v>30803</v>
      </c>
      <c r="N5710" s="15" t="s">
        <v>30803</v>
      </c>
      <c r="O5710" s="15" t="s">
        <v>30803</v>
      </c>
      <c r="P5710" s="15" t="s">
        <v>30803</v>
      </c>
      <c r="Q5710" s="15" t="s">
        <v>30803</v>
      </c>
      <c r="R5710" s="15" t="s">
        <v>30803</v>
      </c>
    </row>
    <row r="5711" spans="1:18" ht="29.5" customHeight="1" x14ac:dyDescent="0.15">
      <c r="A5711" s="11" t="s">
        <v>30876</v>
      </c>
      <c r="B5711" s="1" t="s">
        <v>30877</v>
      </c>
      <c r="C5711" s="11" t="s">
        <v>30878</v>
      </c>
      <c r="D5711" s="11" t="s">
        <v>30878</v>
      </c>
      <c r="E5711" s="11" t="s">
        <v>30879</v>
      </c>
      <c r="F5711" s="11" t="s">
        <v>30880</v>
      </c>
      <c r="G5711" s="11" t="s">
        <v>30874</v>
      </c>
      <c r="H5711" s="11" t="s">
        <v>30875</v>
      </c>
      <c r="I5711" s="11" t="str">
        <f>HYPERLINK("http://www.pelletteriaartigiana.com/","www.pelletteriaartigiana.com")</f>
        <v>www.pelletteriaartigiana.com</v>
      </c>
      <c r="J5711" s="14" t="s">
        <v>30803</v>
      </c>
      <c r="K5711" s="14" t="s">
        <v>30803</v>
      </c>
      <c r="L5711" s="16" t="s">
        <v>30803</v>
      </c>
      <c r="M5711" s="14" t="s">
        <v>30803</v>
      </c>
      <c r="N5711" s="14" t="s">
        <v>30803</v>
      </c>
      <c r="O5711" s="14" t="s">
        <v>30803</v>
      </c>
      <c r="P5711" s="14" t="s">
        <v>30803</v>
      </c>
      <c r="Q5711" s="14" t="s">
        <v>30803</v>
      </c>
      <c r="R5711" s="14" t="s">
        <v>30803</v>
      </c>
    </row>
    <row r="5712" spans="1:18" ht="17" customHeight="1" x14ac:dyDescent="0.15">
      <c r="A5712" s="8" t="s">
        <v>30881</v>
      </c>
      <c r="B5712" s="9" t="s">
        <v>30882</v>
      </c>
      <c r="C5712" s="8" t="s">
        <v>30883</v>
      </c>
      <c r="D5712" s="8" t="s">
        <v>30883</v>
      </c>
      <c r="E5712" s="8" t="s">
        <v>30884</v>
      </c>
      <c r="F5712" s="8" t="s">
        <v>30885</v>
      </c>
      <c r="G5712" s="8" t="s">
        <v>30874</v>
      </c>
      <c r="H5712" s="8" t="s">
        <v>30875</v>
      </c>
      <c r="I5712" s="8" t="str">
        <f>HYPERLINK("http://crilo.it/","crilo.it")</f>
        <v>crilo.it</v>
      </c>
      <c r="J5712" s="15" t="s">
        <v>30803</v>
      </c>
      <c r="K5712" s="15" t="s">
        <v>30803</v>
      </c>
      <c r="L5712" s="15" t="s">
        <v>30803</v>
      </c>
      <c r="M5712" s="15" t="s">
        <v>30803</v>
      </c>
      <c r="N5712" s="15" t="s">
        <v>30803</v>
      </c>
      <c r="O5712" s="15" t="s">
        <v>30803</v>
      </c>
      <c r="P5712" s="15" t="s">
        <v>30803</v>
      </c>
      <c r="Q5712" s="15" t="s">
        <v>30803</v>
      </c>
      <c r="R5712" s="15" t="s">
        <v>30803</v>
      </c>
    </row>
    <row r="5713" spans="1:18" ht="43" customHeight="1" x14ac:dyDescent="0.15">
      <c r="A5713" s="11" t="s">
        <v>30886</v>
      </c>
      <c r="B5713" s="1" t="s">
        <v>30887</v>
      </c>
      <c r="C5713" s="11" t="s">
        <v>30888</v>
      </c>
      <c r="D5713" s="11" t="s">
        <v>30888</v>
      </c>
      <c r="E5713" s="11" t="s">
        <v>30889</v>
      </c>
      <c r="F5713" s="11" t="s">
        <v>30880</v>
      </c>
      <c r="G5713" s="11" t="s">
        <v>30874</v>
      </c>
      <c r="H5713" s="11" t="s">
        <v>30875</v>
      </c>
      <c r="I5713" s="11" t="str">
        <f>HYPERLINK("http://www.noiautismoedisabilita.it/","www.noiautismoedisabilita.it")</f>
        <v>www.noiautismoedisabilita.it</v>
      </c>
      <c r="J5713" s="14" t="s">
        <v>30803</v>
      </c>
      <c r="K5713" s="14" t="s">
        <v>30803</v>
      </c>
      <c r="L5713" s="16" t="s">
        <v>30803</v>
      </c>
      <c r="M5713" s="14" t="s">
        <v>30803</v>
      </c>
      <c r="N5713" s="14" t="s">
        <v>30803</v>
      </c>
      <c r="O5713" s="14" t="s">
        <v>30803</v>
      </c>
      <c r="P5713" s="14" t="s">
        <v>30803</v>
      </c>
      <c r="Q5713" s="14" t="s">
        <v>30803</v>
      </c>
      <c r="R5713" s="14" t="s">
        <v>30803</v>
      </c>
    </row>
    <row r="5714" spans="1:18" ht="17" customHeight="1" x14ac:dyDescent="0.15">
      <c r="A5714" s="8" t="s">
        <v>30890</v>
      </c>
      <c r="B5714" s="9" t="s">
        <v>30891</v>
      </c>
      <c r="C5714" s="8" t="s">
        <v>30892</v>
      </c>
      <c r="D5714" s="8" t="s">
        <v>30892</v>
      </c>
      <c r="E5714" s="8" t="s">
        <v>30893</v>
      </c>
      <c r="F5714" s="8" t="s">
        <v>30880</v>
      </c>
      <c r="G5714" s="8" t="s">
        <v>30874</v>
      </c>
      <c r="H5714" s="8" t="s">
        <v>30875</v>
      </c>
      <c r="I5714" s="8" t="str">
        <f>HYPERLINK("http://www.pelletteria4m.it/","www.pelletteria4m.it")</f>
        <v>www.pelletteria4m.it</v>
      </c>
      <c r="J5714" s="15" t="s">
        <v>30803</v>
      </c>
      <c r="K5714" s="15" t="s">
        <v>30803</v>
      </c>
      <c r="L5714" s="15" t="s">
        <v>30803</v>
      </c>
      <c r="M5714" s="15" t="s">
        <v>30803</v>
      </c>
      <c r="N5714" s="15" t="s">
        <v>30803</v>
      </c>
      <c r="O5714" s="15" t="s">
        <v>30803</v>
      </c>
      <c r="P5714" s="15" t="s">
        <v>30803</v>
      </c>
      <c r="Q5714" s="15" t="s">
        <v>30803</v>
      </c>
      <c r="R5714" s="15" t="s">
        <v>30803</v>
      </c>
    </row>
    <row r="5715" spans="1:18" ht="29.5" customHeight="1" x14ac:dyDescent="0.15">
      <c r="A5715" s="11" t="s">
        <v>30894</v>
      </c>
      <c r="B5715" s="1" t="s">
        <v>30895</v>
      </c>
      <c r="C5715" s="11" t="s">
        <v>30896</v>
      </c>
      <c r="D5715" s="11" t="s">
        <v>30896</v>
      </c>
      <c r="E5715" s="11" t="s">
        <v>30897</v>
      </c>
      <c r="F5715" s="11" t="s">
        <v>30800</v>
      </c>
      <c r="G5715" s="11" t="s">
        <v>30874</v>
      </c>
      <c r="H5715" s="11" t="s">
        <v>30875</v>
      </c>
      <c r="I5715" s="11" t="str">
        <f>HYPERLINK("http://www.tizianobacci.com/","www.tizianobacci.com")</f>
        <v>www.tizianobacci.com</v>
      </c>
      <c r="J5715" s="14" t="s">
        <v>30803</v>
      </c>
      <c r="K5715" s="14" t="s">
        <v>30803</v>
      </c>
      <c r="L5715" s="16" t="s">
        <v>30803</v>
      </c>
      <c r="M5715" s="14" t="s">
        <v>30803</v>
      </c>
      <c r="N5715" s="14" t="s">
        <v>30803</v>
      </c>
      <c r="O5715" s="14" t="s">
        <v>30803</v>
      </c>
      <c r="P5715" s="14" t="s">
        <v>30803</v>
      </c>
      <c r="Q5715" s="14" t="s">
        <v>30803</v>
      </c>
      <c r="R5715" s="14" t="s">
        <v>30803</v>
      </c>
    </row>
    <row r="5716" spans="1:18" ht="17" customHeight="1" x14ac:dyDescent="0.15">
      <c r="A5716" s="8" t="s">
        <v>30898</v>
      </c>
      <c r="B5716" s="9" t="s">
        <v>30899</v>
      </c>
      <c r="C5716" s="8" t="s">
        <v>30900</v>
      </c>
      <c r="D5716" s="8" t="s">
        <v>30900</v>
      </c>
      <c r="E5716" s="8" t="s">
        <v>30901</v>
      </c>
      <c r="F5716" s="8" t="s">
        <v>30880</v>
      </c>
      <c r="G5716" s="8" t="s">
        <v>30874</v>
      </c>
      <c r="H5716" s="8" t="s">
        <v>30875</v>
      </c>
      <c r="I5716" s="8" t="str">
        <f>HYPERLINK("http://a4-studio.com/","a4-studio.com")</f>
        <v>a4-studio.com</v>
      </c>
      <c r="J5716" s="15" t="s">
        <v>30803</v>
      </c>
      <c r="K5716" s="15" t="s">
        <v>30803</v>
      </c>
      <c r="L5716" s="15" t="s">
        <v>30803</v>
      </c>
      <c r="M5716" s="15" t="s">
        <v>30803</v>
      </c>
      <c r="N5716" s="15" t="s">
        <v>30803</v>
      </c>
      <c r="O5716" s="15" t="s">
        <v>30803</v>
      </c>
      <c r="P5716" s="15" t="s">
        <v>30803</v>
      </c>
      <c r="Q5716" s="15" t="s">
        <v>30803</v>
      </c>
      <c r="R5716" s="15" t="s">
        <v>30803</v>
      </c>
    </row>
    <row r="5717" spans="1:18" ht="17" customHeight="1" x14ac:dyDescent="0.15">
      <c r="A5717" s="11" t="s">
        <v>30902</v>
      </c>
      <c r="B5717" s="1" t="s">
        <v>30903</v>
      </c>
      <c r="C5717" s="11" t="s">
        <v>30904</v>
      </c>
      <c r="D5717" s="11" t="s">
        <v>30904</v>
      </c>
      <c r="E5717" s="11" t="s">
        <v>30905</v>
      </c>
      <c r="F5717" s="11" t="s">
        <v>30885</v>
      </c>
      <c r="G5717" s="2"/>
      <c r="H5717" s="2"/>
      <c r="I5717" s="11" t="str">
        <f>HYPERLINK("http://www.johnsmedley.com/","www.johnsmedley.com")</f>
        <v>www.johnsmedley.com</v>
      </c>
      <c r="J5717" s="14" t="s">
        <v>30803</v>
      </c>
      <c r="K5717" s="14" t="s">
        <v>30803</v>
      </c>
      <c r="L5717" s="16" t="s">
        <v>30803</v>
      </c>
      <c r="M5717" s="14" t="s">
        <v>30803</v>
      </c>
      <c r="N5717" s="14" t="s">
        <v>30803</v>
      </c>
      <c r="O5717" s="14" t="s">
        <v>30803</v>
      </c>
      <c r="P5717" s="14" t="s">
        <v>30803</v>
      </c>
      <c r="Q5717" s="14" t="s">
        <v>30803</v>
      </c>
      <c r="R5717" s="14" t="s">
        <v>30803</v>
      </c>
    </row>
    <row r="5718" spans="1:18" ht="17" customHeight="1" x14ac:dyDescent="0.15">
      <c r="A5718" s="8" t="s">
        <v>30906</v>
      </c>
      <c r="B5718" s="9" t="s">
        <v>30907</v>
      </c>
      <c r="C5718" s="8" t="s">
        <v>30908</v>
      </c>
      <c r="D5718" s="8" t="s">
        <v>30908</v>
      </c>
      <c r="E5718" s="8" t="s">
        <v>30909</v>
      </c>
      <c r="F5718" s="8" t="s">
        <v>30815</v>
      </c>
      <c r="G5718" s="8" t="s">
        <v>30874</v>
      </c>
      <c r="H5718" s="8" t="s">
        <v>30875</v>
      </c>
      <c r="I5718" s="8" t="str">
        <f>HYPERLINK("http://www.clipique.com/","www.clipique.com")</f>
        <v>www.clipique.com</v>
      </c>
      <c r="J5718" s="15" t="s">
        <v>30803</v>
      </c>
      <c r="K5718" s="15" t="s">
        <v>30803</v>
      </c>
      <c r="L5718" s="15" t="s">
        <v>30803</v>
      </c>
      <c r="M5718" s="15" t="s">
        <v>30803</v>
      </c>
      <c r="N5718" s="15" t="s">
        <v>30803</v>
      </c>
      <c r="O5718" s="15" t="s">
        <v>30803</v>
      </c>
      <c r="P5718" s="15" t="s">
        <v>30803</v>
      </c>
      <c r="Q5718" s="15" t="s">
        <v>30803</v>
      </c>
      <c r="R5718" s="15" t="s">
        <v>30803</v>
      </c>
    </row>
    <row r="5719" spans="1:18" ht="17" customHeight="1" x14ac:dyDescent="0.15">
      <c r="A5719" s="11" t="s">
        <v>30910</v>
      </c>
      <c r="B5719" s="1" t="s">
        <v>30911</v>
      </c>
      <c r="C5719" s="11" t="s">
        <v>30912</v>
      </c>
      <c r="D5719" s="11" t="s">
        <v>30912</v>
      </c>
      <c r="E5719" s="11" t="s">
        <v>30913</v>
      </c>
      <c r="F5719" s="11" t="s">
        <v>30885</v>
      </c>
      <c r="G5719" s="11" t="s">
        <v>30874</v>
      </c>
      <c r="H5719" s="11" t="s">
        <v>30875</v>
      </c>
      <c r="I5719" s="11" t="str">
        <f>HYPERLINK("http://riflejeans.com/","riflejeans.com")</f>
        <v>riflejeans.com</v>
      </c>
      <c r="J5719" s="12">
        <v>0</v>
      </c>
      <c r="K5719" s="14" t="s">
        <v>30803</v>
      </c>
      <c r="L5719" s="16" t="s">
        <v>30803</v>
      </c>
      <c r="M5719" s="12">
        <v>-593.53499999999997</v>
      </c>
      <c r="N5719" s="14" t="s">
        <v>30803</v>
      </c>
      <c r="O5719" s="14" t="s">
        <v>30803</v>
      </c>
      <c r="P5719" s="12">
        <v>0</v>
      </c>
      <c r="Q5719" s="14" t="s">
        <v>30803</v>
      </c>
      <c r="R5719" s="14" t="s">
        <v>30803</v>
      </c>
    </row>
    <row r="5720" spans="1:18" ht="17" customHeight="1" x14ac:dyDescent="0.15">
      <c r="A5720" s="8" t="s">
        <v>30914</v>
      </c>
      <c r="B5720" s="9" t="s">
        <v>30915</v>
      </c>
      <c r="C5720" s="8" t="s">
        <v>30916</v>
      </c>
      <c r="D5720" s="8" t="s">
        <v>30916</v>
      </c>
      <c r="E5720" s="8" t="s">
        <v>30917</v>
      </c>
      <c r="F5720" s="8" t="s">
        <v>30918</v>
      </c>
      <c r="G5720" s="8" t="s">
        <v>30874</v>
      </c>
      <c r="H5720" s="8" t="s">
        <v>30875</v>
      </c>
      <c r="I5720" s="8" t="str">
        <f>HYPERLINK("http://www.albagroup.it/","www.albagroup.it")</f>
        <v>www.albagroup.it</v>
      </c>
      <c r="J5720" s="10">
        <v>0</v>
      </c>
      <c r="K5720" s="15" t="s">
        <v>30803</v>
      </c>
      <c r="L5720" s="15" t="s">
        <v>30803</v>
      </c>
      <c r="M5720" s="10">
        <v>-1.819</v>
      </c>
      <c r="N5720" s="15" t="s">
        <v>30803</v>
      </c>
      <c r="O5720" s="15" t="s">
        <v>30803</v>
      </c>
      <c r="P5720" s="10">
        <v>0</v>
      </c>
      <c r="Q5720" s="15" t="s">
        <v>30803</v>
      </c>
      <c r="R5720" s="15" t="s">
        <v>30803</v>
      </c>
    </row>
    <row r="5721" spans="1:18" ht="29.5" customHeight="1" x14ac:dyDescent="0.15">
      <c r="A5721" s="11" t="s">
        <v>30919</v>
      </c>
      <c r="B5721" s="1" t="s">
        <v>30920</v>
      </c>
      <c r="C5721" s="11" t="s">
        <v>30921</v>
      </c>
      <c r="D5721" s="11" t="s">
        <v>30921</v>
      </c>
      <c r="E5721" s="11" t="s">
        <v>30922</v>
      </c>
      <c r="F5721" s="11" t="s">
        <v>30835</v>
      </c>
      <c r="G5721" s="11" t="s">
        <v>30874</v>
      </c>
      <c r="H5721" s="11" t="s">
        <v>30875</v>
      </c>
      <c r="I5721" s="11" t="str">
        <f>HYPERLINK("http://www.silvanacirri.com/","www.silvanacirri.com")</f>
        <v>www.silvanacirri.com</v>
      </c>
      <c r="J5721" s="12">
        <v>0</v>
      </c>
      <c r="K5721" s="14" t="s">
        <v>30803</v>
      </c>
      <c r="L5721" s="16" t="s">
        <v>30803</v>
      </c>
      <c r="M5721" s="12">
        <v>-39.561999999999998</v>
      </c>
      <c r="N5721" s="14" t="s">
        <v>30803</v>
      </c>
      <c r="O5721" s="14" t="s">
        <v>30803</v>
      </c>
      <c r="P5721" s="12">
        <v>0</v>
      </c>
      <c r="Q5721" s="14" t="s">
        <v>30803</v>
      </c>
      <c r="R5721" s="14" t="s">
        <v>30803</v>
      </c>
    </row>
    <row r="5722" spans="1:18" ht="17" customHeight="1" x14ac:dyDescent="0.15">
      <c r="A5722" s="8" t="s">
        <v>30923</v>
      </c>
      <c r="B5722" s="9" t="s">
        <v>30924</v>
      </c>
      <c r="C5722" s="8" t="s">
        <v>30925</v>
      </c>
      <c r="D5722" s="8" t="s">
        <v>30925</v>
      </c>
      <c r="E5722" s="8" t="s">
        <v>30926</v>
      </c>
      <c r="F5722" s="8" t="s">
        <v>30927</v>
      </c>
      <c r="G5722" s="8" t="s">
        <v>30928</v>
      </c>
      <c r="H5722" s="8" t="s">
        <v>30810</v>
      </c>
      <c r="I5722" s="8" t="str">
        <f>HYPERLINK("http://www.20nodi.com/","www.20nodi.com")</f>
        <v>www.20nodi.com</v>
      </c>
      <c r="J5722" s="15" t="s">
        <v>30803</v>
      </c>
      <c r="K5722" s="15" t="s">
        <v>30803</v>
      </c>
      <c r="L5722" s="15" t="s">
        <v>30803</v>
      </c>
      <c r="M5722" s="15" t="s">
        <v>30803</v>
      </c>
      <c r="N5722" s="15" t="s">
        <v>30803</v>
      </c>
      <c r="O5722" s="15" t="s">
        <v>30803</v>
      </c>
      <c r="P5722" s="15" t="s">
        <v>30803</v>
      </c>
      <c r="Q5722" s="15" t="s">
        <v>30803</v>
      </c>
      <c r="R5722" s="15" t="s">
        <v>30803</v>
      </c>
    </row>
    <row r="5723" spans="1:18" ht="17" customHeight="1" x14ac:dyDescent="0.15">
      <c r="A5723" s="11" t="s">
        <v>30929</v>
      </c>
      <c r="B5723" s="1" t="s">
        <v>30930</v>
      </c>
      <c r="C5723" s="11" t="s">
        <v>30931</v>
      </c>
      <c r="D5723" s="11" t="s">
        <v>30931</v>
      </c>
      <c r="E5723" s="11" t="s">
        <v>30932</v>
      </c>
      <c r="F5723" s="11" t="s">
        <v>30885</v>
      </c>
      <c r="G5723" s="11" t="s">
        <v>30933</v>
      </c>
      <c r="H5723" s="11" t="s">
        <v>30934</v>
      </c>
      <c r="I5723" s="11" t="str">
        <f>HYPERLINK("http://www.luixel.com/","www.luixel.com")</f>
        <v>www.luixel.com</v>
      </c>
      <c r="J5723" s="12">
        <v>0</v>
      </c>
      <c r="K5723" s="12">
        <v>0</v>
      </c>
      <c r="L5723" s="16" t="s">
        <v>30803</v>
      </c>
      <c r="M5723" s="12">
        <v>-1.359</v>
      </c>
      <c r="N5723" s="12">
        <v>-1.359</v>
      </c>
      <c r="O5723" s="14" t="s">
        <v>30803</v>
      </c>
      <c r="P5723" s="12">
        <v>0</v>
      </c>
      <c r="Q5723" s="12">
        <v>0</v>
      </c>
      <c r="R5723" s="14" t="s">
        <v>30803</v>
      </c>
    </row>
    <row r="5724" spans="1:18" ht="17" customHeight="1" x14ac:dyDescent="0.15">
      <c r="A5724" s="8" t="s">
        <v>30935</v>
      </c>
      <c r="B5724" s="9" t="s">
        <v>30936</v>
      </c>
      <c r="C5724" s="8" t="s">
        <v>30937</v>
      </c>
      <c r="D5724" s="8" t="s">
        <v>30937</v>
      </c>
      <c r="E5724" s="8" t="s">
        <v>30938</v>
      </c>
      <c r="F5724" s="8" t="s">
        <v>30885</v>
      </c>
      <c r="G5724" s="8" t="s">
        <v>30933</v>
      </c>
      <c r="H5724" s="8" t="s">
        <v>30934</v>
      </c>
      <c r="I5724" s="8" t="str">
        <f>HYPERLINK("http://www.rigorosa.com/","www.rigorosa.com")</f>
        <v>www.rigorosa.com</v>
      </c>
      <c r="J5724" s="15" t="s">
        <v>30803</v>
      </c>
      <c r="K5724" s="15" t="s">
        <v>30803</v>
      </c>
      <c r="L5724" s="15" t="s">
        <v>30803</v>
      </c>
      <c r="M5724" s="15" t="s">
        <v>30803</v>
      </c>
      <c r="N5724" s="15" t="s">
        <v>30803</v>
      </c>
      <c r="O5724" s="15" t="s">
        <v>30803</v>
      </c>
      <c r="P5724" s="15" t="s">
        <v>30803</v>
      </c>
      <c r="Q5724" s="15" t="s">
        <v>30803</v>
      </c>
      <c r="R5724" s="15" t="s">
        <v>30803</v>
      </c>
    </row>
    <row r="5725" spans="1:18" ht="17" customHeight="1" x14ac:dyDescent="0.15">
      <c r="A5725" s="11" t="s">
        <v>30939</v>
      </c>
      <c r="B5725" s="1" t="s">
        <v>30940</v>
      </c>
      <c r="C5725" s="11" t="s">
        <v>30941</v>
      </c>
      <c r="D5725" s="11" t="s">
        <v>30941</v>
      </c>
      <c r="E5725" s="11" t="s">
        <v>30942</v>
      </c>
      <c r="F5725" s="11" t="s">
        <v>30800</v>
      </c>
      <c r="G5725" s="11" t="s">
        <v>30943</v>
      </c>
      <c r="H5725" s="11" t="s">
        <v>30944</v>
      </c>
      <c r="I5725" s="11" t="str">
        <f>HYPERLINK("http://www.angolodellasposa.it/","www.angolodellasposa.it")</f>
        <v>www.angolodellasposa.it</v>
      </c>
      <c r="J5725" s="12">
        <v>0</v>
      </c>
      <c r="K5725" s="14" t="s">
        <v>30803</v>
      </c>
      <c r="L5725" s="16" t="s">
        <v>30803</v>
      </c>
      <c r="M5725" s="12">
        <v>-200.08199999999999</v>
      </c>
      <c r="N5725" s="14" t="s">
        <v>30803</v>
      </c>
      <c r="O5725" s="14" t="s">
        <v>30803</v>
      </c>
      <c r="P5725" s="12">
        <v>0</v>
      </c>
      <c r="Q5725" s="14" t="s">
        <v>30803</v>
      </c>
      <c r="R5725" s="14" t="s">
        <v>30803</v>
      </c>
    </row>
    <row r="5726" spans="1:18" ht="17" customHeight="1" x14ac:dyDescent="0.15">
      <c r="A5726" s="8" t="s">
        <v>30945</v>
      </c>
      <c r="B5726" s="9" t="s">
        <v>30946</v>
      </c>
      <c r="C5726" s="8" t="s">
        <v>30947</v>
      </c>
      <c r="D5726" s="8" t="s">
        <v>30947</v>
      </c>
      <c r="E5726" s="8" t="s">
        <v>30948</v>
      </c>
      <c r="F5726" s="8" t="s">
        <v>30885</v>
      </c>
      <c r="G5726" s="8" t="s">
        <v>30949</v>
      </c>
      <c r="H5726" s="8" t="s">
        <v>30822</v>
      </c>
      <c r="I5726" s="8" t="str">
        <f>HYPERLINK("http://joymeribe.com/","joymeribe.com")</f>
        <v>joymeribe.com</v>
      </c>
      <c r="J5726" s="15" t="s">
        <v>30803</v>
      </c>
      <c r="K5726" s="15" t="s">
        <v>30803</v>
      </c>
      <c r="L5726" s="15" t="s">
        <v>30803</v>
      </c>
      <c r="M5726" s="15" t="s">
        <v>30803</v>
      </c>
      <c r="N5726" s="15" t="s">
        <v>30803</v>
      </c>
      <c r="O5726" s="15" t="s">
        <v>30803</v>
      </c>
      <c r="P5726" s="15" t="s">
        <v>30803</v>
      </c>
      <c r="Q5726" s="15" t="s">
        <v>30803</v>
      </c>
      <c r="R5726" s="15" t="s">
        <v>30803</v>
      </c>
    </row>
    <row r="5727" spans="1:18" ht="68" customHeight="1" x14ac:dyDescent="0.15">
      <c r="A5727" s="11" t="s">
        <v>30950</v>
      </c>
      <c r="B5727" s="1" t="s">
        <v>30951</v>
      </c>
      <c r="C5727" s="11" t="s">
        <v>30952</v>
      </c>
      <c r="D5727" s="11" t="s">
        <v>30952</v>
      </c>
      <c r="E5727" s="11" t="s">
        <v>30953</v>
      </c>
      <c r="F5727" s="11" t="s">
        <v>30800</v>
      </c>
      <c r="G5727" s="11" t="s">
        <v>30954</v>
      </c>
      <c r="H5727" s="11" t="s">
        <v>30822</v>
      </c>
      <c r="I5727" s="11" t="str">
        <f>HYPERLINK("http://www.panteropantera.it/","www.panteropantera.it")</f>
        <v>www.panteropantera.it</v>
      </c>
      <c r="J5727" s="14" t="s">
        <v>30803</v>
      </c>
      <c r="K5727" s="14" t="s">
        <v>30803</v>
      </c>
      <c r="L5727" s="16" t="s">
        <v>30803</v>
      </c>
      <c r="M5727" s="14" t="s">
        <v>30803</v>
      </c>
      <c r="N5727" s="14" t="s">
        <v>30803</v>
      </c>
      <c r="O5727" s="14" t="s">
        <v>30803</v>
      </c>
      <c r="P5727" s="14" t="s">
        <v>30803</v>
      </c>
      <c r="Q5727" s="14" t="s">
        <v>30803</v>
      </c>
      <c r="R5727" s="14" t="s">
        <v>30803</v>
      </c>
    </row>
    <row r="5728" spans="1:18" ht="43" customHeight="1" x14ac:dyDescent="0.15">
      <c r="A5728" s="8" t="s">
        <v>30955</v>
      </c>
      <c r="B5728" s="9" t="s">
        <v>30956</v>
      </c>
      <c r="C5728" s="8" t="s">
        <v>30957</v>
      </c>
      <c r="D5728" s="8" t="s">
        <v>30957</v>
      </c>
      <c r="E5728" s="8" t="s">
        <v>30958</v>
      </c>
      <c r="F5728" s="8" t="s">
        <v>30815</v>
      </c>
      <c r="G5728" s="8" t="s">
        <v>30959</v>
      </c>
      <c r="H5728" s="8" t="s">
        <v>30960</v>
      </c>
      <c r="I5728" s="8" t="str">
        <f>HYPERLINK("http://www.smaf.it/","www.smaf.it")</f>
        <v>www.smaf.it</v>
      </c>
      <c r="J5728" s="15" t="s">
        <v>30803</v>
      </c>
      <c r="K5728" s="15" t="s">
        <v>30803</v>
      </c>
      <c r="L5728" s="15" t="s">
        <v>30803</v>
      </c>
      <c r="M5728" s="15" t="s">
        <v>30803</v>
      </c>
      <c r="N5728" s="15" t="s">
        <v>30803</v>
      </c>
      <c r="O5728" s="15" t="s">
        <v>30803</v>
      </c>
      <c r="P5728" s="15" t="s">
        <v>30803</v>
      </c>
      <c r="Q5728" s="15" t="s">
        <v>30803</v>
      </c>
      <c r="R5728" s="15" t="s">
        <v>30803</v>
      </c>
    </row>
    <row r="5729" spans="1:18" ht="17" customHeight="1" x14ac:dyDescent="0.15">
      <c r="A5729" s="11" t="s">
        <v>30961</v>
      </c>
      <c r="B5729" s="1" t="s">
        <v>30962</v>
      </c>
      <c r="C5729" s="11" t="s">
        <v>30963</v>
      </c>
      <c r="D5729" s="11" t="s">
        <v>30963</v>
      </c>
      <c r="E5729" s="11" t="s">
        <v>30964</v>
      </c>
      <c r="F5729" s="11" t="s">
        <v>30965</v>
      </c>
      <c r="G5729" s="11" t="s">
        <v>30966</v>
      </c>
      <c r="H5729" s="11" t="s">
        <v>30967</v>
      </c>
      <c r="I5729" s="11" t="str">
        <f>HYPERLINK("http://www.psainnova.it/","www.psainnova.it")</f>
        <v>www.psainnova.it</v>
      </c>
      <c r="J5729" s="14" t="s">
        <v>30968</v>
      </c>
      <c r="K5729" s="14" t="s">
        <v>30968</v>
      </c>
      <c r="L5729" s="16" t="s">
        <v>30968</v>
      </c>
      <c r="M5729" s="14" t="s">
        <v>30968</v>
      </c>
      <c r="N5729" s="14" t="s">
        <v>30968</v>
      </c>
      <c r="O5729" s="14" t="s">
        <v>30968</v>
      </c>
      <c r="P5729" s="14" t="s">
        <v>30968</v>
      </c>
      <c r="Q5729" s="14" t="s">
        <v>30968</v>
      </c>
      <c r="R5729" s="14" t="s">
        <v>30968</v>
      </c>
    </row>
    <row r="5730" spans="1:18" ht="43" customHeight="1" x14ac:dyDescent="0.15">
      <c r="A5730" s="8" t="s">
        <v>30969</v>
      </c>
      <c r="B5730" s="9" t="s">
        <v>30970</v>
      </c>
      <c r="C5730" s="8" t="s">
        <v>30971</v>
      </c>
      <c r="D5730" s="8" t="s">
        <v>30971</v>
      </c>
      <c r="E5730" s="8" t="s">
        <v>30972</v>
      </c>
      <c r="F5730" s="8" t="s">
        <v>30973</v>
      </c>
      <c r="G5730" s="8" t="s">
        <v>30966</v>
      </c>
      <c r="H5730" s="8" t="s">
        <v>30967</v>
      </c>
      <c r="I5730" s="8" t="str">
        <f>HYPERLINK("http://www.anti-lab.it/","www.anti-lab.it")</f>
        <v>www.anti-lab.it</v>
      </c>
      <c r="J5730" s="15" t="s">
        <v>30968</v>
      </c>
      <c r="K5730" s="15" t="s">
        <v>30968</v>
      </c>
      <c r="L5730" s="15" t="s">
        <v>30968</v>
      </c>
      <c r="M5730" s="15" t="s">
        <v>30968</v>
      </c>
      <c r="N5730" s="15" t="s">
        <v>30968</v>
      </c>
      <c r="O5730" s="15" t="s">
        <v>30968</v>
      </c>
      <c r="P5730" s="15" t="s">
        <v>30968</v>
      </c>
      <c r="Q5730" s="15" t="s">
        <v>30968</v>
      </c>
      <c r="R5730" s="15" t="s">
        <v>30968</v>
      </c>
    </row>
    <row r="5731" spans="1:18" ht="17" customHeight="1" x14ac:dyDescent="0.15">
      <c r="A5731" s="11" t="s">
        <v>30974</v>
      </c>
      <c r="B5731" s="1" t="s">
        <v>30975</v>
      </c>
      <c r="C5731" s="11" t="s">
        <v>30976</v>
      </c>
      <c r="D5731" s="11" t="s">
        <v>30976</v>
      </c>
      <c r="E5731" s="11" t="s">
        <v>30977</v>
      </c>
      <c r="F5731" s="11" t="s">
        <v>30978</v>
      </c>
      <c r="G5731" s="11" t="s">
        <v>30979</v>
      </c>
      <c r="H5731" s="11" t="s">
        <v>30980</v>
      </c>
      <c r="I5731" s="11" t="str">
        <f>HYPERLINK("http://www.gallo1927.com/","www.gallo1927.com")</f>
        <v>www.gallo1927.com</v>
      </c>
      <c r="J5731" s="12">
        <v>0</v>
      </c>
      <c r="K5731" s="14" t="s">
        <v>30968</v>
      </c>
      <c r="L5731" s="16" t="s">
        <v>30968</v>
      </c>
      <c r="M5731" s="12">
        <v>-3.403</v>
      </c>
      <c r="N5731" s="14" t="s">
        <v>30968</v>
      </c>
      <c r="O5731" s="14" t="s">
        <v>30968</v>
      </c>
      <c r="P5731" s="12">
        <v>0</v>
      </c>
      <c r="Q5731" s="14" t="s">
        <v>30968</v>
      </c>
      <c r="R5731" s="14" t="s">
        <v>30968</v>
      </c>
    </row>
    <row r="5732" spans="1:18" ht="17" customHeight="1" x14ac:dyDescent="0.15">
      <c r="A5732" s="8" t="s">
        <v>30981</v>
      </c>
      <c r="B5732" s="9" t="s">
        <v>30982</v>
      </c>
      <c r="C5732" s="8" t="s">
        <v>30983</v>
      </c>
      <c r="D5732" s="8" t="s">
        <v>30983</v>
      </c>
      <c r="E5732" s="8" t="s">
        <v>30984</v>
      </c>
      <c r="F5732" s="8" t="s">
        <v>30985</v>
      </c>
      <c r="G5732" s="8" t="s">
        <v>30979</v>
      </c>
      <c r="H5732" s="8" t="s">
        <v>30980</v>
      </c>
      <c r="I5732" s="8" t="str">
        <f>HYPERLINK("http://hardskin.it/","hardskin.it")</f>
        <v>hardskin.it</v>
      </c>
      <c r="J5732" s="10">
        <v>0</v>
      </c>
      <c r="K5732" s="10">
        <v>0</v>
      </c>
      <c r="L5732" s="15" t="s">
        <v>30968</v>
      </c>
      <c r="M5732" s="10">
        <v>-0.71499999999999997</v>
      </c>
      <c r="N5732" s="10">
        <v>-0.71499999999999997</v>
      </c>
      <c r="O5732" s="15" t="s">
        <v>30968</v>
      </c>
      <c r="P5732" s="10">
        <v>0</v>
      </c>
      <c r="Q5732" s="10">
        <v>0</v>
      </c>
      <c r="R5732" s="15" t="s">
        <v>30968</v>
      </c>
    </row>
    <row r="5733" spans="1:18" ht="17" customHeight="1" x14ac:dyDescent="0.15">
      <c r="A5733" s="11" t="s">
        <v>30986</v>
      </c>
      <c r="B5733" s="1" t="s">
        <v>30987</v>
      </c>
      <c r="C5733" s="11" t="s">
        <v>30988</v>
      </c>
      <c r="D5733" s="11" t="s">
        <v>30988</v>
      </c>
      <c r="E5733" s="11" t="s">
        <v>30989</v>
      </c>
      <c r="F5733" s="11" t="s">
        <v>30990</v>
      </c>
      <c r="G5733" s="11" t="s">
        <v>30979</v>
      </c>
      <c r="H5733" s="11" t="s">
        <v>30980</v>
      </c>
      <c r="I5733" s="11" t="str">
        <f>HYPERLINK("http://almalia.it/","almalia.it")</f>
        <v>almalia.it</v>
      </c>
      <c r="J5733" s="14" t="s">
        <v>30968</v>
      </c>
      <c r="K5733" s="14" t="s">
        <v>30968</v>
      </c>
      <c r="L5733" s="16" t="s">
        <v>30968</v>
      </c>
      <c r="M5733" s="14" t="s">
        <v>30968</v>
      </c>
      <c r="N5733" s="14" t="s">
        <v>30968</v>
      </c>
      <c r="O5733" s="14" t="s">
        <v>30968</v>
      </c>
      <c r="P5733" s="14" t="s">
        <v>30968</v>
      </c>
      <c r="Q5733" s="14" t="s">
        <v>30968</v>
      </c>
      <c r="R5733" s="14" t="s">
        <v>30968</v>
      </c>
    </row>
    <row r="5734" spans="1:18" ht="43" customHeight="1" x14ac:dyDescent="0.15">
      <c r="A5734" s="8" t="s">
        <v>30991</v>
      </c>
      <c r="B5734" s="9" t="s">
        <v>30992</v>
      </c>
      <c r="C5734" s="8" t="s">
        <v>30993</v>
      </c>
      <c r="D5734" s="8" t="s">
        <v>30993</v>
      </c>
      <c r="E5734" s="8" t="s">
        <v>30994</v>
      </c>
      <c r="F5734" s="8" t="s">
        <v>30985</v>
      </c>
      <c r="G5734" s="8" t="s">
        <v>30979</v>
      </c>
      <c r="H5734" s="8" t="s">
        <v>30980</v>
      </c>
      <c r="I5734" s="8" t="str">
        <f>HYPERLINK("http://nextsport.it/","nextsport.it")</f>
        <v>nextsport.it</v>
      </c>
      <c r="J5734" s="10">
        <v>0</v>
      </c>
      <c r="K5734" s="10">
        <v>0</v>
      </c>
      <c r="L5734" s="15" t="s">
        <v>30968</v>
      </c>
      <c r="M5734" s="10">
        <v>-3.6309999999999998</v>
      </c>
      <c r="N5734" s="10">
        <v>-3.6309999999999998</v>
      </c>
      <c r="O5734" s="15" t="s">
        <v>30968</v>
      </c>
      <c r="P5734" s="10">
        <v>0</v>
      </c>
      <c r="Q5734" s="10">
        <v>0</v>
      </c>
      <c r="R5734" s="15" t="s">
        <v>30968</v>
      </c>
    </row>
    <row r="5735" spans="1:18" ht="17" customHeight="1" x14ac:dyDescent="0.15">
      <c r="A5735" s="11" t="s">
        <v>30995</v>
      </c>
      <c r="B5735" s="1" t="s">
        <v>30996</v>
      </c>
      <c r="C5735" s="11" t="s">
        <v>30997</v>
      </c>
      <c r="D5735" s="11" t="s">
        <v>30997</v>
      </c>
      <c r="E5735" s="11" t="s">
        <v>30998</v>
      </c>
      <c r="F5735" s="11" t="s">
        <v>30999</v>
      </c>
      <c r="G5735" s="11" t="s">
        <v>31000</v>
      </c>
      <c r="H5735" s="11" t="s">
        <v>31001</v>
      </c>
      <c r="I5735" s="11" t="str">
        <f>HYPERLINK("http://lmconsultingstudio.com/","lmconsultingstudio.com")</f>
        <v>lmconsultingstudio.com</v>
      </c>
      <c r="J5735" s="12">
        <v>0</v>
      </c>
      <c r="K5735" s="14" t="s">
        <v>30968</v>
      </c>
      <c r="L5735" s="16" t="s">
        <v>30968</v>
      </c>
      <c r="M5735" s="12">
        <v>-0.48699999999999999</v>
      </c>
      <c r="N5735" s="14" t="s">
        <v>30968</v>
      </c>
      <c r="O5735" s="14" t="s">
        <v>30968</v>
      </c>
      <c r="P5735" s="12">
        <v>0</v>
      </c>
      <c r="Q5735" s="14" t="s">
        <v>30968</v>
      </c>
      <c r="R5735" s="14" t="s">
        <v>30968</v>
      </c>
    </row>
    <row r="5736" spans="1:18" ht="17" customHeight="1" x14ac:dyDescent="0.15">
      <c r="A5736" s="8" t="s">
        <v>31002</v>
      </c>
      <c r="B5736" s="9" t="s">
        <v>31003</v>
      </c>
      <c r="C5736" s="8" t="s">
        <v>31004</v>
      </c>
      <c r="D5736" s="8" t="s">
        <v>31004</v>
      </c>
      <c r="E5736" s="8" t="s">
        <v>31005</v>
      </c>
      <c r="F5736" s="8" t="s">
        <v>31006</v>
      </c>
      <c r="G5736" s="8" t="s">
        <v>31000</v>
      </c>
      <c r="H5736" s="8" t="s">
        <v>31001</v>
      </c>
      <c r="I5736" s="8" t="str">
        <f>HYPERLINK("http://www.faceshoes.it/","www.faceshoes.it")</f>
        <v>www.faceshoes.it</v>
      </c>
      <c r="J5736" s="10">
        <v>0</v>
      </c>
      <c r="K5736" s="15" t="s">
        <v>30968</v>
      </c>
      <c r="L5736" s="15" t="s">
        <v>30968</v>
      </c>
      <c r="M5736" s="10">
        <v>-14.563000000000001</v>
      </c>
      <c r="N5736" s="15" t="s">
        <v>30968</v>
      </c>
      <c r="O5736" s="15" t="s">
        <v>30968</v>
      </c>
      <c r="P5736" s="10">
        <v>1</v>
      </c>
      <c r="Q5736" s="15" t="s">
        <v>30968</v>
      </c>
      <c r="R5736" s="15" t="s">
        <v>30968</v>
      </c>
    </row>
    <row r="5737" spans="1:18" ht="17" customHeight="1" x14ac:dyDescent="0.15">
      <c r="A5737" s="11" t="s">
        <v>31007</v>
      </c>
      <c r="B5737" s="1" t="s">
        <v>31008</v>
      </c>
      <c r="C5737" s="11" t="s">
        <v>31009</v>
      </c>
      <c r="D5737" s="11" t="s">
        <v>31009</v>
      </c>
      <c r="E5737" s="11" t="s">
        <v>31010</v>
      </c>
      <c r="F5737" s="11" t="s">
        <v>31011</v>
      </c>
      <c r="G5737" s="11" t="s">
        <v>31000</v>
      </c>
      <c r="H5737" s="11" t="s">
        <v>31001</v>
      </c>
      <c r="I5737" s="11" t="str">
        <f>HYPERLINK("http://www.210menswear.com/","www.210menswear.com")</f>
        <v>www.210menswear.com</v>
      </c>
      <c r="J5737" s="14" t="s">
        <v>30968</v>
      </c>
      <c r="K5737" s="14" t="s">
        <v>30968</v>
      </c>
      <c r="L5737" s="16" t="s">
        <v>30968</v>
      </c>
      <c r="M5737" s="14" t="s">
        <v>30968</v>
      </c>
      <c r="N5737" s="14" t="s">
        <v>30968</v>
      </c>
      <c r="O5737" s="14" t="s">
        <v>30968</v>
      </c>
      <c r="P5737" s="14" t="s">
        <v>30968</v>
      </c>
      <c r="Q5737" s="14" t="s">
        <v>30968</v>
      </c>
      <c r="R5737" s="14" t="s">
        <v>30968</v>
      </c>
    </row>
    <row r="5738" spans="1:18" ht="17" customHeight="1" x14ac:dyDescent="0.15">
      <c r="A5738" s="8" t="s">
        <v>31012</v>
      </c>
      <c r="B5738" s="9" t="s">
        <v>31013</v>
      </c>
      <c r="C5738" s="8" t="s">
        <v>31014</v>
      </c>
      <c r="D5738" s="8" t="s">
        <v>31014</v>
      </c>
      <c r="E5738" s="8" t="s">
        <v>31015</v>
      </c>
      <c r="F5738" s="8" t="s">
        <v>31016</v>
      </c>
      <c r="G5738" s="8" t="s">
        <v>31017</v>
      </c>
      <c r="H5738" s="8" t="s">
        <v>30967</v>
      </c>
      <c r="I5738" s="8" t="str">
        <f>HYPERLINK("http://www.izzopelli.com/","www.izzopelli.com")</f>
        <v>www.izzopelli.com</v>
      </c>
      <c r="J5738" s="15" t="s">
        <v>30968</v>
      </c>
      <c r="K5738" s="15" t="s">
        <v>30968</v>
      </c>
      <c r="L5738" s="15" t="s">
        <v>30968</v>
      </c>
      <c r="M5738" s="15" t="s">
        <v>30968</v>
      </c>
      <c r="N5738" s="15" t="s">
        <v>30968</v>
      </c>
      <c r="O5738" s="15" t="s">
        <v>30968</v>
      </c>
      <c r="P5738" s="15" t="s">
        <v>30968</v>
      </c>
      <c r="Q5738" s="15" t="s">
        <v>30968</v>
      </c>
      <c r="R5738" s="15" t="s">
        <v>30968</v>
      </c>
    </row>
    <row r="5739" spans="1:18" ht="17" customHeight="1" x14ac:dyDescent="0.15">
      <c r="A5739" s="11" t="s">
        <v>31018</v>
      </c>
      <c r="B5739" s="1" t="s">
        <v>31019</v>
      </c>
      <c r="C5739" s="11" t="s">
        <v>31020</v>
      </c>
      <c r="D5739" s="11" t="s">
        <v>31020</v>
      </c>
      <c r="E5739" s="11" t="s">
        <v>31021</v>
      </c>
      <c r="F5739" s="11" t="s">
        <v>31011</v>
      </c>
      <c r="G5739" s="11" t="s">
        <v>31017</v>
      </c>
      <c r="H5739" s="11" t="s">
        <v>30967</v>
      </c>
      <c r="I5739" s="11" t="str">
        <f>HYPERLINK("http://www.apicegroup.com/","www.apicegroup.com")</f>
        <v>www.apicegroup.com</v>
      </c>
      <c r="J5739" s="12">
        <v>0</v>
      </c>
      <c r="K5739" s="14" t="s">
        <v>30968</v>
      </c>
      <c r="L5739" s="16" t="s">
        <v>30968</v>
      </c>
      <c r="M5739" s="12">
        <v>-0.17599999999999999</v>
      </c>
      <c r="N5739" s="14" t="s">
        <v>30968</v>
      </c>
      <c r="O5739" s="14" t="s">
        <v>30968</v>
      </c>
      <c r="P5739" s="12">
        <v>0</v>
      </c>
      <c r="Q5739" s="14" t="s">
        <v>30968</v>
      </c>
      <c r="R5739" s="14" t="s">
        <v>30968</v>
      </c>
    </row>
    <row r="5740" spans="1:18" ht="17" customHeight="1" x14ac:dyDescent="0.15">
      <c r="A5740" s="8" t="s">
        <v>31022</v>
      </c>
      <c r="B5740" s="9" t="s">
        <v>31023</v>
      </c>
      <c r="C5740" s="8" t="s">
        <v>31024</v>
      </c>
      <c r="D5740" s="8" t="s">
        <v>31024</v>
      </c>
      <c r="E5740" s="8" t="s">
        <v>31025</v>
      </c>
      <c r="F5740" s="8" t="s">
        <v>30973</v>
      </c>
      <c r="G5740" s="8" t="s">
        <v>31026</v>
      </c>
      <c r="H5740" s="8" t="s">
        <v>31027</v>
      </c>
      <c r="I5740" s="8" t="str">
        <f>HYPERLINK("http://www.innuance.eu/","www.innuance.eu")</f>
        <v>www.innuance.eu</v>
      </c>
      <c r="J5740" s="15" t="s">
        <v>30968</v>
      </c>
      <c r="K5740" s="15" t="s">
        <v>30968</v>
      </c>
      <c r="L5740" s="15" t="s">
        <v>30968</v>
      </c>
      <c r="M5740" s="15" t="s">
        <v>30968</v>
      </c>
      <c r="N5740" s="15" t="s">
        <v>30968</v>
      </c>
      <c r="O5740" s="15" t="s">
        <v>30968</v>
      </c>
      <c r="P5740" s="15" t="s">
        <v>30968</v>
      </c>
      <c r="Q5740" s="15" t="s">
        <v>30968</v>
      </c>
      <c r="R5740" s="15" t="s">
        <v>30968</v>
      </c>
    </row>
    <row r="5741" spans="1:18" ht="17" customHeight="1" x14ac:dyDescent="0.15">
      <c r="A5741" s="11" t="s">
        <v>31028</v>
      </c>
      <c r="B5741" s="1" t="s">
        <v>31029</v>
      </c>
      <c r="C5741" s="11" t="s">
        <v>31030</v>
      </c>
      <c r="D5741" s="11" t="s">
        <v>31030</v>
      </c>
      <c r="E5741" s="11" t="s">
        <v>31031</v>
      </c>
      <c r="F5741" s="11" t="s">
        <v>30973</v>
      </c>
      <c r="G5741" s="11" t="s">
        <v>31032</v>
      </c>
      <c r="H5741" s="11" t="s">
        <v>30980</v>
      </c>
      <c r="I5741" s="11" t="str">
        <f>HYPERLINK("http://www.labottegadigiorgia.it/","www.labottegadigiorgia.it")</f>
        <v>www.labottegadigiorgia.it</v>
      </c>
      <c r="J5741" s="14" t="s">
        <v>30968</v>
      </c>
      <c r="K5741" s="14" t="s">
        <v>30968</v>
      </c>
      <c r="L5741" s="16" t="s">
        <v>30968</v>
      </c>
      <c r="M5741" s="14" t="s">
        <v>30968</v>
      </c>
      <c r="N5741" s="14" t="s">
        <v>30968</v>
      </c>
      <c r="O5741" s="14" t="s">
        <v>30968</v>
      </c>
      <c r="P5741" s="14" t="s">
        <v>30968</v>
      </c>
      <c r="Q5741" s="14" t="s">
        <v>30968</v>
      </c>
      <c r="R5741" s="14" t="s">
        <v>30968</v>
      </c>
    </row>
    <row r="5742" spans="1:18" ht="29.5" customHeight="1" x14ac:dyDescent="0.15">
      <c r="A5742" s="8" t="s">
        <v>31033</v>
      </c>
      <c r="B5742" s="9" t="s">
        <v>31034</v>
      </c>
      <c r="C5742" s="8" t="s">
        <v>31035</v>
      </c>
      <c r="D5742" s="8" t="s">
        <v>31035</v>
      </c>
      <c r="E5742" s="8" t="s">
        <v>31036</v>
      </c>
      <c r="F5742" s="8" t="s">
        <v>31011</v>
      </c>
      <c r="G5742" s="8" t="s">
        <v>31032</v>
      </c>
      <c r="H5742" s="8" t="s">
        <v>30980</v>
      </c>
      <c r="I5742" s="8" t="str">
        <f>HYPERLINK("http://www.ubbiali.it/","www.ubbiali.it")</f>
        <v>www.ubbiali.it</v>
      </c>
      <c r="J5742" s="15" t="s">
        <v>30968</v>
      </c>
      <c r="K5742" s="15" t="s">
        <v>30968</v>
      </c>
      <c r="L5742" s="15" t="s">
        <v>30968</v>
      </c>
      <c r="M5742" s="15" t="s">
        <v>30968</v>
      </c>
      <c r="N5742" s="15" t="s">
        <v>30968</v>
      </c>
      <c r="O5742" s="15" t="s">
        <v>30968</v>
      </c>
      <c r="P5742" s="15" t="s">
        <v>30968</v>
      </c>
      <c r="Q5742" s="15" t="s">
        <v>30968</v>
      </c>
      <c r="R5742" s="15" t="s">
        <v>30968</v>
      </c>
    </row>
    <row r="5743" spans="1:18" ht="17" customHeight="1" x14ac:dyDescent="0.15">
      <c r="A5743" s="11" t="s">
        <v>31037</v>
      </c>
      <c r="B5743" s="1" t="s">
        <v>31038</v>
      </c>
      <c r="C5743" s="11" t="s">
        <v>31039</v>
      </c>
      <c r="D5743" s="11" t="s">
        <v>31039</v>
      </c>
      <c r="E5743" s="11" t="s">
        <v>31040</v>
      </c>
      <c r="F5743" s="11" t="s">
        <v>31041</v>
      </c>
      <c r="G5743" s="11" t="s">
        <v>31042</v>
      </c>
      <c r="H5743" s="11" t="s">
        <v>31043</v>
      </c>
      <c r="I5743" s="11" t="str">
        <f>HYPERLINK("http://www.camiceriamazzarelli.com/","www.camiceriamazzarelli.com")</f>
        <v>www.camiceriamazzarelli.com</v>
      </c>
      <c r="J5743" s="14" t="s">
        <v>30968</v>
      </c>
      <c r="K5743" s="14" t="s">
        <v>30968</v>
      </c>
      <c r="L5743" s="16" t="s">
        <v>30968</v>
      </c>
      <c r="M5743" s="14" t="s">
        <v>30968</v>
      </c>
      <c r="N5743" s="14" t="s">
        <v>30968</v>
      </c>
      <c r="O5743" s="14" t="s">
        <v>30968</v>
      </c>
      <c r="P5743" s="14" t="s">
        <v>30968</v>
      </c>
      <c r="Q5743" s="14" t="s">
        <v>30968</v>
      </c>
      <c r="R5743" s="14" t="s">
        <v>30968</v>
      </c>
    </row>
    <row r="5744" spans="1:18" ht="17" customHeight="1" x14ac:dyDescent="0.15">
      <c r="A5744" s="8" t="s">
        <v>31044</v>
      </c>
      <c r="B5744" s="9" t="s">
        <v>31045</v>
      </c>
      <c r="C5744" s="8" t="s">
        <v>31046</v>
      </c>
      <c r="D5744" s="8" t="s">
        <v>31046</v>
      </c>
      <c r="E5744" s="8" t="s">
        <v>31047</v>
      </c>
      <c r="F5744" s="8" t="s">
        <v>31011</v>
      </c>
      <c r="G5744" s="8" t="s">
        <v>31048</v>
      </c>
      <c r="H5744" s="8" t="s">
        <v>31043</v>
      </c>
      <c r="I5744" s="8" t="str">
        <f>HYPERLINK("http://www.barrowofficial.com/","www.barrowofficial.com")</f>
        <v>www.barrowofficial.com</v>
      </c>
      <c r="J5744" s="15" t="s">
        <v>30968</v>
      </c>
      <c r="K5744" s="15" t="s">
        <v>30968</v>
      </c>
      <c r="L5744" s="15" t="s">
        <v>30968</v>
      </c>
      <c r="M5744" s="15" t="s">
        <v>30968</v>
      </c>
      <c r="N5744" s="15" t="s">
        <v>30968</v>
      </c>
      <c r="O5744" s="15" t="s">
        <v>30968</v>
      </c>
      <c r="P5744" s="15" t="s">
        <v>30968</v>
      </c>
      <c r="Q5744" s="15" t="s">
        <v>30968</v>
      </c>
      <c r="R5744" s="15" t="s">
        <v>30968</v>
      </c>
    </row>
    <row r="5745" spans="1:18" ht="43" customHeight="1" x14ac:dyDescent="0.15">
      <c r="A5745" s="11" t="s">
        <v>31049</v>
      </c>
      <c r="B5745" s="1" t="s">
        <v>31050</v>
      </c>
      <c r="C5745" s="11" t="s">
        <v>31051</v>
      </c>
      <c r="D5745" s="11" t="s">
        <v>31051</v>
      </c>
      <c r="E5745" s="11" t="s">
        <v>31052</v>
      </c>
      <c r="F5745" s="11" t="s">
        <v>30973</v>
      </c>
      <c r="G5745" s="11" t="s">
        <v>31042</v>
      </c>
      <c r="H5745" s="11" t="s">
        <v>31043</v>
      </c>
      <c r="I5745" s="11" t="str">
        <f>HYPERLINK("http://nanaleo.it/","nanaleo.it")</f>
        <v>nanaleo.it</v>
      </c>
      <c r="J5745" s="14" t="s">
        <v>30968</v>
      </c>
      <c r="K5745" s="14" t="s">
        <v>30968</v>
      </c>
      <c r="L5745" s="16" t="s">
        <v>30968</v>
      </c>
      <c r="M5745" s="14" t="s">
        <v>30968</v>
      </c>
      <c r="N5745" s="14" t="s">
        <v>30968</v>
      </c>
      <c r="O5745" s="14" t="s">
        <v>30968</v>
      </c>
      <c r="P5745" s="14" t="s">
        <v>30968</v>
      </c>
      <c r="Q5745" s="14" t="s">
        <v>30968</v>
      </c>
      <c r="R5745" s="14" t="s">
        <v>30968</v>
      </c>
    </row>
    <row r="5746" spans="1:18" ht="17" customHeight="1" x14ac:dyDescent="0.15">
      <c r="A5746" s="8" t="s">
        <v>31053</v>
      </c>
      <c r="B5746" s="9" t="s">
        <v>31054</v>
      </c>
      <c r="C5746" s="8" t="s">
        <v>31055</v>
      </c>
      <c r="D5746" s="8" t="s">
        <v>31055</v>
      </c>
      <c r="E5746" s="8" t="s">
        <v>31056</v>
      </c>
      <c r="F5746" s="8" t="s">
        <v>31006</v>
      </c>
      <c r="G5746" s="8" t="s">
        <v>31048</v>
      </c>
      <c r="H5746" s="8" t="s">
        <v>31043</v>
      </c>
      <c r="I5746" s="8" t="str">
        <f>HYPERLINK("http://lolaperes.it/","lolaperes.it")</f>
        <v>lolaperes.it</v>
      </c>
      <c r="J5746" s="15" t="s">
        <v>30968</v>
      </c>
      <c r="K5746" s="15" t="s">
        <v>30968</v>
      </c>
      <c r="L5746" s="15" t="s">
        <v>30968</v>
      </c>
      <c r="M5746" s="15" t="s">
        <v>30968</v>
      </c>
      <c r="N5746" s="15" t="s">
        <v>30968</v>
      </c>
      <c r="O5746" s="15" t="s">
        <v>30968</v>
      </c>
      <c r="P5746" s="15" t="s">
        <v>30968</v>
      </c>
      <c r="Q5746" s="15" t="s">
        <v>30968</v>
      </c>
      <c r="R5746" s="15" t="s">
        <v>30968</v>
      </c>
    </row>
    <row r="5747" spans="1:18" ht="43" customHeight="1" x14ac:dyDescent="0.15">
      <c r="A5747" s="11" t="s">
        <v>31057</v>
      </c>
      <c r="B5747" s="1" t="s">
        <v>31058</v>
      </c>
      <c r="C5747" s="11" t="s">
        <v>31059</v>
      </c>
      <c r="D5747" s="11" t="s">
        <v>31059</v>
      </c>
      <c r="E5747" s="11" t="s">
        <v>31060</v>
      </c>
      <c r="F5747" s="11" t="s">
        <v>31061</v>
      </c>
      <c r="G5747" s="11" t="s">
        <v>31048</v>
      </c>
      <c r="H5747" s="11" t="s">
        <v>31043</v>
      </c>
      <c r="I5747" s="11" t="str">
        <f>HYPERLINK("http://www.tranceriadimontes.it/","www.tranceriadimontes.it")</f>
        <v>www.tranceriadimontes.it</v>
      </c>
      <c r="J5747" s="14" t="s">
        <v>30968</v>
      </c>
      <c r="K5747" s="14" t="s">
        <v>30968</v>
      </c>
      <c r="L5747" s="16" t="s">
        <v>30968</v>
      </c>
      <c r="M5747" s="14" t="s">
        <v>30968</v>
      </c>
      <c r="N5747" s="14" t="s">
        <v>30968</v>
      </c>
      <c r="O5747" s="14" t="s">
        <v>30968</v>
      </c>
      <c r="P5747" s="14" t="s">
        <v>30968</v>
      </c>
      <c r="Q5747" s="14" t="s">
        <v>30968</v>
      </c>
      <c r="R5747" s="14" t="s">
        <v>30968</v>
      </c>
    </row>
    <row r="5748" spans="1:18" ht="43" customHeight="1" x14ac:dyDescent="0.15">
      <c r="A5748" s="8" t="s">
        <v>31062</v>
      </c>
      <c r="B5748" s="9" t="s">
        <v>31063</v>
      </c>
      <c r="C5748" s="8" t="s">
        <v>31064</v>
      </c>
      <c r="D5748" s="8" t="s">
        <v>31064</v>
      </c>
      <c r="E5748" s="8" t="s">
        <v>31065</v>
      </c>
      <c r="F5748" s="8" t="s">
        <v>31011</v>
      </c>
      <c r="G5748" s="8" t="s">
        <v>31048</v>
      </c>
      <c r="H5748" s="8" t="s">
        <v>31043</v>
      </c>
      <c r="I5748" s="8" t="str">
        <f>HYPERLINK("http://www.manifatturerosy.it/","www.manifatturerosy.it")</f>
        <v>www.manifatturerosy.it</v>
      </c>
      <c r="J5748" s="15" t="s">
        <v>30968</v>
      </c>
      <c r="K5748" s="15" t="s">
        <v>30968</v>
      </c>
      <c r="L5748" s="15" t="s">
        <v>30968</v>
      </c>
      <c r="M5748" s="15" t="s">
        <v>30968</v>
      </c>
      <c r="N5748" s="15" t="s">
        <v>30968</v>
      </c>
      <c r="O5748" s="15" t="s">
        <v>30968</v>
      </c>
      <c r="P5748" s="15" t="s">
        <v>30968</v>
      </c>
      <c r="Q5748" s="15" t="s">
        <v>30968</v>
      </c>
      <c r="R5748" s="15" t="s">
        <v>30968</v>
      </c>
    </row>
    <row r="5749" spans="1:18" ht="43" customHeight="1" x14ac:dyDescent="0.15">
      <c r="A5749" s="11" t="s">
        <v>31066</v>
      </c>
      <c r="B5749" s="1" t="s">
        <v>31067</v>
      </c>
      <c r="C5749" s="11" t="s">
        <v>31068</v>
      </c>
      <c r="D5749" s="11" t="s">
        <v>31068</v>
      </c>
      <c r="E5749" s="11" t="s">
        <v>31069</v>
      </c>
      <c r="F5749" s="11" t="s">
        <v>30999</v>
      </c>
      <c r="G5749" s="11" t="s">
        <v>31042</v>
      </c>
      <c r="H5749" s="11" t="s">
        <v>31043</v>
      </c>
      <c r="I5749" s="11" t="str">
        <f>HYPERLINK("http://www.roxibeachwear.it/","www.roxibeachwear.it")</f>
        <v>www.roxibeachwear.it</v>
      </c>
      <c r="J5749" s="14" t="s">
        <v>30968</v>
      </c>
      <c r="K5749" s="14" t="s">
        <v>30968</v>
      </c>
      <c r="L5749" s="16" t="s">
        <v>30968</v>
      </c>
      <c r="M5749" s="14" t="s">
        <v>30968</v>
      </c>
      <c r="N5749" s="14" t="s">
        <v>30968</v>
      </c>
      <c r="O5749" s="14" t="s">
        <v>30968</v>
      </c>
      <c r="P5749" s="14" t="s">
        <v>30968</v>
      </c>
      <c r="Q5749" s="14" t="s">
        <v>30968</v>
      </c>
      <c r="R5749" s="14" t="s">
        <v>30968</v>
      </c>
    </row>
    <row r="5750" spans="1:18" ht="17" customHeight="1" x14ac:dyDescent="0.15">
      <c r="A5750" s="8" t="s">
        <v>31070</v>
      </c>
      <c r="B5750" s="9" t="s">
        <v>31071</v>
      </c>
      <c r="C5750" s="8" t="s">
        <v>31072</v>
      </c>
      <c r="D5750" s="8" t="s">
        <v>31072</v>
      </c>
      <c r="E5750" s="8" t="s">
        <v>31073</v>
      </c>
      <c r="F5750" s="8" t="s">
        <v>31011</v>
      </c>
      <c r="G5750" s="8" t="s">
        <v>31042</v>
      </c>
      <c r="H5750" s="8" t="s">
        <v>31043</v>
      </c>
      <c r="I5750" s="8" t="str">
        <f>HYPERLINK("http://www.gruppobfashion.com/","www.gruppobfashion.com")</f>
        <v>www.gruppobfashion.com</v>
      </c>
      <c r="J5750" s="10">
        <v>0</v>
      </c>
      <c r="K5750" s="15" t="s">
        <v>30968</v>
      </c>
      <c r="L5750" s="15" t="s">
        <v>30968</v>
      </c>
      <c r="M5750" s="10">
        <v>-1.2809999999999999</v>
      </c>
      <c r="N5750" s="15" t="s">
        <v>30968</v>
      </c>
      <c r="O5750" s="15" t="s">
        <v>30968</v>
      </c>
      <c r="P5750" s="10">
        <v>0</v>
      </c>
      <c r="Q5750" s="15" t="s">
        <v>30968</v>
      </c>
      <c r="R5750" s="15" t="s">
        <v>30968</v>
      </c>
    </row>
    <row r="5751" spans="1:18" ht="17" customHeight="1" x14ac:dyDescent="0.15">
      <c r="A5751" s="11" t="s">
        <v>31074</v>
      </c>
      <c r="B5751" s="1" t="s">
        <v>31075</v>
      </c>
      <c r="C5751" s="11" t="s">
        <v>31076</v>
      </c>
      <c r="D5751" s="11" t="s">
        <v>31076</v>
      </c>
      <c r="E5751" s="11" t="s">
        <v>31077</v>
      </c>
      <c r="F5751" s="11" t="s">
        <v>30990</v>
      </c>
      <c r="G5751" s="11" t="s">
        <v>31048</v>
      </c>
      <c r="H5751" s="11" t="s">
        <v>31043</v>
      </c>
      <c r="I5751" s="11" t="str">
        <f>HYPERLINK("http://www.darkcode.biz/","www.darkcode.biz")</f>
        <v>www.darkcode.biz</v>
      </c>
      <c r="J5751" s="12">
        <v>0</v>
      </c>
      <c r="K5751" s="14" t="s">
        <v>30968</v>
      </c>
      <c r="L5751" s="16" t="s">
        <v>30968</v>
      </c>
      <c r="M5751" s="12">
        <v>-6.31</v>
      </c>
      <c r="N5751" s="14" t="s">
        <v>30968</v>
      </c>
      <c r="O5751" s="14" t="s">
        <v>30968</v>
      </c>
      <c r="P5751" s="12">
        <v>0</v>
      </c>
      <c r="Q5751" s="14" t="s">
        <v>30968</v>
      </c>
      <c r="R5751" s="14" t="s">
        <v>30968</v>
      </c>
    </row>
    <row r="5752" spans="1:18" ht="29.5" customHeight="1" x14ac:dyDescent="0.15">
      <c r="A5752" s="8" t="s">
        <v>31078</v>
      </c>
      <c r="B5752" s="9" t="s">
        <v>31079</v>
      </c>
      <c r="C5752" s="8" t="s">
        <v>31080</v>
      </c>
      <c r="D5752" s="8" t="s">
        <v>31080</v>
      </c>
      <c r="E5752" s="8" t="s">
        <v>31081</v>
      </c>
      <c r="F5752" s="8" t="s">
        <v>31082</v>
      </c>
      <c r="G5752" s="8" t="s">
        <v>31042</v>
      </c>
      <c r="H5752" s="8" t="s">
        <v>31043</v>
      </c>
      <c r="I5752" s="8" t="str">
        <f>HYPERLINK("http://gruppoh.com/","gruppoh.com")</f>
        <v>gruppoh.com</v>
      </c>
      <c r="J5752" s="10">
        <v>0</v>
      </c>
      <c r="K5752" s="15" t="s">
        <v>30968</v>
      </c>
      <c r="L5752" s="15" t="s">
        <v>30968</v>
      </c>
      <c r="M5752" s="10">
        <v>-45.247999999999998</v>
      </c>
      <c r="N5752" s="15" t="s">
        <v>30968</v>
      </c>
      <c r="O5752" s="15" t="s">
        <v>30968</v>
      </c>
      <c r="P5752" s="10">
        <v>0</v>
      </c>
      <c r="Q5752" s="15" t="s">
        <v>30968</v>
      </c>
      <c r="R5752" s="15" t="s">
        <v>30968</v>
      </c>
    </row>
    <row r="5753" spans="1:18" ht="29.5" customHeight="1" x14ac:dyDescent="0.15">
      <c r="A5753" s="11" t="s">
        <v>31083</v>
      </c>
      <c r="B5753" s="1" t="s">
        <v>31084</v>
      </c>
      <c r="C5753" s="11" t="s">
        <v>31085</v>
      </c>
      <c r="D5753" s="11" t="s">
        <v>31085</v>
      </c>
      <c r="E5753" s="11" t="s">
        <v>31086</v>
      </c>
      <c r="F5753" s="11" t="s">
        <v>31016</v>
      </c>
      <c r="G5753" s="11" t="s">
        <v>31087</v>
      </c>
      <c r="H5753" s="11" t="s">
        <v>30967</v>
      </c>
      <c r="I5753" s="11" t="str">
        <f>HYPERLINK("http://www.dgleather.it/","www.dgleather.it")</f>
        <v>www.dgleather.it</v>
      </c>
      <c r="J5753" s="12">
        <v>0</v>
      </c>
      <c r="K5753" s="14" t="s">
        <v>30968</v>
      </c>
      <c r="L5753" s="16" t="s">
        <v>30968</v>
      </c>
      <c r="M5753" s="12">
        <v>-15.526999999999999</v>
      </c>
      <c r="N5753" s="14" t="s">
        <v>30968</v>
      </c>
      <c r="O5753" s="14" t="s">
        <v>30968</v>
      </c>
      <c r="P5753" s="12">
        <v>0</v>
      </c>
      <c r="Q5753" s="14" t="s">
        <v>30968</v>
      </c>
      <c r="R5753" s="14" t="s">
        <v>30968</v>
      </c>
    </row>
    <row r="5754" spans="1:18" ht="17" customHeight="1" x14ac:dyDescent="0.15">
      <c r="A5754" s="8" t="s">
        <v>31088</v>
      </c>
      <c r="B5754" s="9" t="s">
        <v>31089</v>
      </c>
      <c r="C5754" s="8" t="s">
        <v>31090</v>
      </c>
      <c r="D5754" s="8" t="s">
        <v>31090</v>
      </c>
      <c r="E5754" s="8" t="s">
        <v>31091</v>
      </c>
      <c r="F5754" s="8" t="s">
        <v>30999</v>
      </c>
      <c r="G5754" s="8" t="s">
        <v>31087</v>
      </c>
      <c r="H5754" s="8" t="s">
        <v>30967</v>
      </c>
      <c r="I5754" s="8" t="str">
        <f>HYPERLINK("http://www.spallinificiosts.it/","www.spallinificiosts.it")</f>
        <v>www.spallinificiosts.it</v>
      </c>
      <c r="J5754" s="10">
        <v>0</v>
      </c>
      <c r="K5754" s="15" t="s">
        <v>30968</v>
      </c>
      <c r="L5754" s="15" t="s">
        <v>30968</v>
      </c>
      <c r="M5754" s="10">
        <v>6.62</v>
      </c>
      <c r="N5754" s="15" t="s">
        <v>30968</v>
      </c>
      <c r="O5754" s="15" t="s">
        <v>30968</v>
      </c>
      <c r="P5754" s="10">
        <v>0</v>
      </c>
      <c r="Q5754" s="15" t="s">
        <v>30968</v>
      </c>
      <c r="R5754" s="15" t="s">
        <v>30968</v>
      </c>
    </row>
    <row r="5755" spans="1:18" ht="29.5" customHeight="1" x14ac:dyDescent="0.15">
      <c r="A5755" s="11" t="s">
        <v>31092</v>
      </c>
      <c r="B5755" s="1" t="s">
        <v>31093</v>
      </c>
      <c r="C5755" s="11" t="s">
        <v>31094</v>
      </c>
      <c r="D5755" s="11" t="s">
        <v>31094</v>
      </c>
      <c r="E5755" s="11" t="s">
        <v>31095</v>
      </c>
      <c r="F5755" s="11" t="s">
        <v>31016</v>
      </c>
      <c r="G5755" s="11" t="s">
        <v>31087</v>
      </c>
      <c r="H5755" s="11" t="s">
        <v>30967</v>
      </c>
      <c r="I5755" s="11" t="str">
        <f>HYPERLINK("http://www.hamana.it/","www.hamana.it")</f>
        <v>www.hamana.it</v>
      </c>
      <c r="J5755" s="12">
        <v>0</v>
      </c>
      <c r="K5755" s="14" t="s">
        <v>30968</v>
      </c>
      <c r="L5755" s="16" t="s">
        <v>30968</v>
      </c>
      <c r="M5755" s="12">
        <v>-32.908999999999999</v>
      </c>
      <c r="N5755" s="14" t="s">
        <v>30968</v>
      </c>
      <c r="O5755" s="14" t="s">
        <v>30968</v>
      </c>
      <c r="P5755" s="12">
        <v>0</v>
      </c>
      <c r="Q5755" s="14" t="s">
        <v>30968</v>
      </c>
      <c r="R5755" s="14" t="s">
        <v>30968</v>
      </c>
    </row>
    <row r="5756" spans="1:18" ht="17" customHeight="1" x14ac:dyDescent="0.15">
      <c r="A5756" s="8" t="s">
        <v>31096</v>
      </c>
      <c r="B5756" s="9" t="s">
        <v>31097</v>
      </c>
      <c r="C5756" s="8" t="s">
        <v>31098</v>
      </c>
      <c r="D5756" s="8" t="s">
        <v>31098</v>
      </c>
      <c r="E5756" s="8" t="s">
        <v>31099</v>
      </c>
      <c r="F5756" s="8" t="s">
        <v>30999</v>
      </c>
      <c r="G5756" s="8" t="s">
        <v>31100</v>
      </c>
      <c r="H5756" s="8" t="s">
        <v>31101</v>
      </c>
      <c r="I5756" s="8" t="str">
        <f>HYPERLINK("http://www.gruppofrangipani.it/","www.gruppofrangipani.it")</f>
        <v>www.gruppofrangipani.it</v>
      </c>
      <c r="J5756" s="15" t="s">
        <v>30968</v>
      </c>
      <c r="K5756" s="15" t="s">
        <v>30968</v>
      </c>
      <c r="L5756" s="15" t="s">
        <v>30968</v>
      </c>
      <c r="M5756" s="15" t="s">
        <v>30968</v>
      </c>
      <c r="N5756" s="15" t="s">
        <v>30968</v>
      </c>
      <c r="O5756" s="15" t="s">
        <v>30968</v>
      </c>
      <c r="P5756" s="15" t="s">
        <v>30968</v>
      </c>
      <c r="Q5756" s="15" t="s">
        <v>30968</v>
      </c>
      <c r="R5756" s="15" t="s">
        <v>30968</v>
      </c>
    </row>
    <row r="5757" spans="1:18" ht="29.5" customHeight="1" x14ac:dyDescent="0.15">
      <c r="A5757" s="11" t="s">
        <v>31102</v>
      </c>
      <c r="B5757" s="1" t="s">
        <v>31103</v>
      </c>
      <c r="C5757" s="11" t="s">
        <v>31104</v>
      </c>
      <c r="D5757" s="11" t="s">
        <v>31104</v>
      </c>
      <c r="E5757" s="11" t="s">
        <v>31105</v>
      </c>
      <c r="F5757" s="11" t="s">
        <v>31011</v>
      </c>
      <c r="G5757" s="11" t="s">
        <v>31106</v>
      </c>
      <c r="H5757" s="11" t="s">
        <v>31107</v>
      </c>
      <c r="I5757" s="11" t="str">
        <f>HYPERLINK("http://www.eliatelier.com/","www.eliatelier.com")</f>
        <v>www.eliatelier.com</v>
      </c>
      <c r="J5757" s="14" t="s">
        <v>30968</v>
      </c>
      <c r="K5757" s="14" t="s">
        <v>30968</v>
      </c>
      <c r="L5757" s="16" t="s">
        <v>30968</v>
      </c>
      <c r="M5757" s="14" t="s">
        <v>30968</v>
      </c>
      <c r="N5757" s="14" t="s">
        <v>30968</v>
      </c>
      <c r="O5757" s="14" t="s">
        <v>30968</v>
      </c>
      <c r="P5757" s="14" t="s">
        <v>30968</v>
      </c>
      <c r="Q5757" s="14" t="s">
        <v>30968</v>
      </c>
      <c r="R5757" s="14" t="s">
        <v>30968</v>
      </c>
    </row>
    <row r="5758" spans="1:18" ht="17" customHeight="1" x14ac:dyDescent="0.15">
      <c r="A5758" s="8" t="s">
        <v>31108</v>
      </c>
      <c r="B5758" s="9" t="s">
        <v>31109</v>
      </c>
      <c r="C5758" s="8" t="s">
        <v>31110</v>
      </c>
      <c r="D5758" s="8" t="s">
        <v>31110</v>
      </c>
      <c r="E5758" s="8" t="s">
        <v>31111</v>
      </c>
      <c r="F5758" s="8" t="s">
        <v>30990</v>
      </c>
      <c r="G5758" s="8" t="s">
        <v>31106</v>
      </c>
      <c r="H5758" s="8" t="s">
        <v>31107</v>
      </c>
      <c r="I5758" s="8" t="str">
        <f>HYPERLINK("http://www.alltricotmaglificio.it/","www.alltricotmaglificio.it")</f>
        <v>www.alltricotmaglificio.it</v>
      </c>
      <c r="J5758" s="15" t="s">
        <v>30968</v>
      </c>
      <c r="K5758" s="15" t="s">
        <v>30968</v>
      </c>
      <c r="L5758" s="15" t="s">
        <v>30968</v>
      </c>
      <c r="M5758" s="15" t="s">
        <v>30968</v>
      </c>
      <c r="N5758" s="15" t="s">
        <v>30968</v>
      </c>
      <c r="O5758" s="15" t="s">
        <v>30968</v>
      </c>
      <c r="P5758" s="15" t="s">
        <v>30968</v>
      </c>
      <c r="Q5758" s="15" t="s">
        <v>30968</v>
      </c>
      <c r="R5758" s="15" t="s">
        <v>30968</v>
      </c>
    </row>
    <row r="5759" spans="1:18" ht="17" customHeight="1" x14ac:dyDescent="0.15">
      <c r="A5759" s="11" t="s">
        <v>31112</v>
      </c>
      <c r="B5759" s="1" t="s">
        <v>31113</v>
      </c>
      <c r="C5759" s="11" t="s">
        <v>31114</v>
      </c>
      <c r="D5759" s="11" t="s">
        <v>31114</v>
      </c>
      <c r="E5759" s="11" t="s">
        <v>31115</v>
      </c>
      <c r="F5759" s="11" t="s">
        <v>31006</v>
      </c>
      <c r="G5759" s="11" t="s">
        <v>31116</v>
      </c>
      <c r="H5759" s="11" t="s">
        <v>31117</v>
      </c>
      <c r="I5759" s="11" t="str">
        <f>HYPERLINK("http://www.sneark.it/","www.sneark.it")</f>
        <v>www.sneark.it</v>
      </c>
      <c r="J5759" s="14" t="s">
        <v>30968</v>
      </c>
      <c r="K5759" s="14" t="s">
        <v>30968</v>
      </c>
      <c r="L5759" s="16" t="s">
        <v>30968</v>
      </c>
      <c r="M5759" s="14" t="s">
        <v>30968</v>
      </c>
      <c r="N5759" s="14" t="s">
        <v>30968</v>
      </c>
      <c r="O5759" s="14" t="s">
        <v>30968</v>
      </c>
      <c r="P5759" s="14" t="s">
        <v>30968</v>
      </c>
      <c r="Q5759" s="14" t="s">
        <v>30968</v>
      </c>
      <c r="R5759" s="14" t="s">
        <v>30968</v>
      </c>
    </row>
  </sheetData>
  <pageMargins left="0" right="0" top="0" bottom="0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Risultati</vt:lpstr>
    </vt:vector>
  </TitlesOfParts>
  <Company>Bureau van Dijk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CIOTTI NICCOLÒ</cp:lastModifiedBy>
  <dcterms:created xsi:type="dcterms:W3CDTF">2025-05-16T09:02:17Z</dcterms:created>
  <dcterms:modified xsi:type="dcterms:W3CDTF">2025-06-24T15:57:39Z</dcterms:modified>
</cp:coreProperties>
</file>